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9" activeTab="26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9a" sheetId="10" r:id="rId10"/>
    <sheet name="zał 10" sheetId="11" r:id="rId11"/>
    <sheet name="zał 11" sheetId="12" r:id="rId12"/>
    <sheet name="zał 12" sheetId="13" r:id="rId13"/>
    <sheet name="zał 13" sheetId="14" r:id="rId14"/>
    <sheet name="zał 14" sheetId="15" r:id="rId15"/>
    <sheet name="zał 14a" sheetId="16" r:id="rId16"/>
    <sheet name="zał 14b" sheetId="17" r:id="rId17"/>
    <sheet name="zał 14c" sheetId="18" r:id="rId18"/>
    <sheet name="zał 14d" sheetId="19" r:id="rId19"/>
    <sheet name="zał 14e" sheetId="20" r:id="rId20"/>
    <sheet name="zał 15" sheetId="21" r:id="rId21"/>
    <sheet name="zał 15a" sheetId="22" r:id="rId22"/>
    <sheet name="zał 15b" sheetId="23" r:id="rId23"/>
    <sheet name="zał 15c" sheetId="24" r:id="rId24"/>
    <sheet name="zał 16" sheetId="25" r:id="rId25"/>
    <sheet name="zał 17" sheetId="26" r:id="rId26"/>
    <sheet name="zał 18" sheetId="27" r:id="rId27"/>
  </sheets>
  <definedNames/>
  <calcPr fullCalcOnLoad="1"/>
</workbook>
</file>

<file path=xl/sharedStrings.xml><?xml version="1.0" encoding="utf-8"?>
<sst xmlns="http://schemas.openxmlformats.org/spreadsheetml/2006/main" count="2238" uniqueCount="885">
  <si>
    <t>a/ spłaty rat kredytów z odsetkami</t>
  </si>
  <si>
    <t>b/ spłaty rat pożyczek z odsetkami</t>
  </si>
  <si>
    <t>c/ wykup papierów wartościowych</t>
  </si>
  <si>
    <t>d/ wykup obligacji samorządowych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</si>
  <si>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</si>
  <si>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poz.36 (-) poz.41) / poz1)%</t>
  </si>
  <si>
    <t>I. Wskaźnik rocznej spłaty zadłużenia do dochodu bez poręczeń                                                                                  ( poz.36 (-) poz.39) / poz1)%</t>
  </si>
  <si>
    <t>Załącznik nr  17 do Uchwały</t>
  </si>
  <si>
    <t>LIMITY  WYDATKÓW  BUDŻETOWYCH  NA  WIELOLETNIE  PROGRAMY  INWESTYCYJNE  W 2006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</si>
  <si>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</si>
  <si>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</si>
  <si>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</si>
  <si>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</si>
  <si>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</si>
  <si>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</si>
  <si>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</si>
  <si>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</si>
  <si>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</si>
  <si>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</si>
  <si>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</si>
  <si>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 xml:space="preserve">INWESTYCJE KONTYNUOWANE </t>
  </si>
  <si>
    <t>6051, 6052</t>
  </si>
  <si>
    <t>ul. Śródmiejska</t>
  </si>
  <si>
    <t>IK,ZDM</t>
  </si>
  <si>
    <t>Osiedle Bukowe - drogi</t>
  </si>
  <si>
    <t>po 2008</t>
  </si>
  <si>
    <t>Osiedle "Wenedów"- drogi</t>
  </si>
  <si>
    <t>ul. Krańcowa</t>
  </si>
  <si>
    <t>Parking przy Szpitalu Wojewódzkim</t>
  </si>
  <si>
    <t>ZDM</t>
  </si>
  <si>
    <t>Mieszkania socjalne, budynek ul. Jana z Kolna</t>
  </si>
  <si>
    <t>IK, ZBM</t>
  </si>
  <si>
    <t>Remont budynku przy ul.Słowackiego</t>
  </si>
  <si>
    <t>ZK</t>
  </si>
  <si>
    <t>Modernizacje w szkołach</t>
  </si>
  <si>
    <t>E</t>
  </si>
  <si>
    <t>ciągle</t>
  </si>
  <si>
    <t>Zespół Burs Międzyszkolnych-elewacja</t>
  </si>
  <si>
    <t>Uzbrojenie terenu pod Słupską Specjalną Strefę Ekonomiczną, Kompleks Koszalin</t>
  </si>
  <si>
    <t>Uzbrojenie ul. Szczecińskiej</t>
  </si>
  <si>
    <t>ul. Lniana - Różana (porządkowanie gospodarki wod.ściekowej)</t>
  </si>
  <si>
    <t>Uzbrojenie Osiedla Wilkowo</t>
  </si>
  <si>
    <t>po 2007</t>
  </si>
  <si>
    <t>Uzbrojenie Osiedla Unii Europejskiej</t>
  </si>
  <si>
    <t>Budowa nowych punktów świetlnych</t>
  </si>
  <si>
    <t>Magistrala wodociągowa do Lubiatowa</t>
  </si>
  <si>
    <t>Rozbudowa Cmentarza Komunalnego</t>
  </si>
  <si>
    <t>Dokumentacja pod przyszłe inwestycje</t>
  </si>
  <si>
    <t>ciągłe</t>
  </si>
  <si>
    <t>Wydatki na inwestycje zakończone</t>
  </si>
  <si>
    <t>Inwestycyjne inicjatywy społeczne</t>
  </si>
  <si>
    <t>Remont amfiteatru</t>
  </si>
  <si>
    <t xml:space="preserve">Modernizacja budynku  MOK - akustyka </t>
  </si>
  <si>
    <t>Modernizacja stadionu "Bałtyk" I etap</t>
  </si>
  <si>
    <t>IK, KS</t>
  </si>
  <si>
    <t xml:space="preserve">INWESTYCJE ROZPOCZYNANE </t>
  </si>
  <si>
    <t>6058,       6059</t>
  </si>
  <si>
    <t>Usprawnienie układu komunikacyjnego miasta Koszalin-przebudowa ul.Połczyńskiej</t>
  </si>
  <si>
    <t>Skrzyżowanie ulic: Władysława IV-go , Akademicka</t>
  </si>
  <si>
    <t>ul. Orląt Lwowskich</t>
  </si>
  <si>
    <t>Ewidencja dróg</t>
  </si>
  <si>
    <t>6058,  6059</t>
  </si>
  <si>
    <t>Usprawnienie układu komunikacyjnego miasta Koszalin-  przebudowa ul. Olchowej</t>
  </si>
  <si>
    <t>ul.Batalionów Chłopskich</t>
  </si>
  <si>
    <t>ul.Rzeczna (dojazd do spec. Ośrodka Szkolno-Wych)</t>
  </si>
  <si>
    <t>Połączenie ul.Strażackiej z ul.Połczyńską</t>
  </si>
  <si>
    <t>Przebudowa ul. Chrobrego, ul.Domina, i ul.Krzywoustego</t>
  </si>
  <si>
    <t>ul. Karłowicza</t>
  </si>
  <si>
    <t>Łącznik ul. Staszica,i ul. Spasowskiego</t>
  </si>
  <si>
    <t>ul. Niepodległości</t>
  </si>
  <si>
    <t>Parking przy Szpitalu Przeciwgruźliczym</t>
  </si>
  <si>
    <t>Remonty budynków komunalnych</t>
  </si>
  <si>
    <t>ZBM</t>
  </si>
  <si>
    <t>Centrum Powiadamiana Ratunkowego</t>
  </si>
  <si>
    <t>Modernizacja pomieszczeń w Komendzie Policji w Koszalinie oraz dofinansowanie boisk</t>
  </si>
  <si>
    <t>PU</t>
  </si>
  <si>
    <t>Modernizacja budynku Stowarzyszenia na Rzecz Osób z Upośledzeniem Umysłowym</t>
  </si>
  <si>
    <t>Modernizacja placówek oświatowo-wychowawczych</t>
  </si>
  <si>
    <t>Budowa separatorów</t>
  </si>
  <si>
    <t>Przeniesienie schroniska</t>
  </si>
  <si>
    <t>Budowa światłowodów</t>
  </si>
  <si>
    <t>Inf</t>
  </si>
  <si>
    <t>Modernizacja Bałtyckiego Teatru Dramatycznego</t>
  </si>
  <si>
    <t>6058  6059                     6220</t>
  </si>
  <si>
    <t>Modernizacja obiektu Muzeum</t>
  </si>
  <si>
    <t>Budowa hali widowiskowo-sportowej</t>
  </si>
  <si>
    <t xml:space="preserve">OGÓŁEM  (I+II)  </t>
  </si>
  <si>
    <t>Załącznik nr 18 do Uchwały</t>
  </si>
  <si>
    <t>WYDATKI BUDŻETU NA PROGRAMY I PROJEKTY REALIZOWANE ZE ŚRODKÓW POCHODZĄCYCH Z FUNDUSZY PRZEDAKCESYJNYCH, STRUKTURALNYCH, FUNDUSZU SPÓJNOŚCI I  INNYCH ŚRODKÓW  UNII EUROPEJSKIEJ                                                                                              W  2006  ROKU</t>
  </si>
  <si>
    <t>Nazwa programu, projektu</t>
  </si>
  <si>
    <t>Finansowanie 2006r.</t>
  </si>
  <si>
    <t>finansowe
w 2006r.</t>
  </si>
  <si>
    <t xml:space="preserve">Środki własne </t>
  </si>
  <si>
    <t xml:space="preserve">Środki pomocowe </t>
  </si>
  <si>
    <t>6058
6059</t>
  </si>
  <si>
    <t>"Usprawnienie układu komunikacyjnego miasta - przebudowa ul. Połczyńskiej"</t>
  </si>
  <si>
    <t>ZPORR
 Zachodniopomorski Urząd Wojewódzki,
Urząd Miejski Koszalin</t>
  </si>
  <si>
    <t>6051
6052</t>
  </si>
  <si>
    <t>"Rozwój małych i średnich przedsiębiorstw w Koszalinie - budowa ul. Śródmiejskiej"</t>
  </si>
  <si>
    <r>
      <t>PHARE SSG
 Zachodniopomorski Urząd Wojewódzki</t>
    </r>
    <r>
      <rPr>
        <sz val="10"/>
        <color indexed="17"/>
        <rFont val="Times New Roman CE"/>
        <family val="1"/>
      </rPr>
      <t>/Władza Wdrażająca Program Współpracy Przygranicznej,</t>
    </r>
    <r>
      <rPr>
        <sz val="10"/>
        <rFont val="Times New Roman CE"/>
        <family val="1"/>
      </rPr>
      <t xml:space="preserve">
Urząd Miejski Koszalin</t>
    </r>
  </si>
  <si>
    <t>"Usprawnienie układu komunikacyjnego miasta - przebudowa ul. Olchowej"</t>
  </si>
  <si>
    <t>4301
4302</t>
  </si>
  <si>
    <t>"Szlak gotyku ceglanego - EuRoB II"</t>
  </si>
  <si>
    <t>INTERREG IIIB Niemieckie Stowarzyszenie Mieszkalnictwa, Urbanistyki i Rozwoju przestrzennego z Berlina</t>
  </si>
  <si>
    <t>"Trasa Staromiejska"</t>
  </si>
  <si>
    <t>PHARE CBC 
Polska-Niemcy 2003
Euroregion Pomerania
Urząd Miejski Koszalin</t>
  </si>
  <si>
    <t>"Pierwsza Kronika Miasta Koszalina pióra J.D.Wendlanda"</t>
  </si>
  <si>
    <t>4112
4211
4212
4301
4302</t>
  </si>
  <si>
    <t>"Koszaliński katalog usług polsko - niemieckich</t>
  </si>
  <si>
    <t>4112
4122
4301
4302</t>
  </si>
  <si>
    <t>"Promocja rozwoju miasta - Vademecum Inwestora"</t>
  </si>
  <si>
    <t>3218
3219
4218
4219</t>
  </si>
  <si>
    <t>"Program stypendialny dla studentów w Koszalinie"</t>
  </si>
  <si>
    <t>3248
3249
4218
4219
4308
4309</t>
  </si>
  <si>
    <t>"System stypendiów dla uczniów szkół ponadgimnazjalnych w Koszalinie"</t>
  </si>
  <si>
    <t>"Modernizacja obiektu Muzeum w Koszalinie"</t>
  </si>
  <si>
    <t xml:space="preserve">OGÓŁEM </t>
  </si>
  <si>
    <t>Załącznik nr  1   do Uchwały</t>
  </si>
  <si>
    <t>Nr  XXXI / 494 / 2005</t>
  </si>
  <si>
    <t>Rady Miejskiej w Koszalinie</t>
  </si>
  <si>
    <t xml:space="preserve">z dnia 29 grudnia  2005 r.      </t>
  </si>
  <si>
    <t xml:space="preserve">DOCHODY I WYDATKI BUDŻETU MIASTA KOSZALINA NA 2006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</si>
  <si>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</si>
  <si>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</si>
  <si>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</si>
  <si>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</si>
  <si>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</si>
  <si>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</si>
  <si>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</si>
  <si>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</si>
  <si>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</si>
  <si>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</si>
  <si>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</si>
  <si>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</si>
  <si>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</si>
  <si>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</si>
  <si>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</si>
  <si>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</si>
  <si>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</si>
  <si>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</si>
  <si>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</si>
  <si>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</si>
  <si>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</si>
  <si>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</si>
  <si>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</si>
  <si>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</si>
  <si>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</si>
  <si>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</si>
  <si>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</si>
  <si>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</si>
  <si>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</si>
  <si>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</si>
  <si>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</si>
  <si>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</si>
  <si>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</si>
  <si>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</si>
  <si>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</si>
  <si>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</si>
  <si>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</si>
  <si>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</si>
  <si>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</si>
  <si>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</si>
  <si>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</si>
  <si>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</si>
  <si>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</si>
  <si>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</si>
  <si>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</si>
  <si>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</si>
  <si>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</si>
  <si>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</si>
  <si>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</si>
  <si>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</si>
  <si>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</si>
  <si>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</si>
  <si>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</si>
  <si>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</si>
  <si>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</si>
  <si>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</si>
  <si>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</si>
  <si>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</si>
  <si>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</si>
  <si>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</si>
  <si>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</si>
  <si>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</si>
  <si>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>PROGNOZOWANE  DOCHODY  MIASTA  KOSZALINA  NA  2006   ROK</t>
  </si>
  <si>
    <t>WEDŁUG ŹRÓDEŁ POWSTAWANIA</t>
  </si>
  <si>
    <t>OGÓŁEM</t>
  </si>
  <si>
    <t>GMINA</t>
  </si>
  <si>
    <t>POWIAT</t>
  </si>
  <si>
    <t>Lp.</t>
  </si>
  <si>
    <t>BUDŻET NA       2006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</si>
  <si>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</si>
  <si>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</si>
  <si>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</si>
  <si>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</si>
  <si>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</si>
  <si>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</si>
  <si>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</si>
  <si>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</si>
  <si>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</si>
  <si>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</si>
  <si>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</si>
  <si>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</si>
  <si>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</si>
  <si>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</si>
  <si>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</si>
  <si>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</si>
  <si>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</si>
  <si>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</si>
  <si>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</si>
  <si>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</si>
  <si>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</si>
  <si>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</si>
  <si>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</si>
  <si>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</si>
  <si>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</si>
  <si>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</si>
  <si>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</si>
  <si>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</si>
  <si>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</si>
  <si>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</si>
  <si>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</si>
  <si>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</si>
  <si>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</si>
  <si>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</si>
  <si>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</si>
  <si>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</si>
  <si>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</si>
  <si>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</si>
  <si>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</si>
  <si>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t>ŚRODKI Z EUROPEJSKIEGO FUNDUSZU ROZWOJU REGONALNEGO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</si>
  <si>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</si>
  <si>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</si>
  <si>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z gmin,   powiatów,  funduszy celowych)</t>
    </r>
  </si>
  <si>
    <r>
      <t xml:space="preserve">na zadania </t>
    </r>
    <r>
      <rPr>
        <b/>
        <sz val="8"/>
        <rFont val="Times New Roman"/>
        <family val="1"/>
      </rPr>
      <t xml:space="preserve">zlecone </t>
    </r>
  </si>
  <si>
    <r>
      <t>na zadania realizowane w drodze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 xml:space="preserve">z organami administracji rządowej 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</si>
  <si>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</si>
  <si>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 xml:space="preserve">Załącznik nr 3  do Uchwały </t>
  </si>
  <si>
    <t>PROGNOZOWANE  DOCHODY   MIASTA  KOSZALINA  NA  2006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</si>
  <si>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</si>
  <si>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</si>
  <si>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</si>
  <si>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</si>
  <si>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</si>
  <si>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 w drodze porozumień</t>
  </si>
  <si>
    <t>na zadania            zlecone</t>
  </si>
  <si>
    <t>ogółem</t>
  </si>
  <si>
    <t>na zadania                   własne</t>
  </si>
  <si>
    <t>na zadania                         zlecone</t>
  </si>
  <si>
    <t>TURYSTYKA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</si>
  <si>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</si>
  <si>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</si>
  <si>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</si>
  <si>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</si>
  <si>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</si>
  <si>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</si>
  <si>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</si>
  <si>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</si>
  <si>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 xml:space="preserve"> WYDATKI  MIASTA KOSZALINA NA   2006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</si>
  <si>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</si>
  <si>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</si>
  <si>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</si>
  <si>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</si>
  <si>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</si>
  <si>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</si>
  <si>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</si>
  <si>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</si>
  <si>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</si>
  <si>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</si>
  <si>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</si>
  <si>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</si>
  <si>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</si>
  <si>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</si>
  <si>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</si>
  <si>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</si>
  <si>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</si>
  <si>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</si>
  <si>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</si>
  <si>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</si>
  <si>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</si>
  <si>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</si>
  <si>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 xml:space="preserve"> - inne majątkowe</t>
  </si>
  <si>
    <t>Lokalny transport zbiorowy</t>
  </si>
  <si>
    <t>Wydatki bieżące:</t>
  </si>
  <si>
    <t>Wydatki majatkowe</t>
  </si>
  <si>
    <t>Drogi publiczne w miastach na prawach powiatu</t>
  </si>
  <si>
    <t>Drogi publiczne gminne</t>
  </si>
  <si>
    <t>Drogi wewnętrzne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</si>
  <si>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</si>
  <si>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</si>
  <si>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</si>
  <si>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</si>
  <si>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</si>
  <si>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(w tym: dotacje)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</si>
  <si>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</si>
  <si>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</si>
  <si>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</si>
  <si>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</si>
  <si>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</si>
  <si>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</si>
  <si>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</si>
  <si>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</si>
  <si>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</si>
  <si>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</si>
  <si>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</si>
  <si>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</si>
  <si>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</si>
  <si>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</si>
  <si>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</si>
  <si>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</si>
  <si>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</si>
  <si>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</si>
  <si>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</si>
  <si>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</si>
  <si>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</si>
  <si>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</si>
  <si>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</si>
  <si>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</si>
  <si>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</si>
  <si>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</si>
  <si>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</si>
  <si>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</si>
  <si>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</si>
  <si>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</si>
  <si>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papierów wartościowych, kredytów i pożyczek j.s.t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</si>
  <si>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</si>
  <si>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</si>
  <si>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</si>
  <si>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</si>
  <si>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</si>
  <si>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</si>
  <si>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</si>
  <si>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</si>
  <si>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</si>
  <si>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</si>
  <si>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</si>
  <si>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</si>
  <si>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</si>
  <si>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</si>
  <si>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</si>
  <si>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</si>
  <si>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</si>
  <si>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</si>
  <si>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</si>
  <si>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</si>
  <si>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</si>
  <si>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</si>
  <si>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</si>
  <si>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</si>
  <si>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</si>
  <si>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</si>
  <si>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</si>
  <si>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</si>
  <si>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</si>
  <si>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</si>
  <si>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</si>
  <si>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</si>
  <si>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</si>
  <si>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</si>
  <si>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</si>
  <si>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</si>
  <si>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</si>
  <si>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</si>
  <si>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</si>
  <si>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</si>
  <si>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</si>
  <si>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</si>
  <si>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</si>
  <si>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</si>
  <si>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</si>
  <si>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</si>
  <si>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</si>
  <si>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</si>
  <si>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</si>
  <si>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</si>
  <si>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</si>
  <si>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</si>
  <si>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</si>
  <si>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</si>
  <si>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</si>
  <si>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</si>
  <si>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</si>
  <si>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</si>
  <si>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</si>
  <si>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</si>
  <si>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</si>
  <si>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</si>
  <si>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</si>
  <si>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</si>
  <si>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</si>
  <si>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</si>
  <si>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</si>
  <si>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</si>
  <si>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</si>
  <si>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</si>
  <si>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</si>
  <si>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</si>
  <si>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</si>
  <si>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</si>
  <si>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</si>
  <si>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</si>
  <si>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</si>
  <si>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</si>
  <si>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</si>
  <si>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</si>
  <si>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2006  ROK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</si>
  <si>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</si>
  <si>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</si>
  <si>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</si>
  <si>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</si>
  <si>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</si>
  <si>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PLAN  DOCHODÓW I WYDATKÓW ZADAŃ  ZLECONYCH  GMINIE                                                                             Z  ZAKRESU  ADMINISTRACJI  RZĄDOWEJ                                                                     NA 2006 ROK</t>
  </si>
  <si>
    <t xml:space="preserve">Dział   Rozdział                </t>
  </si>
  <si>
    <t>PLAN DOTACJI</t>
  </si>
  <si>
    <t>2006 r.</t>
  </si>
  <si>
    <t xml:space="preserve">§    </t>
  </si>
  <si>
    <t>2005 r.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</si>
  <si>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</si>
  <si>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</si>
  <si>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</si>
  <si>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</si>
  <si>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</si>
  <si>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</si>
  <si>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</si>
  <si>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</si>
  <si>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</si>
  <si>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</si>
  <si>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</si>
  <si>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</si>
  <si>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</si>
  <si>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</si>
  <si>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</si>
  <si>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</si>
  <si>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</si>
  <si>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</si>
  <si>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</si>
  <si>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</si>
  <si>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75107</t>
  </si>
  <si>
    <t>Wybory Prezydenta Rzeczpospolitej Polskiej</t>
  </si>
  <si>
    <t>75108</t>
  </si>
  <si>
    <t>Wybory do Sejmu i Senatu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</si>
  <si>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</si>
  <si>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</si>
  <si>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</si>
  <si>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</si>
  <si>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</si>
  <si>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</si>
  <si>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</si>
  <si>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</si>
  <si>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</si>
  <si>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</si>
  <si>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</si>
  <si>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</si>
  <si>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</si>
  <si>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</si>
  <si>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</si>
  <si>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</si>
  <si>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</si>
  <si>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</si>
  <si>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</si>
  <si>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</si>
  <si>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</si>
  <si>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</si>
  <si>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</si>
  <si>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</si>
  <si>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</si>
  <si>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</si>
  <si>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</si>
  <si>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</si>
  <si>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</si>
  <si>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</si>
  <si>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</si>
  <si>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</si>
  <si>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2006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</si>
  <si>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</si>
  <si>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</si>
  <si>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</si>
  <si>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</si>
  <si>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</si>
  <si>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</si>
  <si>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</si>
  <si>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</si>
  <si>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</si>
  <si>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</si>
  <si>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</si>
  <si>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</si>
  <si>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</si>
  <si>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</si>
  <si>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</si>
  <si>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</si>
  <si>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</si>
  <si>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</si>
  <si>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</si>
  <si>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</si>
  <si>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</si>
  <si>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</si>
  <si>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</si>
  <si>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2004 r.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</si>
  <si>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</si>
  <si>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</si>
  <si>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</si>
  <si>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</si>
  <si>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</si>
  <si>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</si>
  <si>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</si>
  <si>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</si>
  <si>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</si>
  <si>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</si>
  <si>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</si>
  <si>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</si>
  <si>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2006   ROK</t>
  </si>
  <si>
    <t>92106</t>
  </si>
  <si>
    <t>92116</t>
  </si>
  <si>
    <t>92118</t>
  </si>
  <si>
    <t>Załącznik nr  9 do Uchwały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</si>
  <si>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</si>
  <si>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</si>
  <si>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2006 ROK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</si>
  <si>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</si>
  <si>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</si>
  <si>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</si>
  <si>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</si>
  <si>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</si>
  <si>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</si>
  <si>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</si>
  <si>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</si>
  <si>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</si>
  <si>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</si>
  <si>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</si>
  <si>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</si>
  <si>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</si>
  <si>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</si>
  <si>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XXXI / 494 / 2005</t>
  </si>
  <si>
    <t xml:space="preserve">                                  Rady Miejskiej w Koszalinie</t>
  </si>
  <si>
    <t xml:space="preserve">                                  z dnia 29 grudnia  2005 r.      </t>
  </si>
  <si>
    <t>BUDŻET   MIASTA   KOSZALINA</t>
  </si>
  <si>
    <t xml:space="preserve">NA   2006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</si>
  <si>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</si>
  <si>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</si>
  <si>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</si>
  <si>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</si>
  <si>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</si>
  <si>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</si>
  <si>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</si>
  <si>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</si>
  <si>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</si>
  <si>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</si>
  <si>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</si>
  <si>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</si>
  <si>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</si>
  <si>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</si>
  <si>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</si>
  <si>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</si>
  <si>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</si>
  <si>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2006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</si>
  <si>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</si>
  <si>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</si>
  <si>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</si>
  <si>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</si>
  <si>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</si>
  <si>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</si>
  <si>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</si>
  <si>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</si>
  <si>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</si>
  <si>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</si>
  <si>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</si>
  <si>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</si>
  <si>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</si>
  <si>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</si>
  <si>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</si>
  <si>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</si>
  <si>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11 do Uchwały</t>
  </si>
  <si>
    <t xml:space="preserve">PLAN DOTACJI UDZIELANYCH Z BUDŻETU MIASTA  </t>
  </si>
  <si>
    <t xml:space="preserve"> NA REALIZACJĘ  ZADAŃ PUBLICZNYCH  W 2006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</si>
  <si>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</si>
  <si>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</si>
  <si>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</si>
  <si>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</si>
  <si>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</si>
  <si>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</si>
  <si>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</si>
  <si>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</si>
  <si>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</si>
  <si>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</si>
  <si>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</si>
  <si>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</si>
  <si>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</si>
  <si>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</si>
  <si>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Dotacje celowe przekazane do samorządu województwa na zadania bieżące realizowane na podstawie porozumień między j.s.t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</si>
  <si>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</si>
  <si>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</si>
  <si>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</si>
  <si>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</si>
  <si>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</si>
  <si>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</si>
  <si>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</si>
  <si>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Pozostałe działania z zakresu kultury</t>
  </si>
  <si>
    <t>Domy i ośrodki kultury, świetlice, kluby</t>
  </si>
  <si>
    <t xml:space="preserve">Załącznik nr 12   do Uchwały </t>
  </si>
  <si>
    <t xml:space="preserve"> PLAN  PRZYCHODÓW  I   WYDATKÓW   ZAKŁADÓW    BUDŻETOWYCH                        I  GOSPODARSTW   POMOCNICZYCH                                                                                                     NA   2006  ROK</t>
  </si>
  <si>
    <t xml:space="preserve">Przewidywany stan środków  netto  na  koniec 2005 roku </t>
  </si>
  <si>
    <t>Plan  na  2006 rok</t>
  </si>
  <si>
    <t>Przychody własne</t>
  </si>
  <si>
    <r>
      <t xml:space="preserve">Dotacja                      </t>
    </r>
    <r>
      <rPr>
        <sz val="9"/>
        <rFont val="Times New Roman CE"/>
        <family val="1"/>
      </rPr>
      <t xml:space="preserve"> z budżetu miasta</t>
    </r>
  </si>
  <si>
    <t>Wydatki      ogółem</t>
  </si>
  <si>
    <t xml:space="preserve">Stan środków         netto  na  koniec 2006 roku </t>
  </si>
  <si>
    <t>Zarząd Budynków Mieszkalnych</t>
  </si>
  <si>
    <t>Przedszkola Miejskie</t>
  </si>
  <si>
    <t>Żłobek Miejski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</si>
  <si>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</si>
  <si>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</si>
  <si>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>Załącznik Nr 13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</si>
  <si>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</si>
  <si>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</si>
  <si>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</si>
  <si>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2006 rok</t>
  </si>
  <si>
    <t>Plan dochodów    na</t>
  </si>
  <si>
    <t>Plan wydatków   na</t>
  </si>
  <si>
    <t>Rozdział    §</t>
  </si>
  <si>
    <t>2006 r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</si>
  <si>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</si>
  <si>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</si>
  <si>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</si>
  <si>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</si>
  <si>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</si>
  <si>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</si>
  <si>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</si>
  <si>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</si>
  <si>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</si>
  <si>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</si>
  <si>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</si>
  <si>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</si>
  <si>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>Zwalczanie markomanii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</si>
  <si>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</si>
  <si>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</si>
  <si>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</si>
  <si>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</si>
  <si>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</si>
  <si>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</si>
  <si>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 ZBIORCZE  ZESTAWIENIE  PLANÓW  PRZYCHODÓW I WYDATKÓW </t>
  </si>
  <si>
    <t>DOCHODÓW WŁASNYCH  NA  2006  ROK</t>
  </si>
  <si>
    <t>PLAN   NA    2006   ROK</t>
  </si>
  <si>
    <t>Stan środków obrotowych na
 01-01-2006 r.</t>
  </si>
  <si>
    <t xml:space="preserve">Przychody </t>
  </si>
  <si>
    <t>Przychody ogółem</t>
  </si>
  <si>
    <t>Wydatki ogółem</t>
  </si>
  <si>
    <t>Stan środków obrotowych na 
31-12-2006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</si>
  <si>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</si>
  <si>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</si>
  <si>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</si>
  <si>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</si>
  <si>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</si>
  <si>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</si>
  <si>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</si>
  <si>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</si>
  <si>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</si>
  <si>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</si>
  <si>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 xml:space="preserve">       OGÓŁEM</t>
  </si>
  <si>
    <t>Załącznik nr 14a do Uchwały</t>
  </si>
  <si>
    <t xml:space="preserve">            PLAN  PRZYCHODÓW I  WYDATKÓW DOCHODÓW WŁASNYCH    </t>
  </si>
  <si>
    <t xml:space="preserve">                                                ZARZĄDU DRÓG MIEJSKICH NA 2006 ROK   </t>
  </si>
  <si>
    <t xml:space="preserve">  </t>
  </si>
  <si>
    <t>Dział, rozdział        §</t>
  </si>
  <si>
    <t>Przewidywane wykonanie                     2005 r.</t>
  </si>
  <si>
    <t>Plan  na                             2006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</si>
  <si>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</si>
  <si>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</si>
  <si>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</si>
  <si>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</si>
  <si>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</si>
  <si>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</si>
  <si>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</si>
  <si>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</si>
  <si>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</si>
  <si>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</si>
  <si>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0970</t>
  </si>
  <si>
    <t>Wpływy z różnych dochodów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</si>
  <si>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</si>
  <si>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</si>
  <si>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</si>
  <si>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</si>
  <si>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</si>
  <si>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</si>
  <si>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</si>
  <si>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</si>
  <si>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</si>
  <si>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</si>
  <si>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</si>
  <si>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</si>
  <si>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</si>
  <si>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</si>
  <si>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</si>
  <si>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</si>
  <si>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</si>
  <si>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Pozostałe odsetki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</si>
  <si>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</si>
  <si>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</si>
  <si>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</si>
  <si>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</si>
  <si>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Utrzymanie zimowe miasta</t>
  </si>
  <si>
    <t>Utrzymanie parków i zieleńców</t>
  </si>
  <si>
    <t>Stan środków na koniec roku (I+II-III)</t>
  </si>
  <si>
    <t>Załącznik nr 14b do Uchwały</t>
  </si>
  <si>
    <t>PLAN PRZYCHODÓW I WYDATKÓW  DOCHODÓW WŁASNYCH GMINNYCH JEDNOSTEK OŚWIATOWYCH  NA  2006  ROK</t>
  </si>
  <si>
    <t>Dział 801</t>
  </si>
  <si>
    <t>Lp.        §</t>
  </si>
  <si>
    <t>Przewidywane wykonanie             2005 r.</t>
  </si>
  <si>
    <t>Plan na                                               2006 r.</t>
  </si>
  <si>
    <t>Stan środków obrotowych na początek roku</t>
  </si>
  <si>
    <t>0920</t>
  </si>
  <si>
    <t>0960</t>
  </si>
  <si>
    <t>Otrzymane spadki, zapisy i darowizny w postaci pieniężnej</t>
  </si>
  <si>
    <t>Stan środków obrotowych na koniec roku  (I+II-III)</t>
  </si>
  <si>
    <t xml:space="preserve">            Załącznik nr 14c do Uchwały</t>
  </si>
  <si>
    <t xml:space="preserve">            Nr  XXXI / 494 / 2005</t>
  </si>
  <si>
    <t xml:space="preserve">            Rady Miejskiej w Koszalinie</t>
  </si>
  <si>
    <t xml:space="preserve">            z dnia 29 grudnia  2005 r.      </t>
  </si>
  <si>
    <t>PLAN PRZYCHODÓW I WYDATKÓW  DOCHODÓW WŁASNYCH POWIATOWYCH JEDNOSTEK OŚWIATOWYCH  NA  2006  ROK</t>
  </si>
  <si>
    <t>0830</t>
  </si>
  <si>
    <t>Wpływy z usług</t>
  </si>
  <si>
    <t>Nagrody i wydatki osobowe niezaliczone do wynagrodzeń</t>
  </si>
  <si>
    <t>Wynagrodzenia bezosobowe</t>
  </si>
  <si>
    <t>Zakup środków żywności</t>
  </si>
  <si>
    <t>Zakup usług zdrowotnych</t>
  </si>
  <si>
    <t>Zakup usług dostępu do sieci Internet</t>
  </si>
  <si>
    <t xml:space="preserve">             Załącznik nr 14d do Uchwały</t>
  </si>
  <si>
    <t xml:space="preserve">             Nr  XXXI / 494 / 2005</t>
  </si>
  <si>
    <t xml:space="preserve">             Rady Miejskiej w Koszalinie</t>
  </si>
  <si>
    <t xml:space="preserve">             z dnia 29 grudnia  2005 r.      </t>
  </si>
  <si>
    <t>Dział 854</t>
  </si>
  <si>
    <t xml:space="preserve">                Załącznik nr  14e do Uchwały</t>
  </si>
  <si>
    <t xml:space="preserve">                Nr  XXXI / 494 / 2005</t>
  </si>
  <si>
    <t xml:space="preserve">                Rady Miejskiej w Koszalinie</t>
  </si>
  <si>
    <t xml:space="preserve">                z dnia 29 grudnia  2005 r.      </t>
  </si>
  <si>
    <t xml:space="preserve">   PLAN PRZYCHODÓW  I  WYDATKÓW  DOCHODÓW WŁASNYCH</t>
  </si>
  <si>
    <t xml:space="preserve">          OŚRODKA  ADOPCYJNO - OPIEKUŃCZEGO NA 2006 ROK</t>
  </si>
  <si>
    <t>II.</t>
  </si>
  <si>
    <t>Ośrodki adopcyjno - opiekuńcze</t>
  </si>
  <si>
    <t>III.</t>
  </si>
  <si>
    <t>WYDATKI  OGÓŁEM</t>
  </si>
  <si>
    <t>Załącznik nr 15 do Uchwały</t>
  </si>
  <si>
    <t xml:space="preserve">  PLAN  PRZYCHODÓW  I  WYDATKÓW  FUNDUSZY  CELOWYCH</t>
  </si>
  <si>
    <t xml:space="preserve">                                     NA 2006 ROK</t>
  </si>
  <si>
    <t xml:space="preserve"> w złotych</t>
  </si>
  <si>
    <t>Przewidywane wykonanie                   2005 r.</t>
  </si>
  <si>
    <t>Plan                       2006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</si>
  <si>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</si>
  <si>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</si>
  <si>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</si>
  <si>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</si>
  <si>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</si>
  <si>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</si>
  <si>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15a do Uchwały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</si>
  <si>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</si>
  <si>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</si>
  <si>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</si>
  <si>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2006  ROK</t>
  </si>
  <si>
    <t xml:space="preserve">         </t>
  </si>
  <si>
    <t>Dział           Rozdział                §</t>
  </si>
  <si>
    <t>Plan                             2006 r.</t>
  </si>
  <si>
    <t>2</t>
  </si>
  <si>
    <t>900         90011</t>
  </si>
  <si>
    <t>9570</t>
  </si>
  <si>
    <t>Nadwyżki z lat ubiegłych</t>
  </si>
  <si>
    <t>Grzywny i inne kary pieniężne od osób prawnych i innych jednostek organizacyjnych</t>
  </si>
  <si>
    <t>Edukacja ekologiczna, propagowanie działań ekologicznych:</t>
  </si>
  <si>
    <t>Dotacje przekazane z funduszy celowych na realizację zadań bieżących dla jednostek niezaliczanych do sektora finansów publicznych</t>
  </si>
  <si>
    <t>Urządzanie i utrzymanie terenów zieleni, zadrzewień, zakrzewień oraz parków: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</si>
  <si>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</si>
  <si>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</si>
  <si>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</si>
  <si>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</si>
  <si>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</si>
  <si>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</si>
  <si>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</si>
  <si>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</si>
  <si>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</si>
  <si>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</si>
  <si>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</si>
  <si>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   OCHRONY</t>
  </si>
  <si>
    <t xml:space="preserve">                       ŚRODOWISKA  I  GOSPODARKI  WODNEJ</t>
  </si>
  <si>
    <t xml:space="preserve">                       NA  2006  ROK</t>
  </si>
  <si>
    <t xml:space="preserve">w złotych </t>
  </si>
  <si>
    <t>Przewidywane wykonanie 2005 r.</t>
  </si>
  <si>
    <t xml:space="preserve"> PRZYCHODY OGÓŁEM</t>
  </si>
  <si>
    <t xml:space="preserve"> WYDATKI OGÓŁEM</t>
  </si>
  <si>
    <t>2450</t>
  </si>
  <si>
    <t>Inne zadania służące ochronie środowiska:</t>
  </si>
  <si>
    <t xml:space="preserve">              Załącznik Nr 15c do Uchwały</t>
  </si>
  <si>
    <t xml:space="preserve">              Nr  XXXI / 494 / 2005</t>
  </si>
  <si>
    <t xml:space="preserve">              Rady Miejskiej w Koszalinie</t>
  </si>
  <si>
    <t xml:space="preserve">              z dnia 29 grudnia  2005 r.      </t>
  </si>
  <si>
    <t xml:space="preserve">                                        PLAN FINANSOWY</t>
  </si>
  <si>
    <t xml:space="preserve">           POWIATOWEGO FUNDUSZU GOSPODARKI </t>
  </si>
  <si>
    <t xml:space="preserve">    ZASOBEM GEODEZYJNYM I KARTOGRAFICZNYM</t>
  </si>
  <si>
    <t xml:space="preserve">                                            NA 2006 ROK</t>
  </si>
  <si>
    <t>Dział
Rozdział
§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</si>
  <si>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</si>
  <si>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</si>
  <si>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</si>
  <si>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</si>
  <si>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</si>
  <si>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</si>
  <si>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</si>
  <si>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</si>
  <si>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</si>
  <si>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</t>
  </si>
  <si>
    <t>Wydatki inwestycyjne</t>
  </si>
  <si>
    <t>Wydatki na zakupy inwestycyjne funduszy celowych</t>
  </si>
  <si>
    <t>STAN ŚRODKÓW OBROTOWYCH  
NA KONIEC ROKU</t>
  </si>
  <si>
    <t>Załącznik nr 16 do Uchwały</t>
  </si>
  <si>
    <t xml:space="preserve">                           PROGNOZA DŁUGU PUBLICZNEGO  MIASTA KOSZALINA NA LATA  2006 - 2013</t>
  </si>
  <si>
    <t>w tys. zł.</t>
  </si>
  <si>
    <t>Wykonanie</t>
  </si>
  <si>
    <t>Plan</t>
  </si>
  <si>
    <t xml:space="preserve">                                     Przewidywane wykonanie</t>
  </si>
  <si>
    <t>wykonanie 1999 r</t>
  </si>
  <si>
    <t>2002 r</t>
  </si>
  <si>
    <t>2007 r.</t>
  </si>
  <si>
    <t>2008 r.</t>
  </si>
  <si>
    <t>2009 r.</t>
  </si>
  <si>
    <t>2010 r.</t>
  </si>
  <si>
    <t>2011 r.</t>
  </si>
  <si>
    <t>2012 r.</t>
  </si>
  <si>
    <t>2013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</si>
  <si>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</si>
  <si>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</si>
  <si>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</si>
  <si>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</si>
  <si>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</si>
  <si>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</si>
  <si>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</si>
  <si>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</si>
  <si>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</si>
  <si>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</si>
  <si>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B. WYDATKI: </t>
  </si>
  <si>
    <t xml:space="preserve">Wydatki bieżące    </t>
  </si>
  <si>
    <t>w tym: remonty</t>
  </si>
  <si>
    <t>C. NADWYŻKA/DEFICYT (A-B)</t>
  </si>
  <si>
    <t>D. FINANSOWANIE (D1_D2)</t>
  </si>
  <si>
    <t>D1  Przychody ogółem:</t>
  </si>
  <si>
    <t xml:space="preserve">1. Kredyty, w tym: </t>
  </si>
  <si>
    <t>a) na prefinansowanie programów i projektów finansowych z udziałem środków pochodzących z funduszy strukturalnych  i Funduszu Spójności</t>
  </si>
  <si>
    <t>b) na realizacje programów i projektów finansowanych z udziałem środków pochodzących z funduszy strukturalnych  i Funduszu Spójności</t>
  </si>
  <si>
    <t xml:space="preserve">2. Pożyczki, w tym: </t>
  </si>
  <si>
    <t>b) na realizacje programów i    projektów finansowanych z udziałem   środków pochodzących z funduszy   strukturalnych  i Funduszu Spójności otrzymane z innych źródeł</t>
  </si>
  <si>
    <t>3. spłaty pożyczek udzielonych</t>
  </si>
  <si>
    <t>4. nadwyżka z lat ubiegłych</t>
  </si>
  <si>
    <t>5. papiery wartościowe, w tym:</t>
  </si>
  <si>
    <t>b) na realizację programów i projektów finansowanych z udziałem środków pochodzących z funduszy strukturalnych i Funduszu Spójności</t>
  </si>
  <si>
    <t>6. obligacje j.s.t.: w tym:</t>
  </si>
  <si>
    <t>7. prywatyzacja majątku j.s.t</t>
  </si>
  <si>
    <t>3. inne źródła</t>
  </si>
  <si>
    <t>D2   Rozchody ogółem:</t>
  </si>
  <si>
    <t>1. spłaty kredytów,w tym:</t>
  </si>
  <si>
    <t>2. spłaty pożyczek, w tym:</t>
  </si>
  <si>
    <t>3. pożyczki udzielone</t>
  </si>
  <si>
    <t>4. wykup papierów wartościowych, w tym:</t>
  </si>
  <si>
    <t>5. wykup obligacji samorządowych, tym:</t>
  </si>
  <si>
    <t>6. inne cele</t>
  </si>
  <si>
    <t>E. Umorzenie pożyczki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</si>
  <si>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</si>
  <si>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</si>
  <si>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</si>
  <si>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</si>
  <si>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</si>
  <si>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zobowiązania:</t>
  </si>
  <si>
    <t>a/ wynikające z ustaw i orzeczeń sądów</t>
  </si>
  <si>
    <t xml:space="preserve"> b/ wynikające z  udzielonych poręczeń i gwarancji</t>
  </si>
  <si>
    <t>c/ jednostek sektora finansów publicznych</t>
  </si>
  <si>
    <t>6.  zobowiązania związane z przyrzeczonymi środkami funduszy strukturalnych  oraz Funduszu Spójności Europejskiej</t>
  </si>
  <si>
    <t>a/ kredyty</t>
  </si>
  <si>
    <t>b/ pożyczki</t>
  </si>
  <si>
    <t xml:space="preserve">   c/ emitowane papiery wartościowe</t>
  </si>
  <si>
    <t>c/ emitowane papiery wartościowe</t>
  </si>
  <si>
    <t>d/ emitowane obligacje samorządowe</t>
  </si>
  <si>
    <t>G. Wskaźnik łącznego długu do dochodu    (poz.24 /poz.1) %</t>
  </si>
  <si>
    <t>G1. Wskaźnik długu do dochodu  (poz.24 (-) poz.33 )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</si>
  <si>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</si>
  <si>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</si>
  <si>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</si>
  <si>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</si>
  <si>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</si>
  <si>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</si>
  <si>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spłaty zobowiązań związanych z przyrzeczonymi środkami z funduszy strukturalnych oraz Funduszu Spójności Europejskiej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</si>
</sst>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0"/>
    <numFmt numFmtId="167" formatCode="0.0"/>
  </numFmts>
  <fonts count="81">
    <font>
      <sz val="10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sz val="9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i/>
      <sz val="8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sz val="7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53"/>
      <name val="Times New Roman CE"/>
      <family val="1"/>
    </font>
    <font>
      <sz val="9"/>
      <color indexed="53"/>
      <name val="Times New Roman CE"/>
      <family val="1"/>
    </font>
    <font>
      <b/>
      <i/>
      <sz val="13"/>
      <name val="Arial CE"/>
      <family val="0"/>
    </font>
    <font>
      <sz val="10"/>
      <color indexed="17"/>
      <name val="Times New Roman CE"/>
      <family val="1"/>
    </font>
    <font>
      <sz val="11"/>
      <color indexed="12"/>
      <name val="Times New Roman CE"/>
      <family val="1"/>
    </font>
    <font>
      <sz val="11"/>
      <color indexed="1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164" fontId="2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3" fontId="12" fillId="0" borderId="2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22" xfId="0" applyNumberFormat="1" applyFont="1" applyFill="1" applyBorder="1" applyAlignment="1" applyProtection="1">
      <alignment horizontal="right" vertical="center"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22" xfId="0" applyNumberFormat="1" applyFont="1" applyFill="1" applyBorder="1" applyAlignment="1" applyProtection="1">
      <alignment horizontal="right" vertical="center"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2" fillId="0" borderId="19" xfId="0" applyNumberFormat="1" applyFont="1" applyFill="1" applyBorder="1" applyAlignment="1" applyProtection="1">
      <alignment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3" fontId="13" fillId="0" borderId="25" xfId="0" applyNumberFormat="1" applyFont="1" applyFill="1" applyBorder="1" applyAlignment="1" applyProtection="1">
      <alignment horizontal="right" vertical="center"/>
      <protection/>
    </xf>
    <xf numFmtId="3" fontId="13" fillId="0" borderId="26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3" fontId="6" fillId="0" borderId="31" xfId="0" applyNumberFormat="1" applyFont="1" applyFill="1" applyBorder="1" applyAlignment="1" applyProtection="1">
      <alignment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0" fontId="27" fillId="0" borderId="0" xfId="0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4" fontId="27" fillId="0" borderId="0" xfId="0" applyNumberFormat="1" applyFont="1" applyAlignment="1">
      <alignment horizontal="fill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7" fillId="0" borderId="0" xfId="0" applyFont="1" applyAlignment="1">
      <alignment horizontal="centerContinuous" wrapText="1"/>
    </xf>
    <xf numFmtId="0" fontId="26" fillId="0" borderId="0" xfId="0" applyFont="1" applyBorder="1" applyAlignment="1">
      <alignment horizontal="centerContinuous" wrapText="1"/>
    </xf>
    <xf numFmtId="4" fontId="26" fillId="0" borderId="0" xfId="0" applyNumberFormat="1" applyFont="1" applyAlignment="1">
      <alignment horizontal="centerContinuous"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4" fontId="18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 vertical="top"/>
    </xf>
    <xf numFmtId="0" fontId="18" fillId="0" borderId="0" xfId="0" applyFont="1" applyBorder="1" applyAlignment="1">
      <alignment vertical="top"/>
    </xf>
    <xf numFmtId="4" fontId="18" fillId="0" borderId="0" xfId="0" applyNumberFormat="1" applyFont="1" applyBorder="1" applyAlignment="1">
      <alignment horizontal="centerContinuous" vertical="top"/>
    </xf>
    <xf numFmtId="0" fontId="28" fillId="0" borderId="34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16" fillId="0" borderId="16" xfId="0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Continuous" vertical="center" wrapText="1"/>
    </xf>
    <xf numFmtId="0" fontId="16" fillId="0" borderId="17" xfId="0" applyFont="1" applyBorder="1" applyAlignment="1">
      <alignment horizontal="centerContinuous" vertical="center" wrapText="1"/>
    </xf>
    <xf numFmtId="4" fontId="16" fillId="0" borderId="14" xfId="0" applyNumberFormat="1" applyFont="1" applyBorder="1" applyAlignment="1">
      <alignment horizontal="centerContinuous" vertical="center" wrapText="1"/>
    </xf>
    <xf numFmtId="0" fontId="18" fillId="0" borderId="16" xfId="0" applyFont="1" applyBorder="1" applyAlignment="1">
      <alignment horizontal="centerContinuous" vertical="center" wrapText="1"/>
    </xf>
    <xf numFmtId="0" fontId="19" fillId="0" borderId="14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Continuous" vertical="center" wrapText="1"/>
    </xf>
    <xf numFmtId="4" fontId="19" fillId="0" borderId="14" xfId="0" applyNumberFormat="1" applyFont="1" applyBorder="1" applyAlignment="1">
      <alignment horizontal="centerContinuous" vertical="center" wrapText="1"/>
    </xf>
    <xf numFmtId="0" fontId="18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31" fillId="0" borderId="36" xfId="0" applyFont="1" applyBorder="1" applyAlignment="1">
      <alignment horizontal="centerContinuous" vertical="center"/>
    </xf>
    <xf numFmtId="4" fontId="31" fillId="0" borderId="28" xfId="0" applyNumberFormat="1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16" fillId="0" borderId="24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" fontId="22" fillId="0" borderId="39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vertical="center"/>
    </xf>
    <xf numFmtId="165" fontId="16" fillId="0" borderId="13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vertical="center" wrapText="1"/>
    </xf>
    <xf numFmtId="3" fontId="28" fillId="0" borderId="15" xfId="0" applyNumberFormat="1" applyFont="1" applyBorder="1" applyAlignment="1">
      <alignment horizontal="right" vertical="center" wrapText="1"/>
    </xf>
    <xf numFmtId="165" fontId="35" fillId="0" borderId="16" xfId="0" applyNumberFormat="1" applyFont="1" applyBorder="1" applyAlignment="1">
      <alignment horizontal="right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5" fontId="35" fillId="0" borderId="17" xfId="0" applyNumberFormat="1" applyFont="1" applyBorder="1" applyAlignment="1">
      <alignment horizontal="right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right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165" fontId="28" fillId="0" borderId="15" xfId="0" applyNumberFormat="1" applyFont="1" applyBorder="1" applyAlignment="1">
      <alignment horizontal="right" vertical="center" wrapText="1"/>
    </xf>
    <xf numFmtId="165" fontId="35" fillId="0" borderId="35" xfId="0" applyNumberFormat="1" applyFont="1" applyBorder="1" applyAlignment="1">
      <alignment vertical="center" wrapText="1"/>
    </xf>
    <xf numFmtId="165" fontId="35" fillId="0" borderId="17" xfId="0" applyNumberFormat="1" applyFont="1" applyBorder="1" applyAlignment="1">
      <alignment vertical="center" wrapText="1"/>
    </xf>
    <xf numFmtId="165" fontId="16" fillId="0" borderId="0" xfId="0" applyNumberFormat="1" applyFont="1" applyAlignment="1">
      <alignment vertical="center"/>
    </xf>
    <xf numFmtId="0" fontId="36" fillId="0" borderId="41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 wrapText="1"/>
    </xf>
    <xf numFmtId="3" fontId="36" fillId="0" borderId="42" xfId="0" applyNumberFormat="1" applyFont="1" applyBorder="1" applyAlignment="1">
      <alignment horizontal="right" vertical="center" wrapText="1"/>
    </xf>
    <xf numFmtId="165" fontId="37" fillId="0" borderId="43" xfId="0" applyNumberFormat="1" applyFont="1" applyBorder="1" applyAlignment="1">
      <alignment vertical="center" wrapText="1"/>
    </xf>
    <xf numFmtId="165" fontId="36" fillId="0" borderId="40" xfId="0" applyNumberFormat="1" applyFont="1" applyBorder="1" applyAlignment="1">
      <alignment vertical="center" wrapText="1"/>
    </xf>
    <xf numFmtId="165" fontId="37" fillId="0" borderId="44" xfId="0" applyNumberFormat="1" applyFont="1" applyBorder="1" applyAlignment="1">
      <alignment vertical="center" wrapText="1"/>
    </xf>
    <xf numFmtId="164" fontId="37" fillId="0" borderId="40" xfId="0" applyNumberFormat="1" applyFont="1" applyBorder="1" applyAlignment="1">
      <alignment vertical="center" wrapText="1"/>
    </xf>
    <xf numFmtId="164" fontId="37" fillId="0" borderId="44" xfId="0" applyNumberFormat="1" applyFont="1" applyBorder="1" applyAlignment="1">
      <alignment vertical="center" wrapText="1"/>
    </xf>
    <xf numFmtId="164" fontId="36" fillId="0" borderId="42" xfId="0" applyNumberFormat="1" applyFont="1" applyBorder="1" applyAlignment="1">
      <alignment vertical="center" wrapText="1"/>
    </xf>
    <xf numFmtId="3" fontId="36" fillId="0" borderId="43" xfId="0" applyNumberFormat="1" applyFont="1" applyBorder="1" applyAlignment="1">
      <alignment vertical="center" wrapText="1"/>
    </xf>
    <xf numFmtId="164" fontId="37" fillId="0" borderId="45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8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8" fillId="0" borderId="46" xfId="0" applyFont="1" applyBorder="1" applyAlignment="1">
      <alignment horizontal="center" vertical="center" wrapText="1"/>
    </xf>
    <xf numFmtId="3" fontId="22" fillId="0" borderId="47" xfId="0" applyNumberFormat="1" applyFont="1" applyBorder="1" applyAlignment="1">
      <alignment horizontal="right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3" fontId="22" fillId="0" borderId="47" xfId="0" applyNumberFormat="1" applyFont="1" applyBorder="1" applyAlignment="1">
      <alignment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vertical="center" wrapText="1"/>
    </xf>
    <xf numFmtId="3" fontId="36" fillId="0" borderId="50" xfId="0" applyNumberFormat="1" applyFont="1" applyBorder="1" applyAlignment="1">
      <alignment horizontal="right" vertical="center" wrapText="1"/>
    </xf>
    <xf numFmtId="165" fontId="37" fillId="0" borderId="51" xfId="0" applyNumberFormat="1" applyFont="1" applyBorder="1" applyAlignment="1">
      <alignment horizontal="center" vertical="center" wrapText="1"/>
    </xf>
    <xf numFmtId="165" fontId="36" fillId="0" borderId="49" xfId="0" applyNumberFormat="1" applyFont="1" applyBorder="1" applyAlignment="1">
      <alignment horizontal="center" vertical="center" wrapText="1"/>
    </xf>
    <xf numFmtId="165" fontId="37" fillId="0" borderId="52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5" fontId="37" fillId="0" borderId="49" xfId="0" applyNumberFormat="1" applyFont="1" applyBorder="1" applyAlignment="1">
      <alignment vertical="center" wrapText="1"/>
    </xf>
    <xf numFmtId="165" fontId="37" fillId="0" borderId="52" xfId="0" applyNumberFormat="1" applyFont="1" applyBorder="1" applyAlignment="1">
      <alignment vertical="center" wrapText="1"/>
    </xf>
    <xf numFmtId="165" fontId="36" fillId="0" borderId="50" xfId="0" applyNumberFormat="1" applyFont="1" applyBorder="1" applyAlignment="1">
      <alignment vertical="center" wrapText="1"/>
    </xf>
    <xf numFmtId="3" fontId="36" fillId="0" borderId="51" xfId="0" applyNumberFormat="1" applyFont="1" applyBorder="1" applyAlignment="1">
      <alignment vertical="center" wrapText="1"/>
    </xf>
    <xf numFmtId="164" fontId="37" fillId="0" borderId="53" xfId="0" applyNumberFormat="1" applyFont="1" applyBorder="1" applyAlignment="1">
      <alignment horizontal="center" vertical="center" wrapText="1"/>
    </xf>
    <xf numFmtId="164" fontId="37" fillId="0" borderId="52" xfId="0" applyNumberFormat="1" applyFont="1" applyBorder="1" applyAlignment="1">
      <alignment vertical="center" wrapText="1"/>
    </xf>
    <xf numFmtId="164" fontId="39" fillId="0" borderId="4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2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164" fontId="21" fillId="0" borderId="19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164" fontId="22" fillId="0" borderId="20" xfId="0" applyNumberFormat="1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 wrapText="1"/>
    </xf>
    <xf numFmtId="164" fontId="21" fillId="0" borderId="54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vertical="center" wrapText="1"/>
    </xf>
    <xf numFmtId="164" fontId="36" fillId="0" borderId="50" xfId="0" applyNumberFormat="1" applyFont="1" applyBorder="1" applyAlignment="1">
      <alignment vertical="center" wrapText="1"/>
    </xf>
    <xf numFmtId="3" fontId="36" fillId="0" borderId="51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164" fontId="22" fillId="0" borderId="55" xfId="0" applyNumberFormat="1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vertical="center" wrapText="1"/>
    </xf>
    <xf numFmtId="164" fontId="21" fillId="0" borderId="55" xfId="0" applyNumberFormat="1" applyFont="1" applyBorder="1" applyAlignment="1">
      <alignment vertical="center" wrapText="1"/>
    </xf>
    <xf numFmtId="164" fontId="21" fillId="0" borderId="57" xfId="0" applyNumberFormat="1" applyFont="1" applyBorder="1" applyAlignment="1">
      <alignment vertical="center" wrapText="1"/>
    </xf>
    <xf numFmtId="164" fontId="22" fillId="0" borderId="56" xfId="0" applyNumberFormat="1" applyFont="1" applyBorder="1" applyAlignment="1">
      <alignment vertical="center" wrapText="1"/>
    </xf>
    <xf numFmtId="3" fontId="22" fillId="0" borderId="58" xfId="0" applyNumberFormat="1" applyFont="1" applyBorder="1" applyAlignment="1">
      <alignment vertical="center" wrapText="1"/>
    </xf>
    <xf numFmtId="164" fontId="21" fillId="0" borderId="59" xfId="0" applyNumberFormat="1" applyFont="1" applyBorder="1" applyAlignment="1">
      <alignment vertical="center" wrapText="1"/>
    </xf>
    <xf numFmtId="164" fontId="21" fillId="0" borderId="5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27" xfId="0" applyFont="1" applyBorder="1" applyAlignment="1">
      <alignment vertical="center" wrapText="1"/>
    </xf>
    <xf numFmtId="3" fontId="22" fillId="0" borderId="60" xfId="0" applyNumberFormat="1" applyFont="1" applyBorder="1" applyAlignment="1">
      <alignment vertical="center" wrapText="1"/>
    </xf>
    <xf numFmtId="165" fontId="21" fillId="0" borderId="25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4" fontId="21" fillId="0" borderId="27" xfId="0" applyNumberFormat="1" applyFont="1" applyBorder="1" applyAlignment="1">
      <alignment vertical="center" wrapText="1"/>
    </xf>
    <xf numFmtId="164" fontId="21" fillId="0" borderId="26" xfId="0" applyNumberFormat="1" applyFont="1" applyBorder="1" applyAlignment="1">
      <alignment vertical="center" wrapText="1"/>
    </xf>
    <xf numFmtId="164" fontId="22" fillId="0" borderId="60" xfId="0" applyNumberFormat="1" applyFont="1" applyBorder="1" applyAlignment="1">
      <alignment vertical="center" wrapText="1"/>
    </xf>
    <xf numFmtId="3" fontId="22" fillId="0" borderId="25" xfId="0" applyNumberFormat="1" applyFont="1" applyBorder="1" applyAlignment="1">
      <alignment vertical="center" wrapText="1"/>
    </xf>
    <xf numFmtId="164" fontId="21" fillId="0" borderId="38" xfId="0" applyNumberFormat="1" applyFont="1" applyBorder="1" applyAlignment="1">
      <alignment vertical="center" wrapText="1"/>
    </xf>
    <xf numFmtId="0" fontId="40" fillId="0" borderId="49" xfId="0" applyFont="1" applyBorder="1" applyAlignment="1">
      <alignment vertical="center" wrapText="1"/>
    </xf>
    <xf numFmtId="3" fontId="36" fillId="0" borderId="61" xfId="0" applyNumberFormat="1" applyFont="1" applyBorder="1" applyAlignment="1">
      <alignment horizontal="right" vertical="center" wrapText="1"/>
    </xf>
    <xf numFmtId="3" fontId="36" fillId="0" borderId="50" xfId="0" applyNumberFormat="1" applyFont="1" applyBorder="1" applyAlignment="1">
      <alignment horizontal="right" vertical="center" wrapText="1"/>
    </xf>
    <xf numFmtId="165" fontId="37" fillId="0" borderId="49" xfId="0" applyNumberFormat="1" applyFont="1" applyBorder="1" applyAlignment="1">
      <alignment horizontal="center" vertical="center" wrapText="1"/>
    </xf>
    <xf numFmtId="165" fontId="37" fillId="0" borderId="52" xfId="0" applyNumberFormat="1" applyFont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 wrapText="1"/>
    </xf>
    <xf numFmtId="164" fontId="37" fillId="0" borderId="53" xfId="0" applyNumberFormat="1" applyFont="1" applyBorder="1" applyAlignment="1">
      <alignment vertical="center" wrapText="1"/>
    </xf>
    <xf numFmtId="3" fontId="22" fillId="0" borderId="62" xfId="0" applyNumberFormat="1" applyFont="1" applyBorder="1" applyAlignment="1">
      <alignment horizontal="right" vertical="center" wrapText="1"/>
    </xf>
    <xf numFmtId="165" fontId="21" fillId="0" borderId="58" xfId="0" applyNumberFormat="1" applyFont="1" applyBorder="1" applyAlignment="1">
      <alignment vertical="center" wrapText="1"/>
    </xf>
    <xf numFmtId="165" fontId="22" fillId="0" borderId="55" xfId="0" applyNumberFormat="1" applyFont="1" applyBorder="1" applyAlignment="1">
      <alignment vertical="center" wrapText="1"/>
    </xf>
    <xf numFmtId="165" fontId="21" fillId="0" borderId="57" xfId="0" applyNumberFormat="1" applyFont="1" applyBorder="1" applyAlignment="1">
      <alignment vertical="center" wrapText="1"/>
    </xf>
    <xf numFmtId="165" fontId="21" fillId="0" borderId="55" xfId="0" applyNumberFormat="1" applyFont="1" applyBorder="1" applyAlignment="1">
      <alignment vertical="center" wrapText="1"/>
    </xf>
    <xf numFmtId="165" fontId="22" fillId="0" borderId="56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3" fontId="22" fillId="0" borderId="23" xfId="0" applyNumberFormat="1" applyFont="1" applyBorder="1" applyAlignment="1">
      <alignment horizontal="right" vertical="center" wrapText="1"/>
    </xf>
    <xf numFmtId="165" fontId="21" fillId="0" borderId="19" xfId="0" applyNumberFormat="1" applyFont="1" applyBorder="1" applyAlignment="1">
      <alignment vertical="center" wrapText="1"/>
    </xf>
    <xf numFmtId="165" fontId="22" fillId="0" borderId="20" xfId="0" applyNumberFormat="1" applyFont="1" applyBorder="1" applyAlignment="1">
      <alignment vertical="center" wrapText="1"/>
    </xf>
    <xf numFmtId="165" fontId="36" fillId="0" borderId="48" xfId="0" applyNumberFormat="1" applyFont="1" applyBorder="1" applyAlignment="1">
      <alignment horizontal="center" vertical="center" wrapText="1"/>
    </xf>
    <xf numFmtId="165" fontId="23" fillId="0" borderId="49" xfId="0" applyNumberFormat="1" applyFont="1" applyBorder="1" applyAlignment="1">
      <alignment vertical="center" wrapText="1"/>
    </xf>
    <xf numFmtId="165" fontId="37" fillId="0" borderId="4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3" fontId="28" fillId="0" borderId="39" xfId="0" applyNumberFormat="1" applyFont="1" applyBorder="1" applyAlignment="1">
      <alignment horizontal="right" vertical="center" wrapText="1"/>
    </xf>
    <xf numFmtId="165" fontId="35" fillId="0" borderId="16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35" fillId="0" borderId="17" xfId="0" applyNumberFormat="1" applyFont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5" fontId="28" fillId="0" borderId="15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right" vertical="center" wrapText="1"/>
    </xf>
    <xf numFmtId="164" fontId="35" fillId="0" borderId="35" xfId="0" applyNumberFormat="1" applyFont="1" applyBorder="1" applyAlignment="1">
      <alignment vertical="center" wrapText="1"/>
    </xf>
    <xf numFmtId="164" fontId="35" fillId="0" borderId="17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2" fillId="0" borderId="23" xfId="0" applyNumberFormat="1" applyFont="1" applyBorder="1" applyAlignment="1">
      <alignment vertical="center" wrapText="1"/>
    </xf>
    <xf numFmtId="165" fontId="39" fillId="0" borderId="22" xfId="0" applyNumberFormat="1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 wrapText="1"/>
    </xf>
    <xf numFmtId="0" fontId="28" fillId="0" borderId="39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left" vertical="center" wrapText="1"/>
    </xf>
    <xf numFmtId="3" fontId="28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28" fillId="0" borderId="15" xfId="0" applyNumberFormat="1" applyFont="1" applyBorder="1" applyAlignment="1">
      <alignment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165" fontId="35" fillId="0" borderId="16" xfId="0" applyNumberFormat="1" applyFont="1" applyBorder="1" applyAlignment="1">
      <alignment vertical="center" wrapText="1"/>
    </xf>
    <xf numFmtId="3" fontId="28" fillId="0" borderId="15" xfId="0" applyNumberFormat="1" applyFont="1" applyBorder="1" applyAlignment="1">
      <alignment vertical="center" wrapText="1"/>
    </xf>
    <xf numFmtId="165" fontId="35" fillId="0" borderId="14" xfId="0" applyNumberFormat="1" applyFont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0" fontId="22" fillId="0" borderId="63" xfId="0" applyFont="1" applyBorder="1" applyAlignment="1">
      <alignment vertical="center" wrapText="1"/>
    </xf>
    <xf numFmtId="0" fontId="38" fillId="0" borderId="23" xfId="0" applyFont="1" applyBorder="1" applyAlignment="1">
      <alignment horizontal="centerContinuous" vertical="center" wrapText="1"/>
    </xf>
    <xf numFmtId="0" fontId="22" fillId="0" borderId="63" xfId="0" applyFont="1" applyBorder="1" applyAlignment="1">
      <alignment horizontal="left" vertical="center" wrapText="1"/>
    </xf>
    <xf numFmtId="165" fontId="22" fillId="0" borderId="21" xfId="0" applyNumberFormat="1" applyFont="1" applyBorder="1" applyAlignment="1">
      <alignment vertical="center" wrapText="1"/>
    </xf>
    <xf numFmtId="165" fontId="22" fillId="0" borderId="22" xfId="0" applyNumberFormat="1" applyFont="1" applyBorder="1" applyAlignment="1">
      <alignment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21" xfId="0" applyNumberFormat="1" applyFont="1" applyBorder="1" applyAlignment="1">
      <alignment horizontal="right" vertical="center" wrapText="1"/>
    </xf>
    <xf numFmtId="164" fontId="22" fillId="0" borderId="54" xfId="0" applyNumberFormat="1" applyFont="1" applyBorder="1" applyAlignment="1">
      <alignment vertical="center" wrapText="1"/>
    </xf>
    <xf numFmtId="164" fontId="22" fillId="0" borderId="22" xfId="0" applyNumberFormat="1" applyFont="1" applyBorder="1" applyAlignment="1">
      <alignment vertical="center" wrapText="1"/>
    </xf>
    <xf numFmtId="0" fontId="25" fillId="0" borderId="64" xfId="0" applyFont="1" applyBorder="1" applyAlignment="1">
      <alignment horizontal="centerContinuous" vertical="center" wrapText="1"/>
    </xf>
    <xf numFmtId="0" fontId="14" fillId="0" borderId="64" xfId="0" applyFont="1" applyBorder="1" applyAlignment="1">
      <alignment horizontal="centerContinuous"/>
    </xf>
    <xf numFmtId="165" fontId="29" fillId="0" borderId="64" xfId="0" applyNumberFormat="1" applyFont="1" applyBorder="1" applyAlignment="1">
      <alignment horizontal="center" vertical="center" wrapText="1"/>
    </xf>
    <xf numFmtId="165" fontId="16" fillId="0" borderId="64" xfId="0" applyNumberFormat="1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right" vertical="center" wrapText="1"/>
    </xf>
    <xf numFmtId="3" fontId="16" fillId="0" borderId="39" xfId="0" applyNumberFormat="1" applyFont="1" applyBorder="1" applyAlignment="1">
      <alignment horizontal="right" vertical="center" wrapText="1"/>
    </xf>
    <xf numFmtId="164" fontId="16" fillId="0" borderId="16" xfId="0" applyNumberFormat="1" applyFont="1" applyBorder="1" applyAlignment="1">
      <alignment horizontal="right" vertical="center" wrapText="1"/>
    </xf>
    <xf numFmtId="165" fontId="16" fillId="0" borderId="28" xfId="0" applyNumberFormat="1" applyFont="1" applyBorder="1" applyAlignment="1">
      <alignment horizontal="center" vertical="center" wrapText="1"/>
    </xf>
    <xf numFmtId="165" fontId="29" fillId="0" borderId="64" xfId="0" applyNumberFormat="1" applyFont="1" applyBorder="1" applyAlignment="1">
      <alignment vertical="center" wrapText="1"/>
    </xf>
    <xf numFmtId="165" fontId="29" fillId="0" borderId="13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Continuous" vertical="center" wrapText="1"/>
    </xf>
    <xf numFmtId="4" fontId="18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NumberFormat="1" applyFont="1" applyFill="1" applyBorder="1" applyAlignment="1" applyProtection="1">
      <alignment horizontal="center" wrapText="1"/>
      <protection locked="0"/>
    </xf>
    <xf numFmtId="0" fontId="4" fillId="0" borderId="34" xfId="0" applyNumberFormat="1" applyFont="1" applyFill="1" applyBorder="1" applyAlignment="1" applyProtection="1">
      <alignment horizontal="center" wrapText="1"/>
      <protection locked="0"/>
    </xf>
    <xf numFmtId="167" fontId="9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7" fontId="9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7" fontId="2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7" fontId="9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7" fontId="2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7" fontId="7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top" wrapText="1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7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10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15" fillId="0" borderId="61" xfId="0" applyNumberFormat="1" applyFont="1" applyFill="1" applyBorder="1" applyAlignment="1" applyProtection="1">
      <alignment vertical="center" wrapText="1"/>
      <protection locked="0"/>
    </xf>
    <xf numFmtId="3" fontId="15" fillId="0" borderId="61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vertical="center"/>
      <protection locked="0"/>
    </xf>
    <xf numFmtId="3" fontId="15" fillId="0" borderId="61" xfId="0" applyNumberFormat="1" applyFont="1" applyFill="1" applyBorder="1" applyAlignment="1" applyProtection="1">
      <alignment vertical="center"/>
      <protection locked="0"/>
    </xf>
    <xf numFmtId="3" fontId="15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5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0" xfId="0" applyNumberFormat="1" applyFont="1" applyFill="1" applyBorder="1" applyAlignment="1" applyProtection="1">
      <alignment vertical="center" wrapText="1"/>
      <protection locked="0"/>
    </xf>
    <xf numFmtId="3" fontId="15" fillId="0" borderId="5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51" xfId="0" applyNumberFormat="1" applyFont="1" applyFill="1" applyBorder="1" applyAlignment="1" applyProtection="1">
      <alignment/>
      <protection locked="0"/>
    </xf>
    <xf numFmtId="3" fontId="15" fillId="0" borderId="61" xfId="0" applyNumberFormat="1" applyFont="1" applyFill="1" applyBorder="1" applyAlignment="1" applyProtection="1">
      <alignment/>
      <protection locked="0"/>
    </xf>
    <xf numFmtId="0" fontId="15" fillId="0" borderId="50" xfId="0" applyNumberFormat="1" applyFont="1" applyFill="1" applyBorder="1" applyAlignment="1" applyProtection="1">
      <alignment/>
      <protection locked="0"/>
    </xf>
    <xf numFmtId="0" fontId="15" fillId="0" borderId="51" xfId="0" applyNumberFormat="1" applyFont="1" applyFill="1" applyBorder="1" applyAlignment="1" applyProtection="1">
      <alignment/>
      <protection locked="0"/>
    </xf>
    <xf numFmtId="0" fontId="15" fillId="0" borderId="61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" fontId="15" fillId="0" borderId="0" xfId="0" applyNumberFormat="1" applyFont="1" applyAlignment="1">
      <alignment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5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4" xfId="0" applyNumberFormat="1" applyFont="1" applyFill="1" applyBorder="1" applyAlignment="1" applyProtection="1">
      <alignment/>
      <protection locked="0"/>
    </xf>
    <xf numFmtId="164" fontId="15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0" xfId="0" applyNumberFormat="1" applyFont="1" applyFill="1" applyBorder="1" applyAlignment="1" applyProtection="1">
      <alignment horizontal="centerContinuous" vertical="center"/>
      <protection locked="0"/>
    </xf>
    <xf numFmtId="1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4" xfId="0" applyNumberFormat="1" applyFont="1" applyFill="1" applyBorder="1" applyAlignment="1" applyProtection="1">
      <alignment horizontal="center" vertical="center"/>
      <protection locked="0"/>
    </xf>
    <xf numFmtId="1" fontId="11" fillId="0" borderId="39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72" xfId="0" applyNumberFormat="1" applyFont="1" applyFill="1" applyBorder="1" applyAlignment="1" applyProtection="1">
      <alignment horizontal="center" vertical="center"/>
      <protection locked="0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6" xfId="19" applyNumberFormat="1" applyFont="1" applyFill="1" applyBorder="1" applyAlignment="1" applyProtection="1">
      <alignment vertical="center" wrapText="1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0" xfId="19" applyNumberFormat="1" applyFont="1" applyFill="1" applyBorder="1" applyAlignment="1" applyProtection="1">
      <alignment vertical="center" wrapText="1"/>
      <protection locked="0"/>
    </xf>
    <xf numFmtId="3" fontId="15" fillId="0" borderId="66" xfId="0" applyNumberFormat="1" applyFont="1" applyFill="1" applyBorder="1" applyAlignment="1" applyProtection="1">
      <alignment vertical="center"/>
      <protection locked="0"/>
    </xf>
    <xf numFmtId="3" fontId="15" fillId="0" borderId="23" xfId="0" applyNumberFormat="1" applyFont="1" applyFill="1" applyBorder="1" applyAlignment="1" applyProtection="1">
      <alignment vertical="center"/>
      <protection locked="0"/>
    </xf>
    <xf numFmtId="3" fontId="15" fillId="0" borderId="54" xfId="0" applyNumberFormat="1" applyFont="1" applyFill="1" applyBorder="1" applyAlignment="1" applyProtection="1">
      <alignment vertical="center"/>
      <protection locked="0"/>
    </xf>
    <xf numFmtId="3" fontId="3" fillId="0" borderId="73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19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10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74" xfId="19" applyNumberFormat="1" applyFont="1" applyFill="1" applyBorder="1" applyAlignment="1" applyProtection="1">
      <alignment horizontal="left" vertical="center" wrapText="1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/>
    </xf>
    <xf numFmtId="164" fontId="15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3" fontId="15" fillId="0" borderId="19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 vertical="center"/>
    </xf>
    <xf numFmtId="164" fontId="51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75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4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61" xfId="0" applyNumberFormat="1" applyFont="1" applyFill="1" applyBorder="1" applyAlignment="1" applyProtection="1">
      <alignment horizontal="centerContinuous" vertical="center"/>
      <protection locked="0"/>
    </xf>
    <xf numFmtId="1" fontId="4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1" fontId="52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164" fontId="52" fillId="0" borderId="0" xfId="0" applyNumberFormat="1" applyFont="1" applyBorder="1" applyAlignment="1">
      <alignment/>
    </xf>
    <xf numFmtId="1" fontId="10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9" xfId="19" applyNumberFormat="1" applyFont="1" applyFill="1" applyBorder="1" applyAlignment="1" applyProtection="1">
      <alignment horizontal="left" vertical="center" wrapText="1"/>
      <protection locked="0"/>
    </xf>
    <xf numFmtId="3" fontId="15" fillId="0" borderId="76" xfId="0" applyNumberFormat="1" applyFont="1" applyFill="1" applyBorder="1" applyAlignment="1" applyProtection="1">
      <alignment vertical="center"/>
      <protection locked="0"/>
    </xf>
    <xf numFmtId="164" fontId="4" fillId="0" borderId="0" xfId="19" applyNumberFormat="1" applyFont="1" applyFill="1" applyBorder="1" applyAlignment="1" applyProtection="1">
      <alignment vertical="center" wrapText="1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" fontId="50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164" fontId="50" fillId="0" borderId="0" xfId="0" applyNumberFormat="1" applyFont="1" applyBorder="1" applyAlignment="1">
      <alignment/>
    </xf>
    <xf numFmtId="1" fontId="50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3" fillId="0" borderId="82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3" fontId="51" fillId="0" borderId="8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3" fontId="52" fillId="0" borderId="8" xfId="0" applyNumberFormat="1" applyFont="1" applyFill="1" applyBorder="1" applyAlignment="1" applyProtection="1">
      <alignment vertical="center"/>
      <protection locked="0"/>
    </xf>
    <xf numFmtId="1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7" xfId="19" applyNumberFormat="1" applyFont="1" applyFill="1" applyBorder="1" applyAlignment="1" applyProtection="1">
      <alignment horizontal="left" vertical="center" wrapText="1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8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 wrapText="1"/>
    </xf>
    <xf numFmtId="3" fontId="51" fillId="0" borderId="85" xfId="0" applyNumberFormat="1" applyFont="1" applyFill="1" applyBorder="1" applyAlignment="1" applyProtection="1">
      <alignment vertical="center"/>
      <protection locked="0"/>
    </xf>
    <xf numFmtId="164" fontId="10" fillId="0" borderId="49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54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1" fontId="15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19" applyNumberFormat="1" applyFont="1" applyFill="1" applyBorder="1" applyAlignment="1" applyProtection="1">
      <alignment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10" fillId="0" borderId="74" xfId="19" applyNumberFormat="1" applyFont="1" applyFill="1" applyBorder="1" applyAlignment="1" applyProtection="1">
      <alignment vertical="center" wrapText="1"/>
      <protection locked="0"/>
    </xf>
    <xf numFmtId="3" fontId="15" fillId="0" borderId="8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3" fillId="0" borderId="66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3" xfId="0" applyNumberFormat="1" applyFont="1" applyFill="1" applyBorder="1" applyAlignment="1" applyProtection="1">
      <alignment vertical="center"/>
      <protection locked="0"/>
    </xf>
    <xf numFmtId="3" fontId="50" fillId="0" borderId="54" xfId="0" applyNumberFormat="1" applyFont="1" applyFill="1" applyBorder="1" applyAlignment="1" applyProtection="1">
      <alignment vertical="center"/>
      <protection locked="0"/>
    </xf>
    <xf numFmtId="3" fontId="50" fillId="0" borderId="73" xfId="0" applyNumberFormat="1" applyFont="1" applyFill="1" applyBorder="1" applyAlignment="1" applyProtection="1">
      <alignment vertical="center"/>
      <protection locked="0"/>
    </xf>
    <xf numFmtId="3" fontId="50" fillId="0" borderId="19" xfId="0" applyNumberFormat="1" applyFont="1" applyFill="1" applyBorder="1" applyAlignment="1" applyProtection="1">
      <alignment vertical="center"/>
      <protection locked="0"/>
    </xf>
    <xf numFmtId="164" fontId="51" fillId="0" borderId="88" xfId="19" applyNumberFormat="1" applyFont="1" applyFill="1" applyBorder="1" applyAlignment="1" applyProtection="1">
      <alignment horizontal="left" vertical="center" wrapText="1"/>
      <protection locked="0"/>
    </xf>
    <xf numFmtId="3" fontId="52" fillId="0" borderId="81" xfId="0" applyNumberFormat="1" applyFont="1" applyFill="1" applyBorder="1" applyAlignment="1" applyProtection="1">
      <alignment vertical="center"/>
      <protection locked="0"/>
    </xf>
    <xf numFmtId="3" fontId="52" fillId="0" borderId="79" xfId="0" applyNumberFormat="1" applyFont="1" applyFill="1" applyBorder="1" applyAlignment="1" applyProtection="1">
      <alignment vertical="center"/>
      <protection locked="0"/>
    </xf>
    <xf numFmtId="3" fontId="50" fillId="0" borderId="82" xfId="0" applyNumberFormat="1" applyFont="1" applyFill="1" applyBorder="1" applyAlignment="1" applyProtection="1">
      <alignment vertical="center"/>
      <protection locked="0"/>
    </xf>
    <xf numFmtId="3" fontId="52" fillId="0" borderId="84" xfId="0" applyNumberFormat="1" applyFont="1" applyFill="1" applyBorder="1" applyAlignment="1" applyProtection="1">
      <alignment vertical="center"/>
      <protection locked="0"/>
    </xf>
    <xf numFmtId="3" fontId="50" fillId="0" borderId="84" xfId="0" applyNumberFormat="1" applyFont="1" applyFill="1" applyBorder="1" applyAlignment="1" applyProtection="1">
      <alignment vertical="center"/>
      <protection locked="0"/>
    </xf>
    <xf numFmtId="3" fontId="50" fillId="0" borderId="8" xfId="0" applyNumberFormat="1" applyFont="1" applyFill="1" applyBorder="1" applyAlignment="1" applyProtection="1">
      <alignment vertical="center"/>
      <protection locked="0"/>
    </xf>
    <xf numFmtId="164" fontId="10" fillId="0" borderId="47" xfId="19" applyNumberFormat="1" applyFont="1" applyFill="1" applyBorder="1" applyAlignment="1" applyProtection="1">
      <alignment vertical="center" wrapText="1"/>
      <protection locked="0"/>
    </xf>
    <xf numFmtId="3" fontId="10" fillId="0" borderId="8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86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19" applyNumberFormat="1" applyFont="1" applyFill="1" applyBorder="1" applyAlignment="1" applyProtection="1">
      <alignment horizontal="left" vertical="center" wrapText="1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86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64" fontId="10" fillId="0" borderId="74" xfId="19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/>
    </xf>
    <xf numFmtId="164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78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51" fillId="0" borderId="89" xfId="0" applyNumberFormat="1" applyFont="1" applyFill="1" applyBorder="1" applyAlignment="1" applyProtection="1">
      <alignment vertical="center"/>
      <protection locked="0"/>
    </xf>
    <xf numFmtId="164" fontId="51" fillId="0" borderId="88" xfId="19" applyNumberFormat="1" applyFont="1" applyFill="1" applyBorder="1" applyAlignment="1" applyProtection="1">
      <alignment vertical="center" wrapText="1"/>
      <protection locked="0"/>
    </xf>
    <xf numFmtId="3" fontId="51" fillId="0" borderId="90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" fontId="1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66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5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91" xfId="19" applyNumberFormat="1" applyFont="1" applyFill="1" applyBorder="1" applyAlignment="1" applyProtection="1">
      <alignment horizontal="left" vertical="center" wrapText="1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3" fillId="0" borderId="71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51" fillId="0" borderId="87" xfId="0" applyNumberFormat="1" applyFont="1" applyFill="1" applyBorder="1" applyAlignment="1" applyProtection="1">
      <alignment vertical="center"/>
      <protection locked="0"/>
    </xf>
    <xf numFmtId="3" fontId="4" fillId="0" borderId="77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3" fontId="52" fillId="0" borderId="76" xfId="0" applyNumberFormat="1" applyFont="1" applyFill="1" applyBorder="1" applyAlignment="1" applyProtection="1">
      <alignment vertical="center"/>
      <protection locked="0"/>
    </xf>
    <xf numFmtId="3" fontId="52" fillId="0" borderId="90" xfId="0" applyNumberFormat="1" applyFont="1" applyFill="1" applyBorder="1" applyAlignment="1" applyProtection="1">
      <alignment vertical="center"/>
      <protection locked="0"/>
    </xf>
    <xf numFmtId="3" fontId="52" fillId="0" borderId="82" xfId="0" applyNumberFormat="1" applyFont="1" applyFill="1" applyBorder="1" applyAlignment="1" applyProtection="1">
      <alignment vertical="center"/>
      <protection locked="0"/>
    </xf>
    <xf numFmtId="3" fontId="52" fillId="0" borderId="83" xfId="0" applyNumberFormat="1" applyFont="1" applyFill="1" applyBorder="1" applyAlignment="1" applyProtection="1">
      <alignment vertical="center"/>
      <protection locked="0"/>
    </xf>
    <xf numFmtId="3" fontId="15" fillId="0" borderId="38" xfId="0" applyNumberFormat="1" applyFont="1" applyFill="1" applyBorder="1" applyAlignment="1" applyProtection="1">
      <alignment vertical="center"/>
      <protection locked="0"/>
    </xf>
    <xf numFmtId="3" fontId="15" fillId="0" borderId="86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10" fillId="0" borderId="92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19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1" fontId="4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9" applyNumberFormat="1" applyFont="1" applyFill="1" applyBorder="1" applyAlignment="1" applyProtection="1">
      <alignment vertical="center" wrapText="1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52" fillId="0" borderId="21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5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52" fillId="0" borderId="85" xfId="0" applyNumberFormat="1" applyFont="1" applyFill="1" applyBorder="1" applyAlignment="1" applyProtection="1">
      <alignment vertical="center"/>
      <protection locked="0"/>
    </xf>
    <xf numFmtId="3" fontId="52" fillId="0" borderId="24" xfId="0" applyNumberFormat="1" applyFont="1" applyFill="1" applyBorder="1" applyAlignment="1" applyProtection="1">
      <alignment vertical="center"/>
      <protection locked="0"/>
    </xf>
    <xf numFmtId="3" fontId="52" fillId="0" borderId="95" xfId="0" applyNumberFormat="1" applyFont="1" applyFill="1" applyBorder="1" applyAlignment="1" applyProtection="1">
      <alignment vertical="center"/>
      <protection locked="0"/>
    </xf>
    <xf numFmtId="3" fontId="52" fillId="0" borderId="25" xfId="0" applyNumberFormat="1" applyFont="1" applyFill="1" applyBorder="1" applyAlignment="1" applyProtection="1">
      <alignment vertical="center"/>
      <protection locked="0"/>
    </xf>
    <xf numFmtId="3" fontId="15" fillId="0" borderId="75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64" fontId="10" fillId="0" borderId="74" xfId="0" applyNumberFormat="1" applyFont="1" applyBorder="1" applyAlignment="1">
      <alignment vertical="center" wrapText="1"/>
    </xf>
    <xf numFmtId="1" fontId="10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96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98" xfId="0" applyNumberFormat="1" applyFont="1" applyFill="1" applyBorder="1" applyAlignment="1" applyProtection="1">
      <alignment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1" fontId="51" fillId="0" borderId="62" xfId="0" applyNumberFormat="1" applyFont="1" applyFill="1" applyBorder="1" applyAlignment="1" applyProtection="1">
      <alignment horizontal="centerContinuous" vertical="center"/>
      <protection locked="0"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6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10" fillId="0" borderId="100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100" xfId="0" applyNumberFormat="1" applyFont="1" applyFill="1" applyBorder="1" applyAlignment="1" applyProtection="1">
      <alignment vertical="center"/>
      <protection locked="0"/>
    </xf>
    <xf numFmtId="164" fontId="10" fillId="0" borderId="36" xfId="19" applyNumberFormat="1" applyFont="1" applyFill="1" applyBorder="1" applyAlignment="1" applyProtection="1">
      <alignment vertical="center" wrapText="1"/>
      <protection locked="0"/>
    </xf>
    <xf numFmtId="3" fontId="51" fillId="0" borderId="21" xfId="0" applyNumberFormat="1" applyFont="1" applyFill="1" applyBorder="1" applyAlignment="1" applyProtection="1">
      <alignment vertical="center"/>
      <protection locked="0"/>
    </xf>
    <xf numFmtId="1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3" fontId="51" fillId="0" borderId="101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15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1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32" fillId="0" borderId="96" xfId="19" applyNumberFormat="1" applyFont="1" applyFill="1" applyBorder="1" applyAlignment="1" applyProtection="1">
      <alignment vertical="center" wrapText="1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64" fontId="15" fillId="0" borderId="91" xfId="19" applyNumberFormat="1" applyFont="1" applyFill="1" applyBorder="1" applyAlignment="1" applyProtection="1">
      <alignment vertical="center" wrapText="1"/>
      <protection locked="0"/>
    </xf>
    <xf numFmtId="3" fontId="15" fillId="0" borderId="71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5" fillId="0" borderId="55" xfId="0" applyNumberFormat="1" applyFont="1" applyFill="1" applyBorder="1" applyAlignment="1" applyProtection="1">
      <alignment vertical="center"/>
      <protection locked="0"/>
    </xf>
    <xf numFmtId="1" fontId="4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8" xfId="19" applyNumberFormat="1" applyFont="1" applyFill="1" applyBorder="1" applyAlignment="1" applyProtection="1">
      <alignment vertical="center" wrapText="1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4" fillId="0" borderId="84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64" fontId="51" fillId="0" borderId="19" xfId="19" applyNumberFormat="1" applyFont="1" applyFill="1" applyBorder="1" applyAlignment="1" applyProtection="1">
      <alignment vertical="center" wrapText="1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4" fillId="0" borderId="75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15" fillId="0" borderId="27" xfId="0" applyNumberFormat="1" applyFont="1" applyFill="1" applyBorder="1" applyAlignment="1" applyProtection="1">
      <alignment vertical="center"/>
      <protection locked="0"/>
    </xf>
    <xf numFmtId="1" fontId="10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27" xfId="19" applyNumberFormat="1" applyFont="1" applyFill="1" applyBorder="1" applyAlignment="1" applyProtection="1">
      <alignment horizontal="left"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5" fillId="0" borderId="102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horizontal="right" vertical="center"/>
      <protection locked="0"/>
    </xf>
    <xf numFmtId="3" fontId="15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51" fillId="0" borderId="18" xfId="0" applyNumberFormat="1" applyFont="1" applyFill="1" applyBorder="1" applyAlignment="1" applyProtection="1">
      <alignment vertical="center"/>
      <protection locked="0"/>
    </xf>
    <xf numFmtId="164" fontId="51" fillId="0" borderId="19" xfId="19" applyNumberFormat="1" applyFont="1" applyFill="1" applyBorder="1" applyAlignment="1" applyProtection="1">
      <alignment horizontal="left" vertical="center" wrapText="1"/>
      <protection locked="0"/>
    </xf>
    <xf numFmtId="164" fontId="4" fillId="0" borderId="19" xfId="19" applyNumberFormat="1" applyFont="1" applyFill="1" applyBorder="1" applyAlignment="1" applyProtection="1">
      <alignment vertical="center" wrapText="1"/>
      <protection locked="0"/>
    </xf>
    <xf numFmtId="1" fontId="53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93" xfId="19" applyNumberFormat="1" applyFont="1" applyFill="1" applyBorder="1" applyAlignment="1" applyProtection="1">
      <alignment horizontal="left" vertical="center" wrapText="1"/>
      <protection locked="0"/>
    </xf>
    <xf numFmtId="3" fontId="15" fillId="0" borderId="85" xfId="0" applyNumberFormat="1" applyFont="1" applyFill="1" applyBorder="1" applyAlignment="1" applyProtection="1">
      <alignment vertical="center"/>
      <protection locked="0"/>
    </xf>
    <xf numFmtId="3" fontId="51" fillId="0" borderId="46" xfId="0" applyNumberFormat="1" applyFont="1" applyFill="1" applyBorder="1" applyAlignment="1" applyProtection="1">
      <alignment vertical="center"/>
      <protection locked="0"/>
    </xf>
    <xf numFmtId="3" fontId="51" fillId="0" borderId="25" xfId="0" applyNumberFormat="1" applyFont="1" applyFill="1" applyBorder="1" applyAlignment="1" applyProtection="1">
      <alignment vertical="center"/>
      <protection locked="0"/>
    </xf>
    <xf numFmtId="1" fontId="15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74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64" fontId="15" fillId="0" borderId="19" xfId="19" applyNumberFormat="1" applyFont="1" applyFill="1" applyBorder="1" applyAlignment="1" applyProtection="1">
      <alignment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164" fontId="51" fillId="0" borderId="63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51" fillId="0" borderId="7" xfId="0" applyNumberFormat="1" applyFont="1" applyFill="1" applyBorder="1" applyAlignment="1" applyProtection="1">
      <alignment vertical="center"/>
      <protection locked="0"/>
    </xf>
    <xf numFmtId="164" fontId="10" fillId="0" borderId="96" xfId="19" applyNumberFormat="1" applyFont="1" applyFill="1" applyBorder="1" applyAlignment="1" applyProtection="1">
      <alignment vertical="center" wrapText="1"/>
      <protection locked="0"/>
    </xf>
    <xf numFmtId="3" fontId="10" fillId="0" borderId="97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98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19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 applyFont="1" applyFill="1" applyBorder="1" applyAlignment="1" applyProtection="1">
      <alignment vertical="center" wrapText="1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105" xfId="0" applyNumberFormat="1" applyFont="1" applyFill="1" applyBorder="1" applyAlignment="1" applyProtection="1">
      <alignment vertical="center"/>
      <protection locked="0"/>
    </xf>
    <xf numFmtId="3" fontId="51" fillId="0" borderId="95" xfId="0" applyNumberFormat="1" applyFont="1" applyFill="1" applyBorder="1" applyAlignment="1" applyProtection="1">
      <alignment vertical="center"/>
      <protection locked="0"/>
    </xf>
    <xf numFmtId="3" fontId="15" fillId="0" borderId="87" xfId="0" applyNumberFormat="1" applyFont="1" applyFill="1" applyBorder="1" applyAlignment="1" applyProtection="1">
      <alignment horizontal="right" vertical="center"/>
      <protection locked="0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1" fontId="15" fillId="0" borderId="79" xfId="0" applyNumberFormat="1" applyFont="1" applyFill="1" applyBorder="1" applyAlignment="1" applyProtection="1">
      <alignment horizontal="centerContinuous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91" xfId="19" applyNumberFormat="1" applyFont="1" applyFill="1" applyBorder="1" applyAlignment="1" applyProtection="1">
      <alignment vertical="center" wrapText="1"/>
      <protection locked="0"/>
    </xf>
    <xf numFmtId="1" fontId="51" fillId="0" borderId="23" xfId="0" applyNumberFormat="1" applyFont="1" applyFill="1" applyBorder="1" applyAlignment="1" applyProtection="1">
      <alignment horizontal="center" vertical="center"/>
      <protection locked="0"/>
    </xf>
    <xf numFmtId="1" fontId="15" fillId="0" borderId="23" xfId="0" applyNumberFormat="1" applyFont="1" applyFill="1" applyBorder="1" applyAlignment="1" applyProtection="1">
      <alignment horizontal="center" vertical="center"/>
      <protection locked="0"/>
    </xf>
    <xf numFmtId="1" fontId="51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164" fontId="15" fillId="0" borderId="74" xfId="19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164" fontId="4" fillId="0" borderId="27" xfId="19" applyNumberFormat="1" applyFont="1" applyFill="1" applyBorder="1" applyAlignment="1" applyProtection="1">
      <alignment vertical="center" wrapText="1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vertical="center"/>
      <protection locked="0"/>
    </xf>
    <xf numFmtId="164" fontId="4" fillId="0" borderId="91" xfId="19" applyNumberFormat="1" applyFont="1" applyFill="1" applyBorder="1" applyAlignment="1" applyProtection="1">
      <alignment horizontal="left" vertical="center" wrapText="1"/>
      <protection locked="0"/>
    </xf>
    <xf numFmtId="164" fontId="15" fillId="0" borderId="47" xfId="19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15" fillId="0" borderId="95" xfId="0" applyNumberFormat="1" applyFont="1" applyFill="1" applyBorder="1" applyAlignment="1" applyProtection="1">
      <alignment vertical="center"/>
      <protection locked="0"/>
    </xf>
    <xf numFmtId="164" fontId="10" fillId="0" borderId="49" xfId="19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164" fontId="51" fillId="0" borderId="22" xfId="19" applyNumberFormat="1" applyFont="1" applyFill="1" applyBorder="1" applyAlignment="1" applyProtection="1">
      <alignment vertical="center" wrapText="1"/>
      <protection locked="0"/>
    </xf>
    <xf numFmtId="164" fontId="51" fillId="0" borderId="26" xfId="19" applyNumberFormat="1" applyFont="1" applyFill="1" applyBorder="1" applyAlignment="1" applyProtection="1">
      <alignment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0" fontId="4" fillId="0" borderId="106" xfId="0" applyFont="1" applyBorder="1" applyAlignment="1">
      <alignment vertical="center" wrapText="1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164" fontId="4" fillId="0" borderId="14" xfId="19" applyNumberFormat="1" applyFont="1" applyFill="1" applyBorder="1" applyAlignment="1" applyProtection="1">
      <alignment vertical="center" wrapText="1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164" fontId="51" fillId="0" borderId="8" xfId="19" applyNumberFormat="1" applyFont="1" applyFill="1" applyBorder="1" applyAlignment="1" applyProtection="1">
      <alignment vertical="center" wrapText="1"/>
      <protection locked="0"/>
    </xf>
    <xf numFmtId="3" fontId="53" fillId="0" borderId="84" xfId="0" applyNumberFormat="1" applyFont="1" applyFill="1" applyBorder="1" applyAlignment="1" applyProtection="1">
      <alignment vertical="center"/>
      <protection locked="0"/>
    </xf>
    <xf numFmtId="3" fontId="53" fillId="0" borderId="8" xfId="0" applyNumberFormat="1" applyFont="1" applyFill="1" applyBorder="1" applyAlignment="1" applyProtection="1">
      <alignment vertical="center"/>
      <protection locked="0"/>
    </xf>
    <xf numFmtId="164" fontId="10" fillId="0" borderId="40" xfId="19" applyNumberFormat="1" applyFont="1" applyFill="1" applyBorder="1" applyAlignment="1" applyProtection="1">
      <alignment vertical="center" wrapText="1"/>
      <protection locked="0"/>
    </xf>
    <xf numFmtId="3" fontId="10" fillId="0" borderId="99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98" xfId="0" applyNumberFormat="1" applyFont="1" applyFill="1" applyBorder="1" applyAlignment="1" applyProtection="1">
      <alignment vertical="center"/>
      <protection locked="0"/>
    </xf>
    <xf numFmtId="1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5" xfId="19" applyNumberFormat="1" applyFont="1" applyFill="1" applyBorder="1" applyAlignment="1" applyProtection="1">
      <alignment vertical="center" wrapText="1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164" fontId="10" fillId="0" borderId="52" xfId="19" applyNumberFormat="1" applyFont="1" applyFill="1" applyBorder="1" applyAlignment="1" applyProtection="1">
      <alignment vertical="center" wrapText="1"/>
      <protection locked="0"/>
    </xf>
    <xf numFmtId="3" fontId="52" fillId="0" borderId="100" xfId="0" applyNumberFormat="1" applyFont="1" applyFill="1" applyBorder="1" applyAlignment="1" applyProtection="1">
      <alignment vertical="center"/>
      <protection locked="0"/>
    </xf>
    <xf numFmtId="3" fontId="52" fillId="0" borderId="93" xfId="0" applyNumberFormat="1" applyFont="1" applyFill="1" applyBorder="1" applyAlignment="1" applyProtection="1">
      <alignment vertical="center"/>
      <protection locked="0"/>
    </xf>
    <xf numFmtId="3" fontId="52" fillId="0" borderId="89" xfId="0" applyNumberFormat="1" applyFont="1" applyFill="1" applyBorder="1" applyAlignment="1" applyProtection="1">
      <alignment vertical="center"/>
      <protection locked="0"/>
    </xf>
    <xf numFmtId="164" fontId="6" fillId="0" borderId="36" xfId="19" applyNumberFormat="1" applyFont="1" applyFill="1" applyBorder="1" applyAlignment="1" applyProtection="1">
      <alignment vertical="center" wrapText="1"/>
      <protection locked="0"/>
    </xf>
    <xf numFmtId="1" fontId="4" fillId="0" borderId="2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1" fillId="0" borderId="18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18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3" fontId="53" fillId="0" borderId="63" xfId="0" applyNumberFormat="1" applyFont="1" applyBorder="1" applyAlignment="1">
      <alignment vertical="center"/>
    </xf>
    <xf numFmtId="1" fontId="11" fillId="0" borderId="23" xfId="0" applyNumberFormat="1" applyFont="1" applyBorder="1" applyAlignment="1">
      <alignment vertical="center"/>
    </xf>
    <xf numFmtId="3" fontId="11" fillId="0" borderId="6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15" fillId="0" borderId="23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73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51" fillId="0" borderId="76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8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8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9" fillId="0" borderId="65" xfId="0" applyNumberFormat="1" applyFont="1" applyFill="1" applyBorder="1" applyAlignment="1" applyProtection="1">
      <alignment horizontal="center"/>
      <protection/>
    </xf>
    <xf numFmtId="0" fontId="6" fillId="0" borderId="103" xfId="0" applyNumberFormat="1" applyFont="1" applyFill="1" applyBorder="1" applyAlignment="1" applyProtection="1">
      <alignment horizontal="centerContinuous" vertical="center"/>
      <protection/>
    </xf>
    <xf numFmtId="0" fontId="6" fillId="0" borderId="36" xfId="0" applyNumberFormat="1" applyFont="1" applyFill="1" applyBorder="1" applyAlignment="1" applyProtection="1">
      <alignment horizontal="centerContinuous" vertical="center"/>
      <protection/>
    </xf>
    <xf numFmtId="164" fontId="7" fillId="0" borderId="28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" vertical="top"/>
      <protection/>
    </xf>
    <xf numFmtId="0" fontId="9" fillId="0" borderId="8" xfId="0" applyNumberFormat="1" applyFont="1" applyFill="1" applyBorder="1" applyAlignment="1" applyProtection="1">
      <alignment horizontal="center" vertical="top"/>
      <protection/>
    </xf>
    <xf numFmtId="0" fontId="9" fillId="0" borderId="111" xfId="0" applyNumberFormat="1" applyFont="1" applyFill="1" applyBorder="1" applyAlignment="1" applyProtection="1">
      <alignment horizontal="center" vertical="top"/>
      <protection/>
    </xf>
    <xf numFmtId="0" fontId="9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 wrapText="1"/>
      <protection/>
    </xf>
    <xf numFmtId="0" fontId="3" fillId="0" borderId="113" xfId="0" applyNumberFormat="1" applyFont="1" applyFill="1" applyBorder="1" applyAlignment="1" applyProtection="1">
      <alignment horizontal="center" vertical="center" wrapText="1"/>
      <protection/>
    </xf>
    <xf numFmtId="3" fontId="2" fillId="0" borderId="114" xfId="0" applyNumberFormat="1" applyFont="1" applyFill="1" applyBorder="1" applyAlignment="1" applyProtection="1">
      <alignment horizontal="center" vertical="center"/>
      <protection/>
    </xf>
    <xf numFmtId="0" fontId="2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3" fontId="9" fillId="0" borderId="67" xfId="0" applyNumberFormat="1" applyFont="1" applyFill="1" applyBorder="1" applyAlignment="1" applyProtection="1">
      <alignment vertical="center"/>
      <protection/>
    </xf>
    <xf numFmtId="3" fontId="9" fillId="0" borderId="51" xfId="0" applyNumberFormat="1" applyFont="1" applyFill="1" applyBorder="1" applyAlignment="1" applyProtection="1">
      <alignment vertical="center"/>
      <protection/>
    </xf>
    <xf numFmtId="3" fontId="2" fillId="0" borderId="51" xfId="0" applyNumberFormat="1" applyFont="1" applyFill="1" applyBorder="1" applyAlignment="1" applyProtection="1">
      <alignment vertical="center"/>
      <protection/>
    </xf>
    <xf numFmtId="3" fontId="2" fillId="0" borderId="52" xfId="0" applyNumberFormat="1" applyFont="1" applyFill="1" applyBorder="1" applyAlignment="1" applyProtection="1">
      <alignment vertical="center"/>
      <protection/>
    </xf>
    <xf numFmtId="3" fontId="2" fillId="0" borderId="49" xfId="0" applyNumberFormat="1" applyFont="1" applyFill="1" applyBorder="1" applyAlignment="1" applyProtection="1">
      <alignment vertical="center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9" fillId="0" borderId="6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3" fontId="9" fillId="0" borderId="66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0" fontId="2" fillId="0" borderId="51" xfId="0" applyNumberFormat="1" applyFont="1" applyFill="1" applyBorder="1" applyAlignment="1" applyProtection="1">
      <alignment horizontal="left" vertical="center" wrapText="1"/>
      <protection/>
    </xf>
    <xf numFmtId="3" fontId="9" fillId="0" borderId="87" xfId="0" applyNumberFormat="1" applyFont="1" applyFill="1" applyBorder="1" applyAlignment="1" applyProtection="1">
      <alignment vertical="center"/>
      <protection/>
    </xf>
    <xf numFmtId="3" fontId="9" fillId="0" borderId="58" xfId="0" applyNumberFormat="1" applyFont="1" applyFill="1" applyBorder="1" applyAlignment="1" applyProtection="1">
      <alignment vertical="center"/>
      <protection/>
    </xf>
    <xf numFmtId="49" fontId="9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3" fontId="6" fillId="0" borderId="6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wrapText="1"/>
    </xf>
    <xf numFmtId="0" fontId="9" fillId="0" borderId="6" xfId="0" applyFont="1" applyBorder="1" applyAlignment="1">
      <alignment horizontal="centerContinuous" wrapText="1"/>
    </xf>
    <xf numFmtId="0" fontId="43" fillId="0" borderId="96" xfId="0" applyFont="1" applyBorder="1" applyAlignment="1">
      <alignment horizontal="centerContinuous" vertical="center" wrapText="1"/>
    </xf>
    <xf numFmtId="0" fontId="5" fillId="0" borderId="99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1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3" fontId="2" fillId="0" borderId="44" xfId="0" applyNumberFormat="1" applyFont="1" applyBorder="1" applyAlignment="1">
      <alignment horizontal="right" vertical="center" wrapText="1"/>
    </xf>
    <xf numFmtId="1" fontId="2" fillId="0" borderId="44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0" borderId="99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1" fontId="52" fillId="0" borderId="22" xfId="0" applyNumberFormat="1" applyFont="1" applyBorder="1" applyAlignment="1">
      <alignment horizontal="right" vertical="center" wrapText="1"/>
    </xf>
    <xf numFmtId="3" fontId="52" fillId="0" borderId="19" xfId="0" applyNumberFormat="1" applyFont="1" applyBorder="1" applyAlignment="1">
      <alignment vertical="center" wrapText="1"/>
    </xf>
    <xf numFmtId="3" fontId="52" fillId="0" borderId="63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9" fillId="0" borderId="49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9" fillId="0" borderId="61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3" fontId="9" fillId="0" borderId="52" xfId="0" applyNumberFormat="1" applyFont="1" applyBorder="1" applyAlignment="1">
      <alignment horizontal="right" vertical="center" wrapText="1"/>
    </xf>
    <xf numFmtId="1" fontId="9" fillId="0" borderId="52" xfId="0" applyNumberFormat="1" applyFont="1" applyBorder="1" applyAlignment="1">
      <alignment horizontal="right" vertical="center" wrapText="1"/>
    </xf>
    <xf numFmtId="3" fontId="9" fillId="0" borderId="9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center" wrapText="1"/>
    </xf>
    <xf numFmtId="3" fontId="9" fillId="0" borderId="63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63" xfId="0" applyNumberFormat="1" applyFont="1" applyBorder="1" applyAlignment="1">
      <alignment vertical="center" wrapText="1"/>
    </xf>
    <xf numFmtId="49" fontId="31" fillId="0" borderId="23" xfId="0" applyNumberFormat="1" applyFont="1" applyFill="1" applyBorder="1" applyAlignment="1" applyProtection="1">
      <alignment horizontal="centerContinuous" vertical="center"/>
      <protection locked="0"/>
    </xf>
    <xf numFmtId="0" fontId="31" fillId="0" borderId="22" xfId="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Border="1" applyAlignment="1">
      <alignment horizontal="right" vertical="center" wrapText="1"/>
    </xf>
    <xf numFmtId="1" fontId="2" fillId="0" borderId="22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1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93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1" fontId="6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1" fillId="0" borderId="62" xfId="0" applyNumberFormat="1" applyFont="1" applyFill="1" applyBorder="1" applyAlignment="1" applyProtection="1">
      <alignment horizontal="centerContinuous" vertical="center"/>
      <protection locked="0"/>
    </xf>
    <xf numFmtId="0" fontId="31" fillId="0" borderId="58" xfId="0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Border="1" applyAlignment="1">
      <alignment horizontal="right" vertical="center" wrapText="1"/>
    </xf>
    <xf numFmtId="1" fontId="2" fillId="0" borderId="57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110" xfId="0" applyNumberFormat="1" applyFont="1" applyBorder="1" applyAlignment="1">
      <alignment vertical="center" wrapText="1"/>
    </xf>
    <xf numFmtId="0" fontId="31" fillId="0" borderId="24" xfId="0" applyNumberFormat="1" applyFont="1" applyFill="1" applyBorder="1" applyAlignment="1" applyProtection="1">
      <alignment horizontal="centerContinuous" vertical="center"/>
      <protection locked="0"/>
    </xf>
    <xf numFmtId="0" fontId="31" fillId="0" borderId="25" xfId="0" applyNumberFormat="1" applyFont="1" applyFill="1" applyBorder="1" applyAlignment="1" applyProtection="1">
      <alignment vertical="center" wrapText="1"/>
      <protection locked="0"/>
    </xf>
    <xf numFmtId="49" fontId="2" fillId="0" borderId="6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2" fillId="0" borderId="52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2" xfId="0" applyNumberFormat="1" applyFont="1" applyBorder="1" applyAlignment="1">
      <alignment vertical="center" wrapText="1"/>
    </xf>
    <xf numFmtId="0" fontId="31" fillId="0" borderId="23" xfId="0" applyNumberFormat="1" applyFont="1" applyFill="1" applyBorder="1" applyAlignment="1" applyProtection="1">
      <alignment horizontal="centerContinuous" vertical="center"/>
      <protection locked="0"/>
    </xf>
    <xf numFmtId="0" fontId="31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3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1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vertical="center" wrapText="1"/>
    </xf>
    <xf numFmtId="49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1" fontId="9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Border="1" applyAlignment="1">
      <alignment vertical="center" wrapText="1"/>
    </xf>
    <xf numFmtId="3" fontId="9" fillId="0" borderId="99" xfId="0" applyNumberFormat="1" applyFont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 wrapText="1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Continuous" vertical="center" wrapText="1"/>
    </xf>
    <xf numFmtId="0" fontId="52" fillId="0" borderId="0" xfId="0" applyFont="1" applyAlignment="1">
      <alignment horizontal="center"/>
    </xf>
    <xf numFmtId="1" fontId="43" fillId="0" borderId="96" xfId="0" applyNumberFormat="1" applyFont="1" applyBorder="1" applyAlignment="1">
      <alignment horizontal="centerContinuous" vertical="center" wrapText="1"/>
    </xf>
    <xf numFmtId="1" fontId="9" fillId="0" borderId="60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" fontId="11" fillId="0" borderId="5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horizontal="right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right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righ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horizontal="right" vertical="center" wrapText="1"/>
    </xf>
    <xf numFmtId="1" fontId="9" fillId="0" borderId="50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 wrapText="1"/>
    </xf>
    <xf numFmtId="0" fontId="3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31" fillId="0" borderId="51" xfId="0" applyNumberFormat="1" applyFont="1" applyFill="1" applyBorder="1" applyAlignment="1" applyProtection="1">
      <alignment vertical="center" wrapText="1"/>
      <protection locked="0"/>
    </xf>
    <xf numFmtId="1" fontId="2" fillId="0" borderId="52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vertical="center" wrapText="1"/>
    </xf>
    <xf numFmtId="3" fontId="9" fillId="0" borderId="56" xfId="0" applyNumberFormat="1" applyFont="1" applyBorder="1" applyAlignment="1">
      <alignment horizontal="right" vertical="center" wrapText="1"/>
    </xf>
    <xf numFmtId="1" fontId="9" fillId="0" borderId="56" xfId="0" applyNumberFormat="1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7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0" fontId="9" fillId="0" borderId="3" xfId="0" applyFont="1" applyBorder="1" applyAlignment="1">
      <alignment horizontal="centerContinuous" wrapText="1"/>
    </xf>
    <xf numFmtId="167" fontId="6" fillId="0" borderId="28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93" xfId="0" applyNumberFormat="1" applyFont="1" applyBorder="1" applyAlignment="1">
      <alignment vertical="center"/>
    </xf>
    <xf numFmtId="167" fontId="2" fillId="0" borderId="93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6" fillId="0" borderId="15" xfId="0" applyNumberFormat="1" applyFont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60" xfId="0" applyNumberFormat="1" applyFont="1" applyBorder="1" applyAlignment="1">
      <alignment horizontal="right" vertical="center" wrapText="1"/>
    </xf>
    <xf numFmtId="3" fontId="9" fillId="0" borderId="60" xfId="0" applyNumberFormat="1" applyFont="1" applyBorder="1" applyAlignment="1">
      <alignment vertical="center"/>
    </xf>
    <xf numFmtId="3" fontId="9" fillId="0" borderId="93" xfId="0" applyNumberFormat="1" applyFont="1" applyBorder="1" applyAlignment="1">
      <alignment vertical="center"/>
    </xf>
    <xf numFmtId="167" fontId="9" fillId="0" borderId="93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9" fillId="0" borderId="20" xfId="0" applyNumberFormat="1" applyFont="1" applyBorder="1" applyAlignment="1">
      <alignment horizontal="right" vertical="center" wrapText="1"/>
    </xf>
    <xf numFmtId="3" fontId="2" fillId="0" borderId="63" xfId="0" applyNumberFormat="1" applyFont="1" applyBorder="1" applyAlignment="1">
      <alignment vertical="center"/>
    </xf>
    <xf numFmtId="167" fontId="2" fillId="0" borderId="63" xfId="0" applyNumberFormat="1" applyFont="1" applyBorder="1" applyAlignment="1">
      <alignment vertical="center"/>
    </xf>
    <xf numFmtId="167" fontId="6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vertical="center" wrapText="1"/>
    </xf>
    <xf numFmtId="167" fontId="5" fillId="0" borderId="2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wrapText="1"/>
    </xf>
    <xf numFmtId="3" fontId="5" fillId="0" borderId="0" xfId="0" applyNumberFormat="1" applyFont="1" applyAlignment="1">
      <alignment horizontal="right" wrapText="1"/>
    </xf>
    <xf numFmtId="3" fontId="2" fillId="0" borderId="99" xfId="0" applyNumberFormat="1" applyFont="1" applyBorder="1" applyAlignment="1">
      <alignment vertical="center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11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167" fontId="56" fillId="0" borderId="0" xfId="0" applyNumberFormat="1" applyFont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3" fontId="2" fillId="0" borderId="92" xfId="0" applyNumberFormat="1" applyFont="1" applyBorder="1" applyAlignment="1">
      <alignment vertical="center"/>
    </xf>
    <xf numFmtId="49" fontId="2" fillId="0" borderId="79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vertical="center" wrapText="1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63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7" fillId="0" borderId="101" xfId="0" applyFont="1" applyBorder="1" applyAlignment="1">
      <alignment/>
    </xf>
    <xf numFmtId="3" fontId="7" fillId="0" borderId="101" xfId="0" applyNumberFormat="1" applyFont="1" applyBorder="1" applyAlignment="1">
      <alignment/>
    </xf>
    <xf numFmtId="3" fontId="7" fillId="0" borderId="1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5" fillId="0" borderId="2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10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6" fillId="0" borderId="1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80" xfId="0" applyFont="1" applyBorder="1" applyAlignment="1">
      <alignment horizontal="centerContinuous" vertical="center"/>
    </xf>
    <xf numFmtId="0" fontId="6" fillId="0" borderId="80" xfId="0" applyFont="1" applyBorder="1" applyAlignment="1">
      <alignment horizontal="centerContinuous" vertical="center"/>
    </xf>
    <xf numFmtId="0" fontId="6" fillId="0" borderId="10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7" fillId="0" borderId="116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61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3" fontId="2" fillId="0" borderId="51" xfId="0" applyNumberFormat="1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0" fontId="12" fillId="0" borderId="58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17" applyFont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7" fillId="0" borderId="0" xfId="17" applyFont="1">
      <alignment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Continuous" vertical="center" wrapText="1"/>
      <protection/>
    </xf>
    <xf numFmtId="0" fontId="6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 vertical="center"/>
      <protection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5" fillId="0" borderId="44" xfId="17" applyFont="1" applyBorder="1" applyAlignment="1">
      <alignment horizontal="center" vertical="center" wrapText="1"/>
      <protection/>
    </xf>
    <xf numFmtId="0" fontId="9" fillId="0" borderId="97" xfId="17" applyFont="1" applyBorder="1" applyAlignment="1">
      <alignment horizontal="center" vertical="center" wrapText="1"/>
      <protection/>
    </xf>
    <xf numFmtId="0" fontId="9" fillId="0" borderId="42" xfId="17" applyFont="1" applyBorder="1" applyAlignment="1">
      <alignment horizontal="center" vertical="center" wrapText="1"/>
      <protection/>
    </xf>
    <xf numFmtId="0" fontId="9" fillId="0" borderId="40" xfId="17" applyFont="1" applyBorder="1" applyAlignment="1">
      <alignment horizontal="center" vertical="center" wrapText="1"/>
      <protection/>
    </xf>
    <xf numFmtId="1" fontId="11" fillId="0" borderId="34" xfId="17" applyNumberFormat="1" applyFont="1" applyBorder="1" applyAlignment="1">
      <alignment horizontal="center" vertical="center" wrapText="1"/>
      <protection/>
    </xf>
    <xf numFmtId="1" fontId="11" fillId="0" borderId="117" xfId="17" applyNumberFormat="1" applyFont="1" applyBorder="1" applyAlignment="1">
      <alignment horizontal="center" vertical="center" wrapText="1"/>
      <protection/>
    </xf>
    <xf numFmtId="1" fontId="11" fillId="0" borderId="65" xfId="17" applyNumberFormat="1" applyFont="1" applyBorder="1" applyAlignment="1">
      <alignment horizontal="center" vertical="center" wrapText="1"/>
      <protection/>
    </xf>
    <xf numFmtId="1" fontId="11" fillId="0" borderId="115" xfId="17" applyNumberFormat="1" applyFont="1" applyBorder="1" applyAlignment="1">
      <alignment horizontal="center" vertical="center" wrapText="1"/>
      <protection/>
    </xf>
    <xf numFmtId="1" fontId="11" fillId="0" borderId="2" xfId="17" applyNumberFormat="1" applyFont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9" fillId="0" borderId="39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horizontal="left" vertical="center" wrapText="1"/>
      <protection/>
    </xf>
    <xf numFmtId="3" fontId="9" fillId="0" borderId="64" xfId="17" applyNumberFormat="1" applyFont="1" applyBorder="1" applyAlignment="1">
      <alignment horizontal="right" vertical="center"/>
      <protection/>
    </xf>
    <xf numFmtId="3" fontId="9" fillId="0" borderId="15" xfId="17" applyNumberFormat="1" applyFont="1" applyBorder="1" applyAlignment="1">
      <alignment horizontal="right" vertical="center"/>
      <protection/>
    </xf>
    <xf numFmtId="3" fontId="9" fillId="0" borderId="14" xfId="17" applyNumberFormat="1" applyFont="1" applyBorder="1" applyAlignment="1">
      <alignment horizontal="center" vertical="center"/>
      <protection/>
    </xf>
    <xf numFmtId="0" fontId="9" fillId="0" borderId="0" xfId="17" applyFont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9" fillId="0" borderId="26" xfId="17" applyFont="1" applyBorder="1" applyAlignment="1">
      <alignment horizontal="left" vertical="center" wrapText="1"/>
      <protection/>
    </xf>
    <xf numFmtId="3" fontId="9" fillId="0" borderId="85" xfId="17" applyNumberFormat="1" applyFont="1" applyBorder="1" applyAlignment="1">
      <alignment horizontal="right" vertical="center"/>
      <protection/>
    </xf>
    <xf numFmtId="3" fontId="9" fillId="0" borderId="60" xfId="17" applyNumberFormat="1" applyFont="1" applyBorder="1" applyAlignment="1">
      <alignment horizontal="right" vertical="center"/>
      <protection/>
    </xf>
    <xf numFmtId="3" fontId="9" fillId="0" borderId="27" xfId="17" applyNumberFormat="1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2" fillId="0" borderId="23" xfId="17" applyFont="1" applyBorder="1" applyAlignment="1">
      <alignment horizontal="center" vertical="center"/>
      <protection/>
    </xf>
    <xf numFmtId="0" fontId="2" fillId="0" borderId="22" xfId="17" applyFont="1" applyBorder="1" applyAlignment="1">
      <alignment horizontal="left" vertical="center" wrapText="1"/>
      <protection/>
    </xf>
    <xf numFmtId="3" fontId="2" fillId="0" borderId="66" xfId="17" applyNumberFormat="1" applyFont="1" applyBorder="1" applyAlignment="1">
      <alignment horizontal="right" vertical="center"/>
      <protection/>
    </xf>
    <xf numFmtId="3" fontId="2" fillId="0" borderId="20" xfId="17" applyNumberFormat="1" applyFont="1" applyBorder="1" applyAlignment="1">
      <alignment horizontal="right" vertical="center"/>
      <protection/>
    </xf>
    <xf numFmtId="3" fontId="2" fillId="0" borderId="19" xfId="17" applyNumberFormat="1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64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9" fillId="0" borderId="23" xfId="17" applyFont="1" applyBorder="1" applyAlignment="1">
      <alignment horizontal="center" vertical="center"/>
      <protection/>
    </xf>
    <xf numFmtId="0" fontId="9" fillId="0" borderId="22" xfId="17" applyFont="1" applyBorder="1" applyAlignment="1">
      <alignment vertical="center" wrapText="1"/>
      <protection/>
    </xf>
    <xf numFmtId="3" fontId="9" fillId="0" borderId="66" xfId="17" applyNumberFormat="1" applyFont="1" applyBorder="1" applyAlignment="1">
      <alignment vertical="center"/>
      <protection/>
    </xf>
    <xf numFmtId="3" fontId="9" fillId="0" borderId="20" xfId="17" applyNumberFormat="1" applyFont="1" applyBorder="1" applyAlignment="1">
      <alignment vertical="center"/>
      <protection/>
    </xf>
    <xf numFmtId="3" fontId="9" fillId="0" borderId="19" xfId="17" applyNumberFormat="1" applyFont="1" applyBorder="1" applyAlignment="1">
      <alignment vertical="center"/>
      <protection/>
    </xf>
    <xf numFmtId="0" fontId="2" fillId="0" borderId="61" xfId="17" applyFont="1" applyBorder="1" applyAlignment="1">
      <alignment horizontal="center" vertical="center"/>
      <protection/>
    </xf>
    <xf numFmtId="0" fontId="2" fillId="0" borderId="52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50" xfId="17" applyNumberFormat="1" applyFont="1" applyBorder="1" applyAlignment="1">
      <alignment vertical="center"/>
      <protection/>
    </xf>
    <xf numFmtId="3" fontId="2" fillId="0" borderId="49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9" fillId="0" borderId="61" xfId="17" applyFont="1" applyBorder="1" applyAlignment="1">
      <alignment horizontal="center" vertical="center"/>
      <protection/>
    </xf>
    <xf numFmtId="0" fontId="9" fillId="0" borderId="52" xfId="17" applyFont="1" applyBorder="1" applyAlignment="1">
      <alignment vertical="center" wrapText="1"/>
      <protection/>
    </xf>
    <xf numFmtId="3" fontId="9" fillId="0" borderId="67" xfId="17" applyNumberFormat="1" applyFont="1" applyBorder="1" applyAlignment="1">
      <alignment vertical="center"/>
      <protection/>
    </xf>
    <xf numFmtId="3" fontId="9" fillId="0" borderId="50" xfId="17" applyNumberFormat="1" applyFont="1" applyBorder="1" applyAlignment="1">
      <alignment vertical="center"/>
      <protection/>
    </xf>
    <xf numFmtId="3" fontId="9" fillId="0" borderId="49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2" fillId="0" borderId="23" xfId="17" applyFont="1" applyBorder="1" applyAlignment="1">
      <alignment horizontal="center" vertical="center"/>
      <protection/>
    </xf>
    <xf numFmtId="0" fontId="2" fillId="0" borderId="22" xfId="17" applyFont="1" applyBorder="1" applyAlignment="1">
      <alignment vertical="center" wrapText="1"/>
      <protection/>
    </xf>
    <xf numFmtId="3" fontId="2" fillId="0" borderId="20" xfId="17" applyNumberFormat="1" applyFont="1" applyBorder="1" applyAlignment="1">
      <alignment vertical="center"/>
      <protection/>
    </xf>
    <xf numFmtId="3" fontId="2" fillId="0" borderId="19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9" fillId="0" borderId="39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15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14" fillId="0" borderId="63" xfId="0" applyNumberFormat="1" applyFont="1" applyBorder="1" applyAlignment="1">
      <alignment vertical="center"/>
    </xf>
    <xf numFmtId="0" fontId="9" fillId="0" borderId="39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64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9" fillId="0" borderId="61" xfId="17" applyFont="1" applyBorder="1" applyAlignment="1">
      <alignment horizontal="center" vertical="center"/>
      <protection/>
    </xf>
    <xf numFmtId="0" fontId="9" fillId="0" borderId="52" xfId="17" applyFont="1" applyBorder="1" applyAlignment="1">
      <alignment vertical="center" wrapText="1"/>
      <protection/>
    </xf>
    <xf numFmtId="3" fontId="9" fillId="0" borderId="97" xfId="17" applyNumberFormat="1" applyFont="1" applyBorder="1" applyAlignment="1">
      <alignment vertical="center"/>
      <protection/>
    </xf>
    <xf numFmtId="3" fontId="9" fillId="0" borderId="50" xfId="17" applyNumberFormat="1" applyFont="1" applyBorder="1" applyAlignment="1">
      <alignment vertical="center"/>
      <protection/>
    </xf>
    <xf numFmtId="3" fontId="9" fillId="0" borderId="49" xfId="17" applyNumberFormat="1" applyFont="1" applyBorder="1" applyAlignment="1">
      <alignment vertical="center"/>
      <protection/>
    </xf>
    <xf numFmtId="0" fontId="2" fillId="0" borderId="62" xfId="17" applyFont="1" applyBorder="1" applyAlignment="1">
      <alignment horizontal="center" vertical="center"/>
      <protection/>
    </xf>
    <xf numFmtId="0" fontId="2" fillId="0" borderId="57" xfId="17" applyFont="1" applyBorder="1" applyAlignment="1">
      <alignment vertical="center" wrapText="1"/>
      <protection/>
    </xf>
    <xf numFmtId="0" fontId="9" fillId="0" borderId="61" xfId="17" applyFont="1" applyBorder="1" applyAlignment="1">
      <alignment horizontal="center" vertical="center"/>
      <protection/>
    </xf>
    <xf numFmtId="0" fontId="9" fillId="0" borderId="52" xfId="17" applyFont="1" applyBorder="1" applyAlignment="1">
      <alignment vertical="center" wrapText="1"/>
      <protection/>
    </xf>
    <xf numFmtId="3" fontId="9" fillId="0" borderId="67" xfId="17" applyNumberFormat="1" applyFont="1" applyBorder="1" applyAlignment="1">
      <alignment vertical="center"/>
      <protection/>
    </xf>
    <xf numFmtId="3" fontId="9" fillId="0" borderId="61" xfId="17" applyNumberFormat="1" applyFont="1" applyBorder="1" applyAlignment="1">
      <alignment vertical="center"/>
      <protection/>
    </xf>
    <xf numFmtId="3" fontId="9" fillId="0" borderId="92" xfId="17" applyNumberFormat="1" applyFont="1" applyBorder="1" applyAlignment="1">
      <alignment vertical="center"/>
      <protection/>
    </xf>
    <xf numFmtId="0" fontId="2" fillId="0" borderId="26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horizontal="right" vertical="center"/>
      <protection/>
    </xf>
    <xf numFmtId="3" fontId="2" fillId="0" borderId="60" xfId="17" applyNumberFormat="1" applyFont="1" applyBorder="1" applyAlignment="1">
      <alignment vertical="center"/>
      <protection/>
    </xf>
    <xf numFmtId="0" fontId="9" fillId="0" borderId="62" xfId="17" applyFont="1" applyBorder="1" applyAlignment="1">
      <alignment horizontal="center" vertical="center"/>
      <protection/>
    </xf>
    <xf numFmtId="0" fontId="9" fillId="0" borderId="26" xfId="17" applyFont="1" applyBorder="1" applyAlignment="1">
      <alignment vertical="center" wrapText="1"/>
      <protection/>
    </xf>
    <xf numFmtId="3" fontId="9" fillId="0" borderId="85" xfId="17" applyNumberFormat="1" applyFont="1" applyBorder="1" applyAlignment="1">
      <alignment vertical="center"/>
      <protection/>
    </xf>
    <xf numFmtId="3" fontId="9" fillId="0" borderId="60" xfId="17" applyNumberFormat="1" applyFont="1" applyBorder="1" applyAlignment="1">
      <alignment vertical="center"/>
      <protection/>
    </xf>
    <xf numFmtId="0" fontId="2" fillId="0" borderId="62" xfId="17" applyFont="1" applyBorder="1" applyAlignment="1">
      <alignment horizontal="center" vertical="center"/>
      <protection/>
    </xf>
    <xf numFmtId="0" fontId="2" fillId="0" borderId="26" xfId="17" applyFont="1" applyBorder="1" applyAlignment="1">
      <alignment vertical="center" wrapText="1"/>
      <protection/>
    </xf>
    <xf numFmtId="3" fontId="2" fillId="0" borderId="60" xfId="17" applyNumberFormat="1" applyFont="1" applyBorder="1" applyAlignment="1">
      <alignment vertical="center"/>
      <protection/>
    </xf>
    <xf numFmtId="3" fontId="14" fillId="0" borderId="92" xfId="0" applyNumberFormat="1" applyFont="1" applyBorder="1" applyAlignment="1">
      <alignment vertical="center"/>
    </xf>
    <xf numFmtId="0" fontId="3" fillId="0" borderId="0" xfId="17" applyFont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0" fontId="2" fillId="0" borderId="61" xfId="17" applyFont="1" applyBorder="1" applyAlignment="1">
      <alignment horizontal="center" vertical="center"/>
      <protection/>
    </xf>
    <xf numFmtId="0" fontId="2" fillId="0" borderId="52" xfId="17" applyFont="1" applyBorder="1" applyAlignment="1">
      <alignment vertical="center" wrapText="1"/>
      <protection/>
    </xf>
    <xf numFmtId="3" fontId="2" fillId="0" borderId="50" xfId="17" applyNumberFormat="1" applyFont="1" applyBorder="1" applyAlignment="1">
      <alignment vertical="center"/>
      <protection/>
    </xf>
    <xf numFmtId="3" fontId="2" fillId="0" borderId="49" xfId="17" applyNumberFormat="1" applyFont="1" applyBorder="1" applyAlignment="1">
      <alignment vertical="center"/>
      <protection/>
    </xf>
    <xf numFmtId="0" fontId="9" fillId="0" borderId="61" xfId="17" applyFont="1" applyBorder="1" applyAlignment="1">
      <alignment horizontal="center" vertical="center"/>
      <protection/>
    </xf>
    <xf numFmtId="0" fontId="2" fillId="0" borderId="61" xfId="17" applyFont="1" applyBorder="1" applyAlignment="1">
      <alignment horizontal="center" vertical="center"/>
      <protection/>
    </xf>
    <xf numFmtId="0" fontId="2" fillId="0" borderId="52" xfId="17" applyFont="1" applyBorder="1" applyAlignment="1">
      <alignment vertical="center" wrapText="1"/>
      <protection/>
    </xf>
    <xf numFmtId="3" fontId="2" fillId="0" borderId="85" xfId="17" applyNumberFormat="1" applyFont="1" applyBorder="1" applyAlignment="1">
      <alignment horizontal="right" vertical="center"/>
      <protection/>
    </xf>
    <xf numFmtId="3" fontId="2" fillId="0" borderId="49" xfId="17" applyNumberFormat="1" applyFont="1" applyBorder="1" applyAlignment="1">
      <alignment vertical="center"/>
      <protection/>
    </xf>
    <xf numFmtId="0" fontId="9" fillId="0" borderId="26" xfId="17" applyFont="1" applyBorder="1" applyAlignment="1">
      <alignment vertical="center" wrapText="1"/>
      <protection/>
    </xf>
    <xf numFmtId="3" fontId="9" fillId="0" borderId="60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3" fontId="2" fillId="0" borderId="27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2" fillId="0" borderId="62" xfId="17" applyFont="1" applyBorder="1" applyAlignment="1">
      <alignment horizontal="center" vertical="center"/>
      <protection/>
    </xf>
    <xf numFmtId="3" fontId="2" fillId="0" borderId="56" xfId="17" applyNumberFormat="1" applyFont="1" applyBorder="1" applyAlignment="1">
      <alignment vertical="center"/>
      <protection/>
    </xf>
    <xf numFmtId="3" fontId="2" fillId="0" borderId="55" xfId="17" applyNumberFormat="1" applyFont="1" applyBorder="1" applyAlignment="1">
      <alignment vertical="center"/>
      <protection/>
    </xf>
    <xf numFmtId="0" fontId="2" fillId="0" borderId="52" xfId="17" applyFont="1" applyBorder="1" applyAlignment="1">
      <alignment horizontal="left" vertical="center" wrapText="1"/>
      <protection/>
    </xf>
    <xf numFmtId="0" fontId="9" fillId="0" borderId="68" xfId="17" applyFont="1" applyBorder="1" applyAlignment="1">
      <alignment horizontal="center" vertical="center"/>
      <protection/>
    </xf>
    <xf numFmtId="0" fontId="9" fillId="0" borderId="44" xfId="17" applyFont="1" applyBorder="1" applyAlignment="1">
      <alignment vertical="center" wrapText="1"/>
      <protection/>
    </xf>
    <xf numFmtId="3" fontId="9" fillId="0" borderId="97" xfId="17" applyNumberFormat="1" applyFont="1" applyBorder="1" applyAlignment="1">
      <alignment vertical="center"/>
      <protection/>
    </xf>
    <xf numFmtId="3" fontId="9" fillId="0" borderId="42" xfId="17" applyNumberFormat="1" applyFont="1" applyBorder="1" applyAlignment="1">
      <alignment vertical="center"/>
      <protection/>
    </xf>
    <xf numFmtId="3" fontId="9" fillId="0" borderId="40" xfId="17" applyNumberFormat="1" applyFont="1" applyBorder="1" applyAlignment="1">
      <alignment vertical="center"/>
      <protection/>
    </xf>
    <xf numFmtId="0" fontId="2" fillId="0" borderId="24" xfId="17" applyFont="1" applyBorder="1" applyAlignment="1">
      <alignment horizontal="center" vertical="center"/>
      <protection/>
    </xf>
    <xf numFmtId="3" fontId="2" fillId="0" borderId="27" xfId="17" applyNumberFormat="1" applyFont="1" applyBorder="1" applyAlignment="1">
      <alignment vertical="center"/>
      <protection/>
    </xf>
    <xf numFmtId="0" fontId="2" fillId="0" borderId="24" xfId="17" applyFont="1" applyBorder="1" applyAlignment="1">
      <alignment horizontal="center" vertical="center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27" xfId="17" applyNumberFormat="1" applyFont="1" applyBorder="1" applyAlignment="1">
      <alignment vertical="center"/>
      <protection/>
    </xf>
    <xf numFmtId="0" fontId="2" fillId="0" borderId="61" xfId="17" applyFont="1" applyBorder="1" applyAlignment="1">
      <alignment horizontal="center" vertical="center"/>
      <protection/>
    </xf>
    <xf numFmtId="3" fontId="2" fillId="0" borderId="49" xfId="17" applyNumberFormat="1" applyFont="1" applyBorder="1" applyAlignment="1">
      <alignment vertical="center"/>
      <protection/>
    </xf>
    <xf numFmtId="0" fontId="9" fillId="0" borderId="61" xfId="17" applyFont="1" applyBorder="1" applyAlignment="1">
      <alignment horizontal="center" vertical="center"/>
      <protection/>
    </xf>
    <xf numFmtId="3" fontId="9" fillId="0" borderId="49" xfId="17" applyNumberFormat="1" applyFont="1" applyBorder="1" applyAlignment="1">
      <alignment vertical="center"/>
      <protection/>
    </xf>
    <xf numFmtId="0" fontId="2" fillId="0" borderId="52" xfId="17" applyFont="1" applyBorder="1" applyAlignment="1">
      <alignment vertical="center" wrapText="1"/>
      <protection/>
    </xf>
    <xf numFmtId="3" fontId="9" fillId="0" borderId="55" xfId="17" applyNumberFormat="1" applyFont="1" applyBorder="1" applyAlignment="1">
      <alignment vertical="center"/>
      <protection/>
    </xf>
    <xf numFmtId="3" fontId="9" fillId="0" borderId="4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vertical="center" wrapText="1"/>
      <protection/>
    </xf>
    <xf numFmtId="3" fontId="2" fillId="0" borderId="9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9" fillId="0" borderId="64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3" fontId="9" fillId="0" borderId="92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2" fillId="0" borderId="92" xfId="17" applyNumberFormat="1" applyFont="1" applyBorder="1" applyAlignment="1">
      <alignment vertical="center"/>
      <protection/>
    </xf>
    <xf numFmtId="3" fontId="2" fillId="0" borderId="87" xfId="17" applyNumberFormat="1" applyFont="1" applyBorder="1" applyAlignment="1">
      <alignment horizontal="right" vertical="center"/>
      <protection/>
    </xf>
    <xf numFmtId="3" fontId="9" fillId="0" borderId="93" xfId="17" applyNumberFormat="1" applyFont="1" applyBorder="1" applyAlignment="1">
      <alignment vertical="center"/>
      <protection/>
    </xf>
    <xf numFmtId="0" fontId="9" fillId="0" borderId="61" xfId="0" applyFont="1" applyBorder="1" applyAlignment="1">
      <alignment vertical="center"/>
    </xf>
    <xf numFmtId="0" fontId="9" fillId="0" borderId="50" xfId="17" applyFont="1" applyBorder="1" applyAlignment="1">
      <alignment horizontal="left" vertical="center" wrapText="1"/>
      <protection/>
    </xf>
    <xf numFmtId="3" fontId="9" fillId="0" borderId="50" xfId="17" applyNumberFormat="1" applyFont="1" applyBorder="1" applyAlignment="1">
      <alignment vertical="center"/>
      <protection/>
    </xf>
    <xf numFmtId="3" fontId="2" fillId="0" borderId="93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vertical="center" wrapText="1"/>
      <protection/>
    </xf>
    <xf numFmtId="3" fontId="2" fillId="0" borderId="87" xfId="17" applyNumberFormat="1" applyFont="1" applyBorder="1" applyAlignment="1">
      <alignment vertical="center"/>
      <protection/>
    </xf>
    <xf numFmtId="3" fontId="9" fillId="0" borderId="15" xfId="17" applyNumberFormat="1" applyFont="1" applyBorder="1" applyAlignment="1">
      <alignment vertical="center"/>
      <protection/>
    </xf>
    <xf numFmtId="0" fontId="9" fillId="0" borderId="61" xfId="17" applyFont="1" applyBorder="1" applyAlignment="1">
      <alignment horizontal="center" vertical="center"/>
      <protection/>
    </xf>
    <xf numFmtId="3" fontId="9" fillId="0" borderId="92" xfId="0" applyNumberFormat="1" applyFont="1" applyBorder="1" applyAlignment="1">
      <alignment vertical="center"/>
    </xf>
    <xf numFmtId="3" fontId="9" fillId="0" borderId="14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3" fontId="2" fillId="0" borderId="66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9" fillId="0" borderId="85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9" fillId="0" borderId="52" xfId="17" applyFont="1" applyBorder="1" applyAlignment="1">
      <alignment vertical="center" wrapText="1"/>
      <protection/>
    </xf>
    <xf numFmtId="3" fontId="9" fillId="0" borderId="67" xfId="17" applyNumberFormat="1" applyFont="1" applyBorder="1" applyAlignment="1">
      <alignment vertical="center"/>
      <protection/>
    </xf>
    <xf numFmtId="3" fontId="9" fillId="0" borderId="50" xfId="17" applyNumberFormat="1" applyFont="1" applyBorder="1" applyAlignment="1">
      <alignment vertical="center"/>
      <protection/>
    </xf>
    <xf numFmtId="3" fontId="2" fillId="0" borderId="50" xfId="17" applyNumberFormat="1" applyFont="1" applyBorder="1" applyAlignment="1">
      <alignment vertical="center"/>
      <protection/>
    </xf>
    <xf numFmtId="3" fontId="2" fillId="0" borderId="56" xfId="17" applyNumberFormat="1" applyFont="1" applyBorder="1" applyAlignment="1">
      <alignment vertical="center"/>
      <protection/>
    </xf>
    <xf numFmtId="3" fontId="2" fillId="0" borderId="55" xfId="17" applyNumberFormat="1" applyFont="1" applyBorder="1" applyAlignment="1">
      <alignment vertical="center"/>
      <protection/>
    </xf>
    <xf numFmtId="0" fontId="9" fillId="0" borderId="49" xfId="17" applyFont="1" applyBorder="1" applyAlignment="1">
      <alignment vertical="center" wrapText="1"/>
      <protection/>
    </xf>
    <xf numFmtId="0" fontId="9" fillId="0" borderId="52" xfId="17" applyFont="1" applyBorder="1" applyAlignment="1">
      <alignment vertical="center" wrapText="1"/>
      <protection/>
    </xf>
    <xf numFmtId="3" fontId="9" fillId="0" borderId="67" xfId="17" applyNumberFormat="1" applyFont="1" applyBorder="1" applyAlignment="1">
      <alignment vertical="center"/>
      <protection/>
    </xf>
    <xf numFmtId="3" fontId="9" fillId="0" borderId="50" xfId="17" applyNumberFormat="1" applyFont="1" applyBorder="1" applyAlignment="1">
      <alignment vertical="center"/>
      <protection/>
    </xf>
    <xf numFmtId="3" fontId="9" fillId="0" borderId="49" xfId="17" applyNumberFormat="1" applyFont="1" applyBorder="1" applyAlignment="1">
      <alignment vertical="center"/>
      <protection/>
    </xf>
    <xf numFmtId="3" fontId="55" fillId="0" borderId="0" xfId="0" applyNumberFormat="1" applyFont="1" applyBorder="1" applyAlignment="1">
      <alignment vertical="center"/>
    </xf>
    <xf numFmtId="0" fontId="9" fillId="0" borderId="62" xfId="17" applyFont="1" applyBorder="1" applyAlignment="1">
      <alignment horizontal="center" vertical="center"/>
      <protection/>
    </xf>
    <xf numFmtId="0" fontId="9" fillId="0" borderId="57" xfId="17" applyFont="1" applyBorder="1" applyAlignment="1">
      <alignment vertical="center" wrapText="1"/>
      <protection/>
    </xf>
    <xf numFmtId="3" fontId="9" fillId="0" borderId="56" xfId="17" applyNumberFormat="1" applyFont="1" applyBorder="1" applyAlignment="1">
      <alignment vertical="center"/>
      <protection/>
    </xf>
    <xf numFmtId="3" fontId="9" fillId="0" borderId="55" xfId="17" applyNumberFormat="1" applyFont="1" applyBorder="1" applyAlignment="1">
      <alignment vertical="center"/>
      <protection/>
    </xf>
    <xf numFmtId="0" fontId="9" fillId="0" borderId="13" xfId="17" applyFont="1" applyBorder="1" applyAlignment="1">
      <alignment horizontal="center" vertical="center"/>
      <protection/>
    </xf>
    <xf numFmtId="0" fontId="9" fillId="0" borderId="36" xfId="17" applyFont="1" applyBorder="1" applyAlignment="1">
      <alignment vertical="center" wrapText="1"/>
      <protection/>
    </xf>
    <xf numFmtId="3" fontId="9" fillId="0" borderId="13" xfId="17" applyNumberFormat="1" applyFont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Border="1">
      <alignment/>
      <protection/>
    </xf>
    <xf numFmtId="0" fontId="7" fillId="0" borderId="0" xfId="17" applyFont="1" applyBorder="1" applyAlignment="1">
      <alignment wrapText="1"/>
      <protection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11" fillId="0" borderId="0" xfId="0" applyFont="1" applyBorder="1" applyAlignment="1">
      <alignment/>
    </xf>
    <xf numFmtId="165" fontId="11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fill" wrapText="1"/>
    </xf>
    <xf numFmtId="0" fontId="4" fillId="0" borderId="3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3" fillId="0" borderId="6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7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vertical="center" wrapText="1"/>
    </xf>
    <xf numFmtId="3" fontId="3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164" fontId="3" fillId="0" borderId="119" xfId="0" applyNumberFormat="1" applyFont="1" applyBorder="1" applyAlignment="1">
      <alignment vertical="center"/>
    </xf>
    <xf numFmtId="3" fontId="3" fillId="0" borderId="1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3" fontId="4" fillId="0" borderId="64" xfId="0" applyNumberFormat="1" applyFont="1" applyBorder="1" applyAlignment="1">
      <alignment vertical="center"/>
    </xf>
    <xf numFmtId="3" fontId="11" fillId="0" borderId="58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4" fillId="0" borderId="25" xfId="0" applyNumberFormat="1" applyFont="1" applyFill="1" applyBorder="1" applyAlignment="1" applyProtection="1">
      <alignment horizontal="center" vertical="top" wrapText="1"/>
      <protection/>
    </xf>
    <xf numFmtId="4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1" fillId="0" borderId="62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/>
      <protection/>
    </xf>
    <xf numFmtId="3" fontId="11" fillId="0" borderId="5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14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 wrapText="1"/>
    </xf>
    <xf numFmtId="3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52" fillId="0" borderId="62" xfId="0" applyNumberFormat="1" applyFont="1" applyFill="1" applyBorder="1" applyAlignment="1" applyProtection="1">
      <alignment vertical="center" wrapText="1"/>
      <protection/>
    </xf>
    <xf numFmtId="0" fontId="50" fillId="0" borderId="58" xfId="0" applyNumberFormat="1" applyFont="1" applyFill="1" applyBorder="1" applyAlignment="1" applyProtection="1">
      <alignment vertical="center" wrapText="1"/>
      <protection/>
    </xf>
    <xf numFmtId="3" fontId="52" fillId="0" borderId="58" xfId="0" applyNumberFormat="1" applyFont="1" applyFill="1" applyBorder="1" applyAlignment="1" applyProtection="1">
      <alignment horizontal="center" vertical="center"/>
      <protection/>
    </xf>
    <xf numFmtId="3" fontId="52" fillId="0" borderId="55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3" fontId="43" fillId="0" borderId="14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9" fillId="0" borderId="51" xfId="0" applyNumberFormat="1" applyFont="1" applyFill="1" applyBorder="1" applyAlignment="1" applyProtection="1">
      <alignment vertical="center"/>
      <protection/>
    </xf>
    <xf numFmtId="3" fontId="9" fillId="0" borderId="51" xfId="0" applyNumberFormat="1" applyFont="1" applyFill="1" applyBorder="1" applyAlignment="1" applyProtection="1">
      <alignment horizontal="center" vertical="center"/>
      <protection/>
    </xf>
    <xf numFmtId="3" fontId="9" fillId="0" borderId="49" xfId="0" applyNumberFormat="1" applyFont="1" applyFill="1" applyBorder="1" applyAlignment="1" applyProtection="1">
      <alignment horizontal="right"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101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6" fillId="0" borderId="44" xfId="0" applyFont="1" applyBorder="1" applyAlignment="1">
      <alignment horizontal="centerContinuous" vertical="center"/>
    </xf>
    <xf numFmtId="0" fontId="59" fillId="0" borderId="96" xfId="0" applyFont="1" applyBorder="1" applyAlignment="1">
      <alignment horizontal="centerContinuous" vertical="center"/>
    </xf>
    <xf numFmtId="0" fontId="59" fillId="0" borderId="99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9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 wrapText="1"/>
    </xf>
    <xf numFmtId="0" fontId="9" fillId="0" borderId="51" xfId="0" applyFont="1" applyBorder="1" applyAlignment="1">
      <alignment horizontal="centerContinuous" vertical="center" wrapText="1"/>
    </xf>
    <xf numFmtId="0" fontId="4" fillId="0" borderId="49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3" fontId="3" fillId="0" borderId="58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3" fontId="52" fillId="0" borderId="19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67" fontId="5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7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23" xfId="0" applyNumberFormat="1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7" fillId="0" borderId="79" xfId="0" applyFont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165" fontId="5" fillId="0" borderId="63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51" xfId="0" applyFont="1" applyBorder="1" applyAlignment="1">
      <alignment vertical="top" wrapText="1"/>
    </xf>
    <xf numFmtId="3" fontId="9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3" fillId="0" borderId="1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9" fillId="0" borderId="12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 wrapText="1"/>
    </xf>
    <xf numFmtId="3" fontId="9" fillId="0" borderId="51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3" fontId="43" fillId="0" borderId="2" xfId="0" applyNumberFormat="1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0" fontId="9" fillId="0" borderId="101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93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Border="1" applyAlignment="1">
      <alignment vertical="center"/>
    </xf>
    <xf numFmtId="3" fontId="9" fillId="0" borderId="99" xfId="0" applyNumberFormat="1" applyFont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" fillId="0" borderId="6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110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3" fontId="3" fillId="0" borderId="0" xfId="0" applyNumberFormat="1" applyFont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 wrapText="1"/>
    </xf>
    <xf numFmtId="3" fontId="6" fillId="0" borderId="51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65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6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51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/>
    </xf>
    <xf numFmtId="0" fontId="43" fillId="0" borderId="58" xfId="0" applyFont="1" applyBorder="1" applyAlignment="1">
      <alignment horizontal="left" vertical="center" wrapText="1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79" xfId="0" applyNumberFormat="1" applyFont="1" applyFill="1" applyBorder="1" applyAlignment="1" applyProtection="1">
      <alignment horizontal="center" vertical="center"/>
      <protection locked="0"/>
    </xf>
    <xf numFmtId="0" fontId="3" fillId="0" borderId="101" xfId="0" applyNumberFormat="1" applyFont="1" applyFill="1" applyBorder="1" applyAlignment="1" applyProtection="1">
      <alignment horizontal="lef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3" fontId="4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3" fillId="0" borderId="50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3" fillId="0" borderId="12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12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8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0" fontId="43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32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vertical="center" wrapText="1"/>
      <protection/>
    </xf>
    <xf numFmtId="3" fontId="3" fillId="0" borderId="74" xfId="0" applyNumberFormat="1" applyFont="1" applyFill="1" applyBorder="1" applyAlignment="1" applyProtection="1">
      <alignment horizontal="right" vertical="center"/>
      <protection/>
    </xf>
    <xf numFmtId="3" fontId="3" fillId="0" borderId="4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49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vertical="center"/>
      <protection/>
    </xf>
    <xf numFmtId="0" fontId="9" fillId="0" borderId="6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3" fontId="3" fillId="0" borderId="63" xfId="0" applyNumberFormat="1" applyFont="1" applyFill="1" applyBorder="1" applyAlignment="1" applyProtection="1">
      <alignment horizontal="right" vertical="center"/>
      <protection/>
    </xf>
    <xf numFmtId="3" fontId="3" fillId="0" borderId="51" xfId="0" applyNumberFormat="1" applyFont="1" applyFill="1" applyBorder="1" applyAlignment="1" applyProtection="1">
      <alignment horizontal="right" vertical="center"/>
      <protection/>
    </xf>
    <xf numFmtId="3" fontId="3" fillId="0" borderId="92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50" xfId="0" applyNumberFormat="1" applyFont="1" applyFill="1" applyBorder="1" applyAlignment="1" applyProtection="1">
      <alignment horizontal="left" vertical="center" wrapText="1"/>
      <protection/>
    </xf>
    <xf numFmtId="3" fontId="9" fillId="0" borderId="51" xfId="0" applyNumberFormat="1" applyFont="1" applyFill="1" applyBorder="1" applyAlignment="1" applyProtection="1">
      <alignment horizontal="right" vertical="center"/>
      <protection/>
    </xf>
    <xf numFmtId="0" fontId="52" fillId="0" borderId="62" xfId="0" applyNumberFormat="1" applyFont="1" applyFill="1" applyBorder="1" applyAlignment="1" applyProtection="1">
      <alignment horizontal="center" vertical="center"/>
      <protection/>
    </xf>
    <xf numFmtId="3" fontId="3" fillId="0" borderId="58" xfId="0" applyNumberFormat="1" applyFont="1" applyFill="1" applyBorder="1" applyAlignment="1" applyProtection="1">
      <alignment horizontal="right" vertical="center"/>
      <protection/>
    </xf>
    <xf numFmtId="3" fontId="3" fillId="0" borderId="110" xfId="0" applyNumberFormat="1" applyFont="1" applyFill="1" applyBorder="1" applyAlignment="1" applyProtection="1">
      <alignment horizontal="right" vertical="center"/>
      <protection/>
    </xf>
    <xf numFmtId="0" fontId="9" fillId="0" borderId="50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vertical="center" wrapText="1"/>
      <protection/>
    </xf>
    <xf numFmtId="0" fontId="52" fillId="0" borderId="61" xfId="0" applyNumberFormat="1" applyFont="1" applyFill="1" applyBorder="1" applyAlignment="1" applyProtection="1">
      <alignment horizontal="center" vertical="center"/>
      <protection/>
    </xf>
    <xf numFmtId="0" fontId="52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28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" fillId="0" borderId="68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9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0" fontId="52" fillId="0" borderId="48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1" fontId="11" fillId="0" borderId="51" xfId="0" applyNumberFormat="1" applyFont="1" applyBorder="1" applyAlignment="1">
      <alignment horizontal="center" vertical="center" wrapText="1"/>
    </xf>
    <xf numFmtId="1" fontId="11" fillId="0" borderId="51" xfId="0" applyNumberFormat="1" applyFont="1" applyFill="1" applyBorder="1" applyAlignment="1" applyProtection="1">
      <alignment horizontal="center" vertical="center" wrapText="1"/>
      <protection/>
    </xf>
    <xf numFmtId="1" fontId="11" fillId="0" borderId="92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right" vertical="center"/>
    </xf>
    <xf numFmtId="3" fontId="6" fillId="0" borderId="9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2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3" fillId="0" borderId="16" xfId="0" applyNumberFormat="1" applyFont="1" applyBorder="1" applyAlignment="1">
      <alignment horizontal="right" vertical="center"/>
    </xf>
    <xf numFmtId="3" fontId="43" fillId="0" borderId="2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" fontId="11" fillId="2" borderId="34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vertical="center"/>
    </xf>
    <xf numFmtId="0" fontId="11" fillId="2" borderId="96" xfId="0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11" fillId="2" borderId="6" xfId="0" applyNumberFormat="1" applyFont="1" applyFill="1" applyBorder="1" applyAlignment="1">
      <alignment horizontal="centerContinuous" vertical="center"/>
    </xf>
    <xf numFmtId="164" fontId="11" fillId="2" borderId="44" xfId="0" applyNumberFormat="1" applyFont="1" applyFill="1" applyBorder="1" applyAlignment="1">
      <alignment horizontal="centerContinuous" vertical="center"/>
    </xf>
    <xf numFmtId="164" fontId="4" fillId="0" borderId="43" xfId="0" applyNumberFormat="1" applyFont="1" applyBorder="1" applyAlignment="1">
      <alignment horizontal="centerContinuous" vertical="center"/>
    </xf>
    <xf numFmtId="164" fontId="11" fillId="2" borderId="99" xfId="0" applyNumberFormat="1" applyFont="1" applyFill="1" applyBorder="1" applyAlignment="1">
      <alignment horizontal="centerContinuous" vertical="center"/>
    </xf>
    <xf numFmtId="1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164" fontId="11" fillId="2" borderId="51" xfId="0" applyNumberFormat="1" applyFont="1" applyFill="1" applyBorder="1" applyAlignment="1">
      <alignment horizontal="center" vertical="center" wrapText="1"/>
    </xf>
    <xf numFmtId="164" fontId="15" fillId="2" borderId="51" xfId="0" applyNumberFormat="1" applyFont="1" applyFill="1" applyBorder="1" applyAlignment="1">
      <alignment horizontal="center" vertical="center" wrapText="1"/>
    </xf>
    <xf numFmtId="0" fontId="15" fillId="2" borderId="51" xfId="0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3" fontId="15" fillId="2" borderId="51" xfId="0" applyNumberFormat="1" applyFont="1" applyFill="1" applyBorder="1" applyAlignment="1">
      <alignment horizontal="center" vertical="center"/>
    </xf>
    <xf numFmtId="3" fontId="15" fillId="2" borderId="52" xfId="0" applyNumberFormat="1" applyFont="1" applyFill="1" applyBorder="1" applyAlignment="1">
      <alignment horizontal="center" vertical="center"/>
    </xf>
    <xf numFmtId="3" fontId="15" fillId="2" borderId="49" xfId="0" applyNumberFormat="1" applyFont="1" applyFill="1" applyBorder="1" applyAlignment="1">
      <alignment horizontal="center" vertical="center"/>
    </xf>
    <xf numFmtId="1" fontId="48" fillId="0" borderId="62" xfId="0" applyNumberFormat="1" applyFont="1" applyBorder="1" applyAlignment="1">
      <alignment horizontal="center"/>
    </xf>
    <xf numFmtId="0" fontId="48" fillId="0" borderId="58" xfId="0" applyNumberFormat="1" applyFont="1" applyBorder="1" applyAlignment="1">
      <alignment horizontal="center"/>
    </xf>
    <xf numFmtId="0" fontId="48" fillId="0" borderId="56" xfId="0" applyNumberFormat="1" applyFont="1" applyBorder="1" applyAlignment="1">
      <alignment horizontal="center"/>
    </xf>
    <xf numFmtId="0" fontId="48" fillId="0" borderId="57" xfId="0" applyNumberFormat="1" applyFont="1" applyBorder="1" applyAlignment="1">
      <alignment horizontal="center"/>
    </xf>
    <xf numFmtId="0" fontId="48" fillId="0" borderId="55" xfId="0" applyNumberFormat="1" applyFont="1" applyBorder="1" applyAlignment="1">
      <alignment horizontal="center"/>
    </xf>
    <xf numFmtId="0" fontId="72" fillId="0" borderId="0" xfId="0" applyFont="1" applyAlignment="1">
      <alignment/>
    </xf>
    <xf numFmtId="1" fontId="10" fillId="0" borderId="34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117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" fontId="10" fillId="0" borderId="79" xfId="0" applyNumberFormat="1" applyFont="1" applyBorder="1" applyAlignment="1">
      <alignment horizontal="center" vertical="center" wrapText="1"/>
    </xf>
    <xf numFmtId="164" fontId="10" fillId="0" borderId="101" xfId="0" applyNumberFormat="1" applyFont="1" applyBorder="1" applyAlignment="1">
      <alignment vertical="center" wrapText="1"/>
    </xf>
    <xf numFmtId="164" fontId="73" fillId="0" borderId="101" xfId="0" applyNumberFormat="1" applyFont="1" applyBorder="1" applyAlignment="1">
      <alignment vertical="center"/>
    </xf>
    <xf numFmtId="164" fontId="73" fillId="0" borderId="80" xfId="0" applyNumberFormat="1" applyFont="1" applyBorder="1" applyAlignment="1">
      <alignment vertical="center"/>
    </xf>
    <xf numFmtId="164" fontId="73" fillId="0" borderId="8" xfId="0" applyNumberFormat="1" applyFont="1" applyBorder="1" applyAlignment="1">
      <alignment vertical="center"/>
    </xf>
    <xf numFmtId="1" fontId="15" fillId="0" borderId="128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vertical="center" wrapText="1"/>
    </xf>
    <xf numFmtId="164" fontId="73" fillId="0" borderId="21" xfId="0" applyNumberFormat="1" applyFont="1" applyBorder="1" applyAlignment="1">
      <alignment vertical="center"/>
    </xf>
    <xf numFmtId="164" fontId="73" fillId="0" borderId="22" xfId="0" applyNumberFormat="1" applyFont="1" applyBorder="1" applyAlignment="1">
      <alignment vertical="center"/>
    </xf>
    <xf numFmtId="164" fontId="73" fillId="0" borderId="19" xfId="0" applyNumberFormat="1" applyFont="1" applyBorder="1" applyAlignment="1">
      <alignment vertical="center"/>
    </xf>
    <xf numFmtId="1" fontId="15" fillId="0" borderId="118" xfId="0" applyNumberFormat="1" applyFont="1" applyBorder="1" applyAlignment="1">
      <alignment horizontal="center" vertical="center" wrapText="1"/>
    </xf>
    <xf numFmtId="164" fontId="15" fillId="0" borderId="51" xfId="0" applyNumberFormat="1" applyFont="1" applyBorder="1" applyAlignment="1">
      <alignment vertical="center" wrapText="1"/>
    </xf>
    <xf numFmtId="164" fontId="15" fillId="0" borderId="50" xfId="0" applyNumberFormat="1" applyFont="1" applyBorder="1" applyAlignment="1">
      <alignment vertical="center"/>
    </xf>
    <xf numFmtId="164" fontId="15" fillId="0" borderId="51" xfId="0" applyNumberFormat="1" applyFont="1" applyBorder="1" applyAlignment="1">
      <alignment vertical="center"/>
    </xf>
    <xf numFmtId="1" fontId="15" fillId="0" borderId="23" xfId="0" applyNumberFormat="1" applyFont="1" applyBorder="1" applyAlignment="1">
      <alignment horizontal="center" vertical="center" wrapText="1"/>
    </xf>
    <xf numFmtId="1" fontId="15" fillId="0" borderId="61" xfId="0" applyNumberFormat="1" applyFont="1" applyBorder="1" applyAlignment="1">
      <alignment horizontal="center" vertical="center" wrapText="1"/>
    </xf>
    <xf numFmtId="164" fontId="73" fillId="0" borderId="51" xfId="0" applyNumberFormat="1" applyFont="1" applyBorder="1" applyAlignment="1">
      <alignment vertical="center"/>
    </xf>
    <xf numFmtId="164" fontId="73" fillId="0" borderId="52" xfId="0" applyNumberFormat="1" applyFont="1" applyBorder="1" applyAlignment="1">
      <alignment vertical="center"/>
    </xf>
    <xf numFmtId="164" fontId="73" fillId="0" borderId="49" xfId="0" applyNumberFormat="1" applyFont="1" applyBorder="1" applyAlignment="1">
      <alignment vertical="center"/>
    </xf>
    <xf numFmtId="1" fontId="15" fillId="0" borderId="62" xfId="0" applyNumberFormat="1" applyFont="1" applyBorder="1" applyAlignment="1">
      <alignment horizontal="center" vertical="center" wrapText="1"/>
    </xf>
    <xf numFmtId="164" fontId="15" fillId="0" borderId="58" xfId="0" applyNumberFormat="1" applyFont="1" applyBorder="1" applyAlignment="1">
      <alignment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164" fontId="73" fillId="0" borderId="43" xfId="0" applyNumberFormat="1" applyFont="1" applyBorder="1" applyAlignment="1">
      <alignment vertical="center"/>
    </xf>
    <xf numFmtId="164" fontId="73" fillId="0" borderId="44" xfId="0" applyNumberFormat="1" applyFont="1" applyBorder="1" applyAlignment="1">
      <alignment vertical="center"/>
    </xf>
    <xf numFmtId="164" fontId="73" fillId="0" borderId="40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 vertical="center" wrapText="1"/>
    </xf>
    <xf numFmtId="164" fontId="74" fillId="0" borderId="16" xfId="0" applyNumberFormat="1" applyFont="1" applyBorder="1" applyAlignment="1">
      <alignment vertical="center" wrapText="1"/>
    </xf>
    <xf numFmtId="164" fontId="74" fillId="0" borderId="17" xfId="0" applyNumberFormat="1" applyFont="1" applyBorder="1" applyAlignment="1">
      <alignment vertical="center" wrapText="1"/>
    </xf>
    <xf numFmtId="164" fontId="74" fillId="0" borderId="14" xfId="0" applyNumberFormat="1" applyFont="1" applyBorder="1" applyAlignment="1">
      <alignment vertical="center" wrapText="1"/>
    </xf>
    <xf numFmtId="164" fontId="74" fillId="0" borderId="101" xfId="0" applyNumberFormat="1" applyFont="1" applyBorder="1" applyAlignment="1">
      <alignment vertical="center"/>
    </xf>
    <xf numFmtId="164" fontId="74" fillId="0" borderId="80" xfId="0" applyNumberFormat="1" applyFont="1" applyBorder="1" applyAlignment="1">
      <alignment vertical="center"/>
    </xf>
    <xf numFmtId="164" fontId="74" fillId="0" borderId="8" xfId="0" applyNumberFormat="1" applyFont="1" applyBorder="1" applyAlignment="1">
      <alignment vertical="center"/>
    </xf>
    <xf numFmtId="1" fontId="15" fillId="0" borderId="68" xfId="0" applyNumberFormat="1" applyFont="1" applyBorder="1" applyAlignment="1">
      <alignment horizontal="center" vertical="center" wrapText="1"/>
    </xf>
    <xf numFmtId="164" fontId="15" fillId="0" borderId="43" xfId="0" applyNumberFormat="1" applyFont="1" applyBorder="1" applyAlignment="1">
      <alignment vertical="center" wrapText="1"/>
    </xf>
    <xf numFmtId="164" fontId="15" fillId="0" borderId="43" xfId="0" applyNumberFormat="1" applyFont="1" applyBorder="1" applyAlignment="1">
      <alignment vertical="center"/>
    </xf>
    <xf numFmtId="164" fontId="75" fillId="0" borderId="43" xfId="0" applyNumberFormat="1" applyFont="1" applyBorder="1" applyAlignment="1">
      <alignment vertical="center"/>
    </xf>
    <xf numFmtId="164" fontId="75" fillId="0" borderId="44" xfId="0" applyNumberFormat="1" applyFont="1" applyBorder="1" applyAlignment="1">
      <alignment vertical="center"/>
    </xf>
    <xf numFmtId="164" fontId="75" fillId="0" borderId="40" xfId="0" applyNumberFormat="1" applyFont="1" applyBorder="1" applyAlignment="1">
      <alignment vertical="center"/>
    </xf>
    <xf numFmtId="164" fontId="75" fillId="0" borderId="51" xfId="0" applyNumberFormat="1" applyFont="1" applyBorder="1" applyAlignment="1">
      <alignment vertical="center"/>
    </xf>
    <xf numFmtId="164" fontId="75" fillId="0" borderId="52" xfId="0" applyNumberFormat="1" applyFont="1" applyBorder="1" applyAlignment="1">
      <alignment vertical="center"/>
    </xf>
    <xf numFmtId="164" fontId="75" fillId="0" borderId="49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 vertical="center"/>
    </xf>
    <xf numFmtId="164" fontId="75" fillId="0" borderId="21" xfId="0" applyNumberFormat="1" applyFont="1" applyBorder="1" applyAlignment="1">
      <alignment vertical="center"/>
    </xf>
    <xf numFmtId="164" fontId="75" fillId="0" borderId="22" xfId="0" applyNumberFormat="1" applyFont="1" applyBorder="1" applyAlignment="1">
      <alignment vertical="center"/>
    </xf>
    <xf numFmtId="164" fontId="75" fillId="0" borderId="19" xfId="0" applyNumberFormat="1" applyFont="1" applyBorder="1" applyAlignment="1">
      <alignment vertical="center"/>
    </xf>
    <xf numFmtId="164" fontId="10" fillId="0" borderId="51" xfId="0" applyNumberFormat="1" applyFont="1" applyBorder="1" applyAlignment="1">
      <alignment vertical="center" wrapText="1"/>
    </xf>
    <xf numFmtId="164" fontId="10" fillId="0" borderId="58" xfId="0" applyNumberFormat="1" applyFont="1" applyBorder="1" applyAlignment="1">
      <alignment vertical="center" wrapText="1"/>
    </xf>
    <xf numFmtId="164" fontId="73" fillId="0" borderId="58" xfId="0" applyNumberFormat="1" applyFont="1" applyBorder="1" applyAlignment="1">
      <alignment vertical="center" wrapText="1"/>
    </xf>
    <xf numFmtId="164" fontId="73" fillId="0" borderId="58" xfId="0" applyNumberFormat="1" applyFont="1" applyBorder="1" applyAlignment="1">
      <alignment vertical="center"/>
    </xf>
    <xf numFmtId="164" fontId="73" fillId="0" borderId="57" xfId="0" applyNumberFormat="1" applyFont="1" applyBorder="1" applyAlignment="1">
      <alignment vertical="center"/>
    </xf>
    <xf numFmtId="164" fontId="73" fillId="0" borderId="55" xfId="0" applyNumberFormat="1" applyFont="1" applyBorder="1" applyAlignment="1">
      <alignment vertical="center"/>
    </xf>
    <xf numFmtId="1" fontId="10" fillId="0" borderId="68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vertical="center" wrapText="1"/>
    </xf>
    <xf numFmtId="164" fontId="74" fillId="0" borderId="43" xfId="0" applyNumberFormat="1" applyFont="1" applyBorder="1" applyAlignment="1">
      <alignment vertical="center" wrapText="1"/>
    </xf>
    <xf numFmtId="164" fontId="10" fillId="0" borderId="44" xfId="0" applyNumberFormat="1" applyFont="1" applyBorder="1" applyAlignment="1">
      <alignment vertical="center" wrapText="1"/>
    </xf>
    <xf numFmtId="164" fontId="10" fillId="0" borderId="40" xfId="0" applyNumberFormat="1" applyFont="1" applyBorder="1" applyAlignment="1">
      <alignment vertical="center" wrapText="1"/>
    </xf>
    <xf numFmtId="1" fontId="15" fillId="0" borderId="79" xfId="0" applyNumberFormat="1" applyFont="1" applyBorder="1" applyAlignment="1">
      <alignment horizontal="center" vertical="center" wrapText="1"/>
    </xf>
    <xf numFmtId="164" fontId="75" fillId="0" borderId="101" xfId="0" applyNumberFormat="1" applyFont="1" applyBorder="1" applyAlignment="1">
      <alignment vertical="center" wrapText="1"/>
    </xf>
    <xf numFmtId="164" fontId="75" fillId="0" borderId="101" xfId="0" applyNumberFormat="1" applyFont="1" applyBorder="1" applyAlignment="1">
      <alignment vertical="center"/>
    </xf>
    <xf numFmtId="164" fontId="75" fillId="0" borderId="80" xfId="0" applyNumberFormat="1" applyFont="1" applyBorder="1" applyAlignment="1">
      <alignment vertical="center"/>
    </xf>
    <xf numFmtId="164" fontId="75" fillId="0" borderId="8" xfId="0" applyNumberFormat="1" applyFont="1" applyBorder="1" applyAlignment="1">
      <alignment vertical="center"/>
    </xf>
    <xf numFmtId="164" fontId="73" fillId="0" borderId="43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vertical="center" wrapText="1"/>
    </xf>
    <xf numFmtId="164" fontId="73" fillId="0" borderId="25" xfId="0" applyNumberFormat="1" applyFont="1" applyBorder="1" applyAlignment="1">
      <alignment vertical="center" wrapText="1"/>
    </xf>
    <xf numFmtId="164" fontId="73" fillId="0" borderId="25" xfId="0" applyNumberFormat="1" applyFont="1" applyBorder="1" applyAlignment="1">
      <alignment vertical="center"/>
    </xf>
    <xf numFmtId="164" fontId="73" fillId="0" borderId="51" xfId="0" applyNumberFormat="1" applyFont="1" applyBorder="1" applyAlignment="1">
      <alignment vertical="center" wrapText="1"/>
    </xf>
    <xf numFmtId="164" fontId="74" fillId="0" borderId="51" xfId="0" applyNumberFormat="1" applyFont="1" applyBorder="1" applyAlignment="1">
      <alignment vertical="center" wrapText="1"/>
    </xf>
    <xf numFmtId="164" fontId="74" fillId="0" borderId="51" xfId="0" applyNumberFormat="1" applyFont="1" applyBorder="1" applyAlignment="1">
      <alignment vertical="center"/>
    </xf>
    <xf numFmtId="164" fontId="74" fillId="0" borderId="52" xfId="0" applyNumberFormat="1" applyFont="1" applyBorder="1" applyAlignment="1">
      <alignment vertical="center"/>
    </xf>
    <xf numFmtId="164" fontId="74" fillId="0" borderId="49" xfId="0" applyNumberFormat="1" applyFont="1" applyBorder="1" applyAlignment="1">
      <alignment vertical="center"/>
    </xf>
    <xf numFmtId="164" fontId="76" fillId="0" borderId="51" xfId="0" applyNumberFormat="1" applyFont="1" applyBorder="1" applyAlignment="1">
      <alignment vertical="center"/>
    </xf>
    <xf numFmtId="164" fontId="76" fillId="0" borderId="52" xfId="0" applyNumberFormat="1" applyFont="1" applyBorder="1" applyAlignment="1">
      <alignment vertical="center"/>
    </xf>
    <xf numFmtId="164" fontId="76" fillId="0" borderId="49" xfId="0" applyNumberFormat="1" applyFont="1" applyBorder="1" applyAlignment="1">
      <alignment vertical="center"/>
    </xf>
    <xf numFmtId="164" fontId="75" fillId="0" borderId="58" xfId="0" applyNumberFormat="1" applyFont="1" applyBorder="1" applyAlignment="1">
      <alignment vertical="center"/>
    </xf>
    <xf numFmtId="164" fontId="75" fillId="0" borderId="57" xfId="0" applyNumberFormat="1" applyFont="1" applyBorder="1" applyAlignment="1">
      <alignment vertical="center"/>
    </xf>
    <xf numFmtId="164" fontId="75" fillId="0" borderId="55" xfId="0" applyNumberFormat="1" applyFont="1" applyBorder="1" applyAlignment="1">
      <alignment vertical="center"/>
    </xf>
    <xf numFmtId="1" fontId="10" fillId="0" borderId="61" xfId="0" applyNumberFormat="1" applyFont="1" applyBorder="1" applyAlignment="1">
      <alignment horizontal="center" vertical="center" wrapText="1"/>
    </xf>
    <xf numFmtId="164" fontId="10" fillId="0" borderId="52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164" fontId="75" fillId="0" borderId="25" xfId="0" applyNumberFormat="1" applyFont="1" applyBorder="1" applyAlignment="1">
      <alignment vertical="center"/>
    </xf>
    <xf numFmtId="164" fontId="75" fillId="0" borderId="26" xfId="0" applyNumberFormat="1" applyFont="1" applyBorder="1" applyAlignment="1">
      <alignment vertical="center"/>
    </xf>
    <xf numFmtId="164" fontId="75" fillId="0" borderId="27" xfId="0" applyNumberFormat="1" applyFont="1" applyBorder="1" applyAlignment="1">
      <alignment vertical="center"/>
    </xf>
    <xf numFmtId="164" fontId="15" fillId="0" borderId="57" xfId="0" applyNumberFormat="1" applyFont="1" applyBorder="1" applyAlignment="1">
      <alignment vertical="center" wrapText="1"/>
    </xf>
    <xf numFmtId="164" fontId="15" fillId="0" borderId="55" xfId="0" applyNumberFormat="1" applyFont="1" applyBorder="1" applyAlignment="1">
      <alignment vertical="center" wrapText="1"/>
    </xf>
    <xf numFmtId="164" fontId="15" fillId="0" borderId="49" xfId="0" applyNumberFormat="1" applyFont="1" applyBorder="1" applyAlignment="1">
      <alignment vertical="center" wrapText="1"/>
    </xf>
    <xf numFmtId="164" fontId="15" fillId="0" borderId="52" xfId="0" applyNumberFormat="1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1" fontId="10" fillId="0" borderId="62" xfId="0" applyNumberFormat="1" applyFont="1" applyBorder="1" applyAlignment="1">
      <alignment horizontal="center" vertical="center" wrapText="1"/>
    </xf>
    <xf numFmtId="164" fontId="10" fillId="0" borderId="57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vertical="center" wrapText="1"/>
    </xf>
    <xf numFmtId="164" fontId="73" fillId="0" borderId="26" xfId="0" applyNumberFormat="1" applyFont="1" applyBorder="1" applyAlignment="1">
      <alignment vertical="center"/>
    </xf>
    <xf numFmtId="164" fontId="73" fillId="0" borderId="27" xfId="0" applyNumberFormat="1" applyFont="1" applyBorder="1" applyAlignment="1">
      <alignment vertical="center"/>
    </xf>
    <xf numFmtId="1" fontId="15" fillId="0" borderId="62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2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117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10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7" fillId="0" borderId="0" xfId="0" applyFont="1" applyAlignment="1">
      <alignment/>
    </xf>
    <xf numFmtId="0" fontId="52" fillId="0" borderId="61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164" fontId="52" fillId="0" borderId="51" xfId="0" applyNumberFormat="1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 vertical="center"/>
    </xf>
    <xf numFmtId="0" fontId="62" fillId="0" borderId="91" xfId="0" applyNumberFormat="1" applyFont="1" applyBorder="1" applyAlignment="1">
      <alignment horizontal="center" vertical="center"/>
    </xf>
    <xf numFmtId="164" fontId="62" fillId="0" borderId="91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25" xfId="0" applyFont="1" applyBorder="1" applyAlignment="1">
      <alignment vertical="center" wrapText="1"/>
    </xf>
    <xf numFmtId="0" fontId="52" fillId="0" borderId="58" xfId="0" applyFont="1" applyBorder="1" applyAlignment="1">
      <alignment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129" xfId="0" applyFont="1" applyBorder="1" applyAlignment="1">
      <alignment vertical="center"/>
    </xf>
    <xf numFmtId="0" fontId="52" fillId="0" borderId="62" xfId="0" applyFont="1" applyBorder="1" applyAlignment="1">
      <alignment horizontal="center" vertical="center"/>
    </xf>
    <xf numFmtId="3" fontId="52" fillId="0" borderId="56" xfId="0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 vertical="center"/>
    </xf>
    <xf numFmtId="0" fontId="52" fillId="0" borderId="58" xfId="0" applyNumberFormat="1" applyFont="1" applyBorder="1" applyAlignment="1">
      <alignment horizontal="center" vertical="center"/>
    </xf>
    <xf numFmtId="164" fontId="52" fillId="0" borderId="58" xfId="0" applyNumberFormat="1" applyFont="1" applyBorder="1" applyAlignment="1">
      <alignment vertical="center"/>
    </xf>
    <xf numFmtId="164" fontId="52" fillId="0" borderId="55" xfId="0" applyNumberFormat="1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164" fontId="52" fillId="0" borderId="12" xfId="0" applyNumberFormat="1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6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43" fillId="0" borderId="4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164" fontId="3" fillId="0" borderId="47" xfId="0" applyNumberFormat="1" applyFont="1" applyBorder="1" applyAlignment="1">
      <alignment horizontal="right"/>
    </xf>
    <xf numFmtId="164" fontId="11" fillId="2" borderId="44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96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9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C1">
      <selection activeCell="F3" sqref="F3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117</v>
      </c>
      <c r="J1" s="4"/>
    </row>
    <row r="2" spans="8:10" ht="12" customHeight="1">
      <c r="H2" s="2"/>
      <c r="I2" s="3" t="s">
        <v>118</v>
      </c>
      <c r="J2" s="4"/>
    </row>
    <row r="3" spans="8:10" ht="12" customHeight="1">
      <c r="H3" s="2"/>
      <c r="I3" s="3" t="s">
        <v>119</v>
      </c>
      <c r="J3" s="4"/>
    </row>
    <row r="4" spans="8:256" ht="12" customHeight="1">
      <c r="H4" s="2"/>
      <c r="I4" s="3" t="s">
        <v>120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121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122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123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124</v>
      </c>
      <c r="B8" s="20" t="s">
        <v>125</v>
      </c>
      <c r="C8" s="21" t="s">
        <v>126</v>
      </c>
      <c r="D8" s="22"/>
      <c r="E8" s="21"/>
      <c r="F8" s="23"/>
      <c r="G8" s="24" t="s">
        <v>127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128</v>
      </c>
      <c r="D9" s="29" t="s">
        <v>129</v>
      </c>
      <c r="E9" s="30" t="s">
        <v>130</v>
      </c>
      <c r="F9" s="31" t="s">
        <v>131</v>
      </c>
      <c r="G9" s="32" t="s">
        <v>128</v>
      </c>
      <c r="H9" s="29" t="s">
        <v>129</v>
      </c>
      <c r="I9" s="33" t="s">
        <v>130</v>
      </c>
      <c r="J9" s="34" t="s">
        <v>132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133</v>
      </c>
      <c r="B11" s="43" t="s">
        <v>134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135</v>
      </c>
      <c r="C12" s="44"/>
      <c r="D12" s="45"/>
      <c r="E12" s="46"/>
      <c r="F12" s="47"/>
      <c r="G12" s="44">
        <f t="shared" si="0"/>
        <v>354000</v>
      </c>
      <c r="H12" s="45">
        <v>354000</v>
      </c>
      <c r="I12" s="46"/>
      <c r="J12" s="47"/>
    </row>
    <row r="13" spans="1:10" s="48" customFormat="1" ht="13.5" customHeight="1">
      <c r="A13" s="42" t="s">
        <v>136</v>
      </c>
      <c r="B13" s="43" t="s">
        <v>137</v>
      </c>
      <c r="C13" s="44">
        <f aca="true" t="shared" si="1" ref="C13:C31">SUM(D13:F13)</f>
        <v>14917130</v>
      </c>
      <c r="D13" s="45">
        <v>14917130</v>
      </c>
      <c r="E13" s="46"/>
      <c r="F13" s="47"/>
      <c r="G13" s="44">
        <f t="shared" si="0"/>
        <v>46279882</v>
      </c>
      <c r="H13" s="45">
        <v>46279882</v>
      </c>
      <c r="I13" s="46"/>
      <c r="J13" s="47"/>
    </row>
    <row r="14" spans="1:10" s="48" customFormat="1" ht="13.5" customHeight="1">
      <c r="A14" s="42" t="s">
        <v>138</v>
      </c>
      <c r="B14" s="43" t="s">
        <v>139</v>
      </c>
      <c r="C14" s="44">
        <f t="shared" si="1"/>
        <v>205345</v>
      </c>
      <c r="D14" s="45">
        <f>141345+64000</f>
        <v>205345</v>
      </c>
      <c r="E14" s="46"/>
      <c r="F14" s="47"/>
      <c r="G14" s="44">
        <f t="shared" si="0"/>
        <v>455353</v>
      </c>
      <c r="H14" s="45">
        <v>455353</v>
      </c>
      <c r="I14" s="46"/>
      <c r="J14" s="47"/>
    </row>
    <row r="15" spans="1:10" s="48" customFormat="1" ht="15">
      <c r="A15" s="42" t="s">
        <v>140</v>
      </c>
      <c r="B15" s="43" t="s">
        <v>141</v>
      </c>
      <c r="C15" s="44">
        <f t="shared" si="1"/>
        <v>16767950</v>
      </c>
      <c r="D15" s="45">
        <v>16727950</v>
      </c>
      <c r="E15" s="46"/>
      <c r="F15" s="47">
        <v>40000</v>
      </c>
      <c r="G15" s="44">
        <f t="shared" si="0"/>
        <v>15226400</v>
      </c>
      <c r="H15" s="45">
        <f>12186400+3000000</f>
        <v>15186400</v>
      </c>
      <c r="I15" s="46"/>
      <c r="J15" s="47">
        <v>40000</v>
      </c>
    </row>
    <row r="16" spans="1:10" s="48" customFormat="1" ht="15">
      <c r="A16" s="42" t="s">
        <v>142</v>
      </c>
      <c r="B16" s="43" t="s">
        <v>143</v>
      </c>
      <c r="C16" s="44">
        <f t="shared" si="1"/>
        <v>1260100</v>
      </c>
      <c r="D16" s="45">
        <v>1010000</v>
      </c>
      <c r="E16" s="46"/>
      <c r="F16" s="47">
        <v>250100</v>
      </c>
      <c r="G16" s="44">
        <f t="shared" si="0"/>
        <v>2909300</v>
      </c>
      <c r="H16" s="45">
        <v>2659200</v>
      </c>
      <c r="I16" s="46"/>
      <c r="J16" s="47">
        <v>250100</v>
      </c>
    </row>
    <row r="17" spans="1:10" s="48" customFormat="1" ht="15">
      <c r="A17" s="42" t="s">
        <v>144</v>
      </c>
      <c r="B17" s="43" t="s">
        <v>145</v>
      </c>
      <c r="C17" s="44">
        <f t="shared" si="1"/>
        <v>3761802</v>
      </c>
      <c r="D17" s="45">
        <f>740902+2017400</f>
        <v>2758302</v>
      </c>
      <c r="E17" s="46">
        <v>8500</v>
      </c>
      <c r="F17" s="47">
        <f>727000+268000</f>
        <v>995000</v>
      </c>
      <c r="G17" s="44">
        <f t="shared" si="0"/>
        <v>26569737</v>
      </c>
      <c r="H17" s="45">
        <f>26166237-600000</f>
        <v>25566237</v>
      </c>
      <c r="I17" s="46">
        <v>8500</v>
      </c>
      <c r="J17" s="47">
        <f>268000+727000</f>
        <v>995000</v>
      </c>
    </row>
    <row r="18" spans="1:10" s="48" customFormat="1" ht="45">
      <c r="A18" s="42" t="s">
        <v>146</v>
      </c>
      <c r="B18" s="49" t="s">
        <v>147</v>
      </c>
      <c r="C18" s="44">
        <f t="shared" si="1"/>
        <v>18425</v>
      </c>
      <c r="D18" s="45"/>
      <c r="E18" s="46"/>
      <c r="F18" s="47">
        <v>18425</v>
      </c>
      <c r="G18" s="44">
        <f t="shared" si="0"/>
        <v>18425</v>
      </c>
      <c r="H18" s="45"/>
      <c r="I18" s="46"/>
      <c r="J18" s="47">
        <v>18425</v>
      </c>
    </row>
    <row r="19" spans="1:10" s="48" customFormat="1" ht="15" hidden="1">
      <c r="A19" s="42" t="s">
        <v>148</v>
      </c>
      <c r="B19" s="49" t="s">
        <v>149</v>
      </c>
      <c r="C19" s="44">
        <f t="shared" si="1"/>
        <v>0</v>
      </c>
      <c r="D19" s="45"/>
      <c r="E19" s="46"/>
      <c r="F19" s="47"/>
      <c r="G19" s="44">
        <f t="shared" si="0"/>
        <v>0</v>
      </c>
      <c r="H19" s="45"/>
      <c r="I19" s="46"/>
      <c r="J19" s="47"/>
    </row>
    <row r="20" spans="1:10" s="48" customFormat="1" ht="30">
      <c r="A20" s="42" t="s">
        <v>150</v>
      </c>
      <c r="B20" s="50" t="s">
        <v>151</v>
      </c>
      <c r="C20" s="44">
        <f t="shared" si="1"/>
        <v>5215500</v>
      </c>
      <c r="D20" s="45"/>
      <c r="E20" s="46"/>
      <c r="F20" s="47">
        <v>5215500</v>
      </c>
      <c r="G20" s="44">
        <f t="shared" si="0"/>
        <v>5541000</v>
      </c>
      <c r="H20" s="45">
        <v>325500</v>
      </c>
      <c r="I20" s="46"/>
      <c r="J20" s="47">
        <v>5215500</v>
      </c>
    </row>
    <row r="21" spans="1:10" s="48" customFormat="1" ht="55.5" customHeight="1">
      <c r="A21" s="42" t="s">
        <v>152</v>
      </c>
      <c r="B21" s="50" t="s">
        <v>153</v>
      </c>
      <c r="C21" s="44">
        <f t="shared" si="1"/>
        <v>114724272</v>
      </c>
      <c r="D21" s="45">
        <v>114724272</v>
      </c>
      <c r="E21" s="46"/>
      <c r="F21" s="47"/>
      <c r="G21" s="44">
        <f t="shared" si="0"/>
        <v>434400</v>
      </c>
      <c r="H21" s="45">
        <v>434400</v>
      </c>
      <c r="I21" s="46"/>
      <c r="J21" s="47"/>
    </row>
    <row r="22" spans="1:10" s="54" customFormat="1" ht="12.75" customHeight="1">
      <c r="A22" s="42" t="s">
        <v>154</v>
      </c>
      <c r="B22" s="43" t="s">
        <v>155</v>
      </c>
      <c r="C22" s="44"/>
      <c r="D22" s="51"/>
      <c r="E22" s="52"/>
      <c r="F22" s="53"/>
      <c r="G22" s="44">
        <f t="shared" si="0"/>
        <v>3770000</v>
      </c>
      <c r="H22" s="51">
        <v>3770000</v>
      </c>
      <c r="I22" s="52"/>
      <c r="J22" s="53"/>
    </row>
    <row r="23" spans="1:10" s="54" customFormat="1" ht="15">
      <c r="A23" s="42" t="s">
        <v>156</v>
      </c>
      <c r="B23" s="43" t="s">
        <v>157</v>
      </c>
      <c r="C23" s="44">
        <f t="shared" si="1"/>
        <v>77358644</v>
      </c>
      <c r="D23" s="51">
        <v>77358644</v>
      </c>
      <c r="E23" s="52"/>
      <c r="F23" s="53"/>
      <c r="G23" s="44">
        <f t="shared" si="0"/>
        <v>5180460</v>
      </c>
      <c r="H23" s="51">
        <f>4603575+318600+400000+358285-500000</f>
        <v>5180460</v>
      </c>
      <c r="I23" s="52"/>
      <c r="J23" s="53"/>
    </row>
    <row r="24" spans="1:10" s="54" customFormat="1" ht="15">
      <c r="A24" s="42" t="s">
        <v>158</v>
      </c>
      <c r="B24" s="43" t="s">
        <v>159</v>
      </c>
      <c r="C24" s="44">
        <f t="shared" si="1"/>
        <v>616200</v>
      </c>
      <c r="D24" s="51">
        <v>616200</v>
      </c>
      <c r="E24" s="52"/>
      <c r="F24" s="53"/>
      <c r="G24" s="44">
        <f t="shared" si="0"/>
        <v>97405123</v>
      </c>
      <c r="H24" s="51">
        <v>97405123</v>
      </c>
      <c r="I24" s="52"/>
      <c r="J24" s="53"/>
    </row>
    <row r="25" spans="1:256" ht="15">
      <c r="A25" s="42" t="s">
        <v>160</v>
      </c>
      <c r="B25" s="43" t="s">
        <v>161</v>
      </c>
      <c r="C25" s="44">
        <f t="shared" si="1"/>
        <v>40988</v>
      </c>
      <c r="D25" s="51">
        <v>40988</v>
      </c>
      <c r="E25" s="52"/>
      <c r="F25" s="53"/>
      <c r="G25" s="44">
        <f t="shared" si="0"/>
        <v>55988</v>
      </c>
      <c r="H25" s="51">
        <v>55988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162</v>
      </c>
      <c r="B26" s="43" t="s">
        <v>163</v>
      </c>
      <c r="C26" s="44">
        <f t="shared" si="1"/>
        <v>7000</v>
      </c>
      <c r="D26" s="51"/>
      <c r="E26" s="52"/>
      <c r="F26" s="53">
        <v>7000</v>
      </c>
      <c r="G26" s="44">
        <f t="shared" si="0"/>
        <v>4920000</v>
      </c>
      <c r="H26" s="51">
        <f>2283000+3000000-400000+30000</f>
        <v>4913000</v>
      </c>
      <c r="I26" s="52"/>
      <c r="J26" s="53">
        <v>7000</v>
      </c>
    </row>
    <row r="27" spans="1:10" s="54" customFormat="1" ht="15">
      <c r="A27" s="42" t="s">
        <v>164</v>
      </c>
      <c r="B27" s="56" t="s">
        <v>165</v>
      </c>
      <c r="C27" s="44">
        <f t="shared" si="1"/>
        <v>29935300</v>
      </c>
      <c r="D27" s="51">
        <v>3390300</v>
      </c>
      <c r="E27" s="52"/>
      <c r="F27" s="53">
        <v>26545000</v>
      </c>
      <c r="G27" s="44">
        <f t="shared" si="0"/>
        <v>47786485</v>
      </c>
      <c r="H27" s="51">
        <v>21241485</v>
      </c>
      <c r="I27" s="52"/>
      <c r="J27" s="53">
        <v>26545000</v>
      </c>
    </row>
    <row r="28" spans="1:10" s="54" customFormat="1" ht="30">
      <c r="A28" s="57" t="s">
        <v>166</v>
      </c>
      <c r="B28" s="58" t="s">
        <v>167</v>
      </c>
      <c r="C28" s="44">
        <f t="shared" si="1"/>
        <v>173200</v>
      </c>
      <c r="D28" s="51">
        <v>67200</v>
      </c>
      <c r="E28" s="52"/>
      <c r="F28" s="53">
        <v>106000</v>
      </c>
      <c r="G28" s="44">
        <f t="shared" si="0"/>
        <v>2002422</v>
      </c>
      <c r="H28" s="51">
        <v>1896422</v>
      </c>
      <c r="I28" s="52"/>
      <c r="J28" s="53">
        <v>106000</v>
      </c>
    </row>
    <row r="29" spans="1:10" s="54" customFormat="1" ht="15">
      <c r="A29" s="42" t="s">
        <v>168</v>
      </c>
      <c r="B29" s="49" t="s">
        <v>169</v>
      </c>
      <c r="C29" s="44">
        <f t="shared" si="1"/>
        <v>897100</v>
      </c>
      <c r="D29" s="51">
        <v>897100</v>
      </c>
      <c r="E29" s="52"/>
      <c r="F29" s="53"/>
      <c r="G29" s="44">
        <f t="shared" si="0"/>
        <v>8477600</v>
      </c>
      <c r="H29" s="51">
        <f>8835885-358285</f>
        <v>8477600</v>
      </c>
      <c r="I29" s="52"/>
      <c r="J29" s="53"/>
    </row>
    <row r="30" spans="1:10" s="54" customFormat="1" ht="28.5" customHeight="1">
      <c r="A30" s="42" t="s">
        <v>170</v>
      </c>
      <c r="B30" s="49" t="s">
        <v>171</v>
      </c>
      <c r="C30" s="44">
        <f t="shared" si="1"/>
        <v>3000</v>
      </c>
      <c r="D30" s="51">
        <v>3000</v>
      </c>
      <c r="E30" s="52"/>
      <c r="F30" s="53"/>
      <c r="G30" s="44">
        <f t="shared" si="0"/>
        <v>14225500</v>
      </c>
      <c r="H30" s="51">
        <f>13375500+600000+150000+100000</f>
        <v>14225500</v>
      </c>
      <c r="I30" s="52"/>
      <c r="J30" s="53"/>
    </row>
    <row r="31" spans="1:10" s="54" customFormat="1" ht="27" customHeight="1">
      <c r="A31" s="42" t="s">
        <v>172</v>
      </c>
      <c r="B31" s="49" t="s">
        <v>173</v>
      </c>
      <c r="C31" s="44">
        <f t="shared" si="1"/>
        <v>1126640</v>
      </c>
      <c r="D31" s="51">
        <v>1126640</v>
      </c>
      <c r="E31" s="52"/>
      <c r="F31" s="53"/>
      <c r="G31" s="44">
        <f t="shared" si="0"/>
        <v>14660101</v>
      </c>
      <c r="H31" s="51">
        <v>14660101</v>
      </c>
      <c r="I31" s="52"/>
      <c r="J31" s="53"/>
    </row>
    <row r="32" spans="1:10" s="54" customFormat="1" ht="15.75" thickBot="1">
      <c r="A32" s="59" t="s">
        <v>174</v>
      </c>
      <c r="B32" s="60" t="s">
        <v>175</v>
      </c>
      <c r="C32" s="44"/>
      <c r="D32" s="61"/>
      <c r="E32" s="62"/>
      <c r="F32" s="63"/>
      <c r="G32" s="44">
        <f t="shared" si="0"/>
        <v>11096220</v>
      </c>
      <c r="H32" s="61">
        <f>7196220+4900000-1000000</f>
        <v>11096220</v>
      </c>
      <c r="I32" s="62"/>
      <c r="J32" s="63"/>
    </row>
    <row r="33" spans="1:10" s="69" customFormat="1" ht="17.25" thickBot="1" thickTop="1">
      <c r="A33" s="64"/>
      <c r="B33" s="65" t="s">
        <v>176</v>
      </c>
      <c r="C33" s="66">
        <f aca="true" t="shared" si="2" ref="C33:J33">SUM(C11:C32)</f>
        <v>267028596</v>
      </c>
      <c r="D33" s="67">
        <f t="shared" si="2"/>
        <v>233843071</v>
      </c>
      <c r="E33" s="67">
        <f t="shared" si="2"/>
        <v>8500</v>
      </c>
      <c r="F33" s="68">
        <f t="shared" si="2"/>
        <v>33177025</v>
      </c>
      <c r="G33" s="66">
        <f t="shared" si="2"/>
        <v>307369996</v>
      </c>
      <c r="H33" s="67">
        <f t="shared" si="2"/>
        <v>274184471</v>
      </c>
      <c r="I33" s="67">
        <f t="shared" si="2"/>
        <v>8500</v>
      </c>
      <c r="J33" s="68">
        <f t="shared" si="2"/>
        <v>33177025</v>
      </c>
    </row>
    <row r="34" spans="1:10" s="77" customFormat="1" ht="13.5" thickTop="1">
      <c r="A34" s="70"/>
      <c r="B34" s="71" t="s">
        <v>177</v>
      </c>
      <c r="C34" s="72"/>
      <c r="D34" s="73"/>
      <c r="E34" s="74"/>
      <c r="F34" s="75"/>
      <c r="G34" s="76">
        <f>H34+J34</f>
        <v>12813200</v>
      </c>
      <c r="H34" s="73">
        <v>12813200</v>
      </c>
      <c r="I34" s="74"/>
      <c r="J34" s="75"/>
    </row>
    <row r="35" spans="1:10" s="77" customFormat="1" ht="12.75">
      <c r="A35" s="70"/>
      <c r="B35" s="78" t="s">
        <v>178</v>
      </c>
      <c r="C35" s="72"/>
      <c r="D35" s="73"/>
      <c r="E35" s="74"/>
      <c r="F35" s="75"/>
      <c r="G35" s="76">
        <f>H35+J35</f>
        <v>-28154600</v>
      </c>
      <c r="H35" s="73">
        <f>-28218600+64000</f>
        <v>-28154600</v>
      </c>
      <c r="I35" s="74"/>
      <c r="J35" s="75"/>
    </row>
    <row r="36" spans="1:10" s="77" customFormat="1" ht="15" customHeight="1" thickBot="1">
      <c r="A36" s="79"/>
      <c r="B36" s="80" t="s">
        <v>179</v>
      </c>
      <c r="C36" s="72"/>
      <c r="D36" s="73"/>
      <c r="E36" s="74"/>
      <c r="F36" s="75"/>
      <c r="G36" s="76">
        <f>H36+J36</f>
        <v>-25000000</v>
      </c>
      <c r="H36" s="73">
        <v>-25000000</v>
      </c>
      <c r="I36" s="74"/>
      <c r="J36" s="75"/>
    </row>
    <row r="37" spans="1:10" s="9" customFormat="1" ht="15.75" hidden="1" thickBot="1">
      <c r="A37" s="81"/>
      <c r="B37" s="56" t="s">
        <v>180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181</v>
      </c>
      <c r="C38" s="88">
        <f>C33+C34+C36</f>
        <v>267028596</v>
      </c>
      <c r="D38" s="89">
        <f>D33+D34+D36</f>
        <v>233843071</v>
      </c>
      <c r="E38" s="89">
        <f>E33+E34+E36</f>
        <v>8500</v>
      </c>
      <c r="F38" s="90">
        <f>F33+F34+F36</f>
        <v>33177025</v>
      </c>
      <c r="G38" s="89">
        <f>SUM(G33:G36)</f>
        <v>267028596</v>
      </c>
      <c r="H38" s="89">
        <f>SUM(H33:H36)</f>
        <v>233843071</v>
      </c>
      <c r="I38" s="89">
        <f>I33+I34+I36+I37</f>
        <v>8500</v>
      </c>
      <c r="J38" s="90">
        <f>J33+J34</f>
        <v>33177025</v>
      </c>
    </row>
    <row r="39" ht="15.75" thickTop="1">
      <c r="B39" s="91"/>
    </row>
    <row r="40" ht="15">
      <c r="B40" s="9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6" sqref="C6"/>
    </sheetView>
  </sheetViews>
  <sheetFormatPr defaultColWidth="9.00390625" defaultRowHeight="12.75"/>
  <cols>
    <col min="1" max="1" width="25.375" style="920" customWidth="1"/>
    <col min="2" max="2" width="17.75390625" style="920" customWidth="1"/>
    <col min="3" max="3" width="25.00390625" style="920" customWidth="1"/>
    <col min="4" max="4" width="19.875" style="920" customWidth="1"/>
    <col min="5" max="16384" width="9.125" style="920" customWidth="1"/>
  </cols>
  <sheetData>
    <row r="1" spans="3:4" ht="12.75">
      <c r="C1" s="77" t="s">
        <v>531</v>
      </c>
      <c r="D1" s="77"/>
    </row>
    <row r="2" spans="3:4" ht="12.75">
      <c r="C2" s="3" t="s">
        <v>532</v>
      </c>
      <c r="D2" s="3"/>
    </row>
    <row r="3" spans="3:4" ht="12.75">
      <c r="C3" s="3" t="s">
        <v>533</v>
      </c>
      <c r="D3" s="3"/>
    </row>
    <row r="4" spans="3:4" ht="12.75">
      <c r="C4" s="3" t="s">
        <v>534</v>
      </c>
      <c r="D4" s="3"/>
    </row>
    <row r="6" spans="1:4" ht="22.5" customHeight="1">
      <c r="A6" s="1173" t="s">
        <v>535</v>
      </c>
      <c r="B6" s="1174"/>
      <c r="C6" s="1174"/>
      <c r="D6" s="1174"/>
    </row>
    <row r="7" spans="1:4" ht="22.5" customHeight="1">
      <c r="A7" s="1173" t="s">
        <v>536</v>
      </c>
      <c r="B7" s="1174"/>
      <c r="C7" s="1174"/>
      <c r="D7" s="1174"/>
    </row>
    <row r="8" spans="1:4" s="1229" customFormat="1" ht="18.75" customHeight="1">
      <c r="A8" s="1227" t="s">
        <v>537</v>
      </c>
      <c r="B8" s="1228"/>
      <c r="C8" s="1228"/>
      <c r="D8" s="1228"/>
    </row>
    <row r="9" spans="1:4" s="1045" customFormat="1" ht="18" customHeight="1" thickBot="1">
      <c r="A9" s="1230"/>
      <c r="D9" s="1050" t="s">
        <v>123</v>
      </c>
    </row>
    <row r="10" spans="1:4" s="1045" customFormat="1" ht="41.25" customHeight="1" thickBot="1" thickTop="1">
      <c r="A10" s="1231" t="s">
        <v>125</v>
      </c>
      <c r="B10" s="1232" t="s">
        <v>538</v>
      </c>
      <c r="C10" s="1177" t="s">
        <v>125</v>
      </c>
      <c r="D10" s="1233" t="s">
        <v>538</v>
      </c>
    </row>
    <row r="11" spans="1:4" s="916" customFormat="1" ht="15" customHeight="1" thickBot="1" thickTop="1">
      <c r="A11" s="1234">
        <v>1</v>
      </c>
      <c r="B11" s="1235">
        <v>2</v>
      </c>
      <c r="C11" s="1235">
        <v>3</v>
      </c>
      <c r="D11" s="1236">
        <v>4</v>
      </c>
    </row>
    <row r="12" spans="1:4" s="1240" customFormat="1" ht="50.25" customHeight="1" thickTop="1">
      <c r="A12" s="1237" t="s">
        <v>539</v>
      </c>
      <c r="B12" s="1238">
        <f>B15+B17</f>
        <v>267028596</v>
      </c>
      <c r="C12" s="1238" t="s">
        <v>540</v>
      </c>
      <c r="D12" s="1239">
        <f>SUM(D15:D17)</f>
        <v>307369996</v>
      </c>
    </row>
    <row r="13" spans="1:4" s="1244" customFormat="1" ht="21" customHeight="1">
      <c r="A13" s="1241" t="s">
        <v>541</v>
      </c>
      <c r="B13" s="1242">
        <f>B16+B18</f>
        <v>-40341400</v>
      </c>
      <c r="C13" s="1195"/>
      <c r="D13" s="1243"/>
    </row>
    <row r="14" spans="1:4" s="1249" customFormat="1" ht="13.5" customHeight="1">
      <c r="A14" s="1245" t="s">
        <v>542</v>
      </c>
      <c r="B14" s="1246"/>
      <c r="C14" s="1247" t="s">
        <v>542</v>
      </c>
      <c r="D14" s="1248"/>
    </row>
    <row r="15" spans="1:4" s="1249" customFormat="1" ht="21.75" customHeight="1">
      <c r="A15" s="1250" t="s">
        <v>543</v>
      </c>
      <c r="B15" s="1251">
        <v>184877854</v>
      </c>
      <c r="C15" s="1252" t="s">
        <v>543</v>
      </c>
      <c r="D15" s="1253">
        <v>204748562</v>
      </c>
    </row>
    <row r="16" spans="1:4" s="1257" customFormat="1" ht="22.5" customHeight="1">
      <c r="A16" s="1254" t="s">
        <v>544</v>
      </c>
      <c r="B16" s="1242">
        <f>B15-D15</f>
        <v>-19870708</v>
      </c>
      <c r="C16" s="1255"/>
      <c r="D16" s="1256"/>
    </row>
    <row r="17" spans="1:4" s="1249" customFormat="1" ht="24" customHeight="1">
      <c r="A17" s="1250" t="s">
        <v>545</v>
      </c>
      <c r="B17" s="1258">
        <v>82150742</v>
      </c>
      <c r="C17" s="1259" t="s">
        <v>545</v>
      </c>
      <c r="D17" s="1253">
        <v>102621434</v>
      </c>
    </row>
    <row r="18" spans="1:4" s="1257" customFormat="1" ht="24" customHeight="1" thickBot="1">
      <c r="A18" s="1254" t="s">
        <v>544</v>
      </c>
      <c r="B18" s="1242">
        <f>B17-D17</f>
        <v>-20470692</v>
      </c>
      <c r="C18" s="1242"/>
      <c r="D18" s="1260"/>
    </row>
    <row r="19" spans="1:4" s="1240" customFormat="1" ht="42.75" customHeight="1" thickTop="1">
      <c r="A19" s="1261" t="s">
        <v>546</v>
      </c>
      <c r="B19" s="1262">
        <f>SUM(B20)</f>
        <v>53154600</v>
      </c>
      <c r="C19" s="1262" t="s">
        <v>547</v>
      </c>
      <c r="D19" s="1263">
        <f>SUM(D20)</f>
        <v>12813200</v>
      </c>
    </row>
    <row r="20" spans="1:4" s="1257" customFormat="1" ht="75" customHeight="1" thickBot="1">
      <c r="A20" s="1264" t="s">
        <v>548</v>
      </c>
      <c r="B20" s="1242">
        <v>53154600</v>
      </c>
      <c r="C20" s="1242" t="s">
        <v>549</v>
      </c>
      <c r="D20" s="1260">
        <v>12813200</v>
      </c>
    </row>
    <row r="21" spans="1:4" s="1269" customFormat="1" ht="53.25" customHeight="1" thickBot="1" thickTop="1">
      <c r="A21" s="1265" t="s">
        <v>550</v>
      </c>
      <c r="B21" s="1266">
        <f>SUM(B12+B19)</f>
        <v>320183196</v>
      </c>
      <c r="C21" s="1267" t="s">
        <v>551</v>
      </c>
      <c r="D21" s="1268">
        <f>D12+D19</f>
        <v>320183196</v>
      </c>
    </row>
    <row r="22" ht="13.5" thickTop="1">
      <c r="A22" s="91"/>
    </row>
    <row r="23" ht="12.75">
      <c r="A23" s="9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878" t="s">
        <v>552</v>
      </c>
      <c r="K1" s="878"/>
    </row>
    <row r="2" spans="10:11" ht="12.75">
      <c r="J2" s="3" t="s">
        <v>118</v>
      </c>
      <c r="K2" s="3"/>
    </row>
    <row r="3" spans="10:11" ht="12.75">
      <c r="J3" s="3" t="s">
        <v>119</v>
      </c>
      <c r="K3" s="3"/>
    </row>
    <row r="4" spans="10:11" ht="12.75">
      <c r="J4" s="3" t="s">
        <v>120</v>
      </c>
      <c r="K4" s="3"/>
    </row>
    <row r="5" ht="24.75" customHeight="1"/>
    <row r="6" spans="1:12" ht="21.75" customHeight="1">
      <c r="A6" s="1270" t="s">
        <v>553</v>
      </c>
      <c r="B6" s="1270"/>
      <c r="C6" s="1270"/>
      <c r="D6" s="1270"/>
      <c r="E6" s="1270"/>
      <c r="F6" s="1270"/>
      <c r="G6" s="1270"/>
      <c r="H6" s="1270"/>
      <c r="I6" s="1270"/>
      <c r="J6" s="1271"/>
      <c r="K6" s="1172"/>
      <c r="L6" s="1172"/>
    </row>
    <row r="7" spans="1:12" ht="39.75" customHeight="1">
      <c r="A7" s="1272" t="s">
        <v>554</v>
      </c>
      <c r="B7" s="1270"/>
      <c r="C7" s="1270"/>
      <c r="D7" s="1270"/>
      <c r="E7" s="1270"/>
      <c r="F7" s="1270"/>
      <c r="G7" s="1270"/>
      <c r="H7" s="1270"/>
      <c r="I7" s="1270"/>
      <c r="J7" s="1271"/>
      <c r="K7" s="1172"/>
      <c r="L7" s="1172"/>
    </row>
    <row r="8" ht="14.25" customHeight="1" thickBot="1">
      <c r="L8" s="916" t="s">
        <v>123</v>
      </c>
    </row>
    <row r="9" spans="1:12" ht="30" customHeight="1" thickTop="1">
      <c r="A9" s="1273" t="s">
        <v>555</v>
      </c>
      <c r="B9" s="1274" t="s">
        <v>125</v>
      </c>
      <c r="C9" s="2218" t="s">
        <v>556</v>
      </c>
      <c r="D9" s="2219"/>
      <c r="E9" s="2219"/>
      <c r="F9" s="2219"/>
      <c r="G9" s="2219"/>
      <c r="H9" s="2219"/>
      <c r="I9" s="2219"/>
      <c r="J9" s="2219"/>
      <c r="K9" s="2220"/>
      <c r="L9" s="1275" t="s">
        <v>186</v>
      </c>
    </row>
    <row r="10" spans="1:12" ht="19.5" customHeight="1" thickBot="1">
      <c r="A10" s="1276"/>
      <c r="B10" s="1277"/>
      <c r="C10" s="1278">
        <v>600</v>
      </c>
      <c r="D10" s="1279">
        <v>700</v>
      </c>
      <c r="E10" s="1280">
        <v>750</v>
      </c>
      <c r="F10" s="1281">
        <v>801</v>
      </c>
      <c r="G10" s="1281">
        <v>852</v>
      </c>
      <c r="H10" s="1280">
        <v>854</v>
      </c>
      <c r="I10" s="1281">
        <v>900</v>
      </c>
      <c r="J10" s="1281">
        <v>921</v>
      </c>
      <c r="K10" s="1281">
        <v>926</v>
      </c>
      <c r="L10" s="1282"/>
    </row>
    <row r="11" spans="1:12" s="1182" customFormat="1" ht="11.25" customHeight="1" thickBot="1" thickTop="1">
      <c r="A11" s="1283">
        <v>1</v>
      </c>
      <c r="B11" s="1284">
        <v>2</v>
      </c>
      <c r="C11" s="1284">
        <v>3</v>
      </c>
      <c r="D11" s="1180">
        <v>4</v>
      </c>
      <c r="E11" s="1180">
        <v>5</v>
      </c>
      <c r="F11" s="1180">
        <v>6</v>
      </c>
      <c r="G11" s="1180">
        <v>7</v>
      </c>
      <c r="H11" s="1180">
        <v>7</v>
      </c>
      <c r="I11" s="1180">
        <v>8</v>
      </c>
      <c r="J11" s="1180">
        <v>9</v>
      </c>
      <c r="K11" s="1180">
        <v>10</v>
      </c>
      <c r="L11" s="1181">
        <v>11</v>
      </c>
    </row>
    <row r="12" spans="1:12" s="1289" customFormat="1" ht="30" customHeight="1" thickTop="1">
      <c r="A12" s="1285">
        <v>1</v>
      </c>
      <c r="B12" s="1286" t="s">
        <v>557</v>
      </c>
      <c r="C12" s="1287"/>
      <c r="D12" s="1287"/>
      <c r="E12" s="1287">
        <v>5000</v>
      </c>
      <c r="F12" s="1287"/>
      <c r="G12" s="1287"/>
      <c r="H12" s="1287">
        <v>300</v>
      </c>
      <c r="I12" s="1287">
        <v>15000</v>
      </c>
      <c r="J12" s="1287">
        <v>2500</v>
      </c>
      <c r="K12" s="1287"/>
      <c r="L12" s="1288">
        <f>SUM(C12:K12)</f>
        <v>22800</v>
      </c>
    </row>
    <row r="13" spans="1:12" s="1289" customFormat="1" ht="30" customHeight="1">
      <c r="A13" s="1290">
        <v>2</v>
      </c>
      <c r="B13" s="1291" t="s">
        <v>558</v>
      </c>
      <c r="C13" s="1287"/>
      <c r="D13" s="1292">
        <v>800</v>
      </c>
      <c r="E13" s="1292">
        <v>8220</v>
      </c>
      <c r="F13" s="1292"/>
      <c r="G13" s="1292"/>
      <c r="H13" s="1292"/>
      <c r="I13" s="1292">
        <v>7680</v>
      </c>
      <c r="J13" s="1292"/>
      <c r="K13" s="1292">
        <v>1300</v>
      </c>
      <c r="L13" s="1288">
        <f aca="true" t="shared" si="0" ref="L13:L26">SUM(C13:K13)</f>
        <v>18000</v>
      </c>
    </row>
    <row r="14" spans="1:12" s="1289" customFormat="1" ht="30" customHeight="1" hidden="1">
      <c r="A14" s="1290"/>
      <c r="B14" s="1291"/>
      <c r="C14" s="1287"/>
      <c r="D14" s="1292"/>
      <c r="E14" s="1292"/>
      <c r="F14" s="1292"/>
      <c r="G14" s="1292"/>
      <c r="H14" s="1292"/>
      <c r="I14" s="1292"/>
      <c r="J14" s="1292"/>
      <c r="K14" s="1292"/>
      <c r="L14" s="1288">
        <f t="shared" si="0"/>
        <v>0</v>
      </c>
    </row>
    <row r="15" spans="1:12" s="1289" customFormat="1" ht="30" customHeight="1">
      <c r="A15" s="1290">
        <v>3</v>
      </c>
      <c r="B15" s="1291" t="s">
        <v>559</v>
      </c>
      <c r="C15" s="1292">
        <v>20000</v>
      </c>
      <c r="D15" s="1292">
        <v>2000</v>
      </c>
      <c r="E15" s="1292">
        <v>6000</v>
      </c>
      <c r="F15" s="1292"/>
      <c r="G15" s="1292"/>
      <c r="H15" s="1292">
        <v>1000</v>
      </c>
      <c r="I15" s="1292"/>
      <c r="J15" s="1292">
        <v>1000</v>
      </c>
      <c r="K15" s="1292">
        <v>2200</v>
      </c>
      <c r="L15" s="1288">
        <f t="shared" si="0"/>
        <v>32200</v>
      </c>
    </row>
    <row r="16" spans="1:12" s="1289" customFormat="1" ht="30" customHeight="1">
      <c r="A16" s="1290">
        <v>4</v>
      </c>
      <c r="B16" s="1291" t="s">
        <v>560</v>
      </c>
      <c r="C16" s="1292">
        <v>8000</v>
      </c>
      <c r="D16" s="1292"/>
      <c r="E16" s="1292">
        <v>11100</v>
      </c>
      <c r="F16" s="1292"/>
      <c r="G16" s="1292"/>
      <c r="H16" s="1292">
        <v>500</v>
      </c>
      <c r="I16" s="1292">
        <v>32000</v>
      </c>
      <c r="J16" s="1292"/>
      <c r="K16" s="1292">
        <v>3000</v>
      </c>
      <c r="L16" s="1288">
        <f t="shared" si="0"/>
        <v>54600</v>
      </c>
    </row>
    <row r="17" spans="1:12" s="1289" customFormat="1" ht="30" customHeight="1">
      <c r="A17" s="1290">
        <v>5</v>
      </c>
      <c r="B17" s="1291" t="s">
        <v>561</v>
      </c>
      <c r="C17" s="1292"/>
      <c r="D17" s="1292"/>
      <c r="E17" s="1292">
        <v>5200</v>
      </c>
      <c r="F17" s="1292"/>
      <c r="G17" s="1292"/>
      <c r="H17" s="1292"/>
      <c r="I17" s="1292"/>
      <c r="J17" s="1292">
        <v>300</v>
      </c>
      <c r="K17" s="1292">
        <v>500</v>
      </c>
      <c r="L17" s="1288">
        <f>SUM(C17:K17)</f>
        <v>6000</v>
      </c>
    </row>
    <row r="18" spans="1:12" s="1289" customFormat="1" ht="30" customHeight="1">
      <c r="A18" s="1290">
        <v>6</v>
      </c>
      <c r="B18" s="1291" t="s">
        <v>562</v>
      </c>
      <c r="C18" s="1292"/>
      <c r="D18" s="1292">
        <v>1000</v>
      </c>
      <c r="E18" s="1292">
        <v>4300</v>
      </c>
      <c r="F18" s="1292"/>
      <c r="G18" s="1292"/>
      <c r="H18" s="1292">
        <v>900</v>
      </c>
      <c r="I18" s="1292">
        <v>13200</v>
      </c>
      <c r="J18" s="1292">
        <v>1900</v>
      </c>
      <c r="K18" s="1292">
        <v>700</v>
      </c>
      <c r="L18" s="1288">
        <f t="shared" si="0"/>
        <v>22000</v>
      </c>
    </row>
    <row r="19" spans="1:12" s="1289" customFormat="1" ht="30" customHeight="1">
      <c r="A19" s="1290">
        <v>7</v>
      </c>
      <c r="B19" s="1291" t="s">
        <v>563</v>
      </c>
      <c r="C19" s="1292"/>
      <c r="D19" s="1292">
        <v>700</v>
      </c>
      <c r="E19" s="1292">
        <v>5100</v>
      </c>
      <c r="F19" s="1292"/>
      <c r="G19" s="1292"/>
      <c r="H19" s="1292"/>
      <c r="I19" s="1292">
        <v>35200</v>
      </c>
      <c r="J19" s="1292">
        <v>2500</v>
      </c>
      <c r="K19" s="1292">
        <v>1400</v>
      </c>
      <c r="L19" s="1288">
        <f t="shared" si="0"/>
        <v>44900</v>
      </c>
    </row>
    <row r="20" spans="1:12" s="1289" customFormat="1" ht="30" customHeight="1">
      <c r="A20" s="1290">
        <v>8</v>
      </c>
      <c r="B20" s="1291" t="s">
        <v>564</v>
      </c>
      <c r="C20" s="1292"/>
      <c r="D20" s="1292"/>
      <c r="E20" s="1292">
        <v>15800</v>
      </c>
      <c r="F20" s="1292"/>
      <c r="G20" s="1292"/>
      <c r="H20" s="1292"/>
      <c r="I20" s="1292">
        <v>31000</v>
      </c>
      <c r="J20" s="1292"/>
      <c r="K20" s="1292">
        <v>1200</v>
      </c>
      <c r="L20" s="1288">
        <f t="shared" si="0"/>
        <v>48000</v>
      </c>
    </row>
    <row r="21" spans="1:12" s="1289" customFormat="1" ht="30" customHeight="1">
      <c r="A21" s="1290">
        <v>9</v>
      </c>
      <c r="B21" s="1291" t="s">
        <v>565</v>
      </c>
      <c r="C21" s="1292"/>
      <c r="D21" s="1292"/>
      <c r="E21" s="1292">
        <v>7080</v>
      </c>
      <c r="F21" s="1292"/>
      <c r="G21" s="1292"/>
      <c r="H21" s="1292">
        <v>600</v>
      </c>
      <c r="I21" s="1292">
        <v>25420</v>
      </c>
      <c r="J21" s="1292">
        <v>2000</v>
      </c>
      <c r="K21" s="1292">
        <v>600</v>
      </c>
      <c r="L21" s="1288">
        <f t="shared" si="0"/>
        <v>35700</v>
      </c>
    </row>
    <row r="22" spans="1:12" s="1289" customFormat="1" ht="30" customHeight="1">
      <c r="A22" s="1290">
        <v>10</v>
      </c>
      <c r="B22" s="1291" t="s">
        <v>566</v>
      </c>
      <c r="C22" s="1292">
        <v>26000</v>
      </c>
      <c r="D22" s="1292">
        <v>2500</v>
      </c>
      <c r="E22" s="1292">
        <v>5680</v>
      </c>
      <c r="F22" s="1292"/>
      <c r="G22" s="1292"/>
      <c r="H22" s="1292"/>
      <c r="I22" s="1292"/>
      <c r="J22" s="1292">
        <v>4700</v>
      </c>
      <c r="K22" s="1292">
        <v>5620</v>
      </c>
      <c r="L22" s="1288">
        <f>SUM(C22:K22)</f>
        <v>44500</v>
      </c>
    </row>
    <row r="23" spans="1:12" s="1289" customFormat="1" ht="30" customHeight="1">
      <c r="A23" s="1290">
        <v>11</v>
      </c>
      <c r="B23" s="1291" t="s">
        <v>567</v>
      </c>
      <c r="C23" s="1292"/>
      <c r="D23" s="1292">
        <v>4000</v>
      </c>
      <c r="E23" s="1292">
        <v>11000</v>
      </c>
      <c r="F23" s="1292">
        <v>12000</v>
      </c>
      <c r="G23" s="1292"/>
      <c r="H23" s="1292">
        <v>4000</v>
      </c>
      <c r="I23" s="1292">
        <v>7000</v>
      </c>
      <c r="J23" s="1292">
        <v>3600</v>
      </c>
      <c r="K23" s="1292">
        <v>1100</v>
      </c>
      <c r="L23" s="1288">
        <f t="shared" si="0"/>
        <v>42700</v>
      </c>
    </row>
    <row r="24" spans="1:12" s="1289" customFormat="1" ht="30" customHeight="1">
      <c r="A24" s="1290">
        <v>12</v>
      </c>
      <c r="B24" s="1291" t="s">
        <v>568</v>
      </c>
      <c r="C24" s="1292">
        <v>6700</v>
      </c>
      <c r="D24" s="1292">
        <v>1600</v>
      </c>
      <c r="E24" s="1292">
        <v>16600</v>
      </c>
      <c r="F24" s="1292"/>
      <c r="G24" s="1292"/>
      <c r="H24" s="1292"/>
      <c r="I24" s="1292">
        <v>5000</v>
      </c>
      <c r="J24" s="1292">
        <v>2000</v>
      </c>
      <c r="K24" s="1292">
        <v>700</v>
      </c>
      <c r="L24" s="1288">
        <f t="shared" si="0"/>
        <v>32600</v>
      </c>
    </row>
    <row r="25" spans="1:12" s="1289" customFormat="1" ht="30" customHeight="1">
      <c r="A25" s="1293">
        <v>13</v>
      </c>
      <c r="B25" s="1291" t="s">
        <v>569</v>
      </c>
      <c r="C25" s="1292">
        <v>15000</v>
      </c>
      <c r="D25" s="1294">
        <v>800</v>
      </c>
      <c r="E25" s="1294">
        <v>7100</v>
      </c>
      <c r="F25" s="1294"/>
      <c r="G25" s="1294"/>
      <c r="H25" s="1294">
        <v>3800</v>
      </c>
      <c r="I25" s="1294">
        <v>15000</v>
      </c>
      <c r="J25" s="1294">
        <v>4800</v>
      </c>
      <c r="K25" s="1294">
        <v>1000</v>
      </c>
      <c r="L25" s="1288">
        <f t="shared" si="0"/>
        <v>47500</v>
      </c>
    </row>
    <row r="26" spans="1:12" s="1289" customFormat="1" ht="30" customHeight="1" thickBot="1">
      <c r="A26" s="1293">
        <v>14</v>
      </c>
      <c r="B26" s="1295" t="s">
        <v>570</v>
      </c>
      <c r="C26" s="1292">
        <v>36000</v>
      </c>
      <c r="D26" s="1294">
        <v>500</v>
      </c>
      <c r="E26" s="1294">
        <v>26230</v>
      </c>
      <c r="F26" s="1294">
        <v>2000</v>
      </c>
      <c r="G26" s="1294"/>
      <c r="H26" s="1294">
        <v>1700</v>
      </c>
      <c r="I26" s="1294">
        <v>7000</v>
      </c>
      <c r="J26" s="1294">
        <v>4670</v>
      </c>
      <c r="K26" s="1294">
        <v>1400</v>
      </c>
      <c r="L26" s="1288">
        <f t="shared" si="0"/>
        <v>79500</v>
      </c>
    </row>
    <row r="27" spans="1:12" s="1299" customFormat="1" ht="29.25" customHeight="1" thickBot="1" thickTop="1">
      <c r="A27" s="1296"/>
      <c r="B27" s="1297" t="s">
        <v>186</v>
      </c>
      <c r="C27" s="1298">
        <f>SUM(C12:C26)</f>
        <v>111700</v>
      </c>
      <c r="D27" s="1298">
        <f>SUM(D12:D26)</f>
        <v>13900</v>
      </c>
      <c r="E27" s="1298">
        <f aca="true" t="shared" si="1" ref="E27:K27">SUM(E12:E26)</f>
        <v>134410</v>
      </c>
      <c r="F27" s="1298">
        <f t="shared" si="1"/>
        <v>14000</v>
      </c>
      <c r="G27" s="1298">
        <f t="shared" si="1"/>
        <v>0</v>
      </c>
      <c r="H27" s="1298">
        <f t="shared" si="1"/>
        <v>12800</v>
      </c>
      <c r="I27" s="1298">
        <f t="shared" si="1"/>
        <v>193500</v>
      </c>
      <c r="J27" s="1298">
        <f t="shared" si="1"/>
        <v>29970</v>
      </c>
      <c r="K27" s="1298">
        <f t="shared" si="1"/>
        <v>20720</v>
      </c>
      <c r="L27" s="1040">
        <f>SUM(C27:K27)</f>
        <v>531000</v>
      </c>
    </row>
    <row r="28" spans="1:11" ht="19.5" thickTop="1">
      <c r="A28" s="1300"/>
      <c r="B28" s="91"/>
      <c r="C28" s="1300"/>
      <c r="D28" s="1300"/>
      <c r="E28" s="1300"/>
      <c r="F28" s="1300"/>
      <c r="G28" s="1300"/>
      <c r="H28" s="1300"/>
      <c r="I28" s="1300"/>
      <c r="J28" s="1300"/>
      <c r="K28" s="1300"/>
    </row>
    <row r="29" ht="12.75">
      <c r="B29" s="91"/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G112"/>
  <sheetViews>
    <sheetView workbookViewId="0" topLeftCell="A1">
      <selection activeCell="D5" sqref="D5"/>
    </sheetView>
  </sheetViews>
  <sheetFormatPr defaultColWidth="9.00390625" defaultRowHeight="12.75"/>
  <cols>
    <col min="1" max="1" width="6.625" style="1301" customWidth="1"/>
    <col min="2" max="2" width="57.25390625" style="1302" customWidth="1"/>
    <col min="3" max="3" width="11.375" style="1303" customWidth="1"/>
    <col min="4" max="4" width="12.375" style="1303" customWidth="1"/>
    <col min="5" max="5" width="11.00390625" style="1303" customWidth="1"/>
    <col min="6" max="189" width="10.00390625" style="1303" customWidth="1"/>
    <col min="190" max="16384" width="10.00390625" style="1305" customWidth="1"/>
  </cols>
  <sheetData>
    <row r="1" spans="4:5" ht="12.75" customHeight="1">
      <c r="D1" s="1304" t="s">
        <v>571</v>
      </c>
      <c r="E1"/>
    </row>
    <row r="2" spans="4:5" ht="12.75" customHeight="1">
      <c r="D2" s="3" t="s">
        <v>118</v>
      </c>
      <c r="E2"/>
    </row>
    <row r="3" spans="4:5" ht="12.75" customHeight="1">
      <c r="D3" s="3" t="s">
        <v>119</v>
      </c>
      <c r="E3"/>
    </row>
    <row r="4" spans="4:5" ht="12.75" customHeight="1">
      <c r="D4" s="3" t="s">
        <v>120</v>
      </c>
      <c r="E4"/>
    </row>
    <row r="5" spans="4:5" ht="17.25" customHeight="1">
      <c r="D5" s="3"/>
      <c r="E5"/>
    </row>
    <row r="6" spans="1:5" s="1310" customFormat="1" ht="24" customHeight="1">
      <c r="A6" s="1306" t="s">
        <v>572</v>
      </c>
      <c r="B6" s="1307"/>
      <c r="C6" s="1308"/>
      <c r="D6" s="1308"/>
      <c r="E6" s="1309"/>
    </row>
    <row r="7" spans="1:5" s="1313" customFormat="1" ht="21" customHeight="1">
      <c r="A7" s="1306" t="s">
        <v>573</v>
      </c>
      <c r="B7" s="1311"/>
      <c r="C7" s="1312"/>
      <c r="D7" s="1312"/>
      <c r="E7" s="1312"/>
    </row>
    <row r="8" spans="1:189" s="1319" customFormat="1" ht="12.75" customHeight="1" thickBot="1">
      <c r="A8" s="1314"/>
      <c r="B8" s="1315"/>
      <c r="C8" s="1316"/>
      <c r="D8" s="1316"/>
      <c r="E8" s="1317" t="s">
        <v>123</v>
      </c>
      <c r="F8" s="1318"/>
      <c r="G8" s="1318"/>
      <c r="H8" s="1318"/>
      <c r="I8" s="1318"/>
      <c r="J8" s="1318"/>
      <c r="K8" s="1318"/>
      <c r="L8" s="1318"/>
      <c r="M8" s="1318"/>
      <c r="N8" s="1318"/>
      <c r="O8" s="1318"/>
      <c r="P8" s="1318"/>
      <c r="Q8" s="1318"/>
      <c r="R8" s="1318"/>
      <c r="S8" s="1318"/>
      <c r="T8" s="1318"/>
      <c r="U8" s="1318"/>
      <c r="V8" s="1318"/>
      <c r="W8" s="1318"/>
      <c r="X8" s="1318"/>
      <c r="Y8" s="1318"/>
      <c r="Z8" s="1318"/>
      <c r="AA8" s="1318"/>
      <c r="AB8" s="1318"/>
      <c r="AC8" s="1318"/>
      <c r="AD8" s="1318"/>
      <c r="AE8" s="1318"/>
      <c r="AF8" s="1318"/>
      <c r="AG8" s="1318"/>
      <c r="AH8" s="1318"/>
      <c r="AI8" s="1318"/>
      <c r="AJ8" s="1318"/>
      <c r="AK8" s="1318"/>
      <c r="AL8" s="1318"/>
      <c r="AM8" s="1318"/>
      <c r="AN8" s="1318"/>
      <c r="AO8" s="1318"/>
      <c r="AP8" s="1318"/>
      <c r="AQ8" s="1318"/>
      <c r="AR8" s="1318"/>
      <c r="AS8" s="1318"/>
      <c r="AT8" s="1318"/>
      <c r="AU8" s="1318"/>
      <c r="AV8" s="1318"/>
      <c r="AW8" s="1318"/>
      <c r="AX8" s="1318"/>
      <c r="AY8" s="1318"/>
      <c r="AZ8" s="1318"/>
      <c r="BA8" s="1318"/>
      <c r="BB8" s="1318"/>
      <c r="BC8" s="1318"/>
      <c r="BD8" s="1318"/>
      <c r="BE8" s="1318"/>
      <c r="BF8" s="1318"/>
      <c r="BG8" s="1318"/>
      <c r="BH8" s="1318"/>
      <c r="BI8" s="1318"/>
      <c r="BJ8" s="1318"/>
      <c r="BK8" s="1318"/>
      <c r="BL8" s="1318"/>
      <c r="BM8" s="1318"/>
      <c r="BN8" s="1318"/>
      <c r="BO8" s="1318"/>
      <c r="BP8" s="1318"/>
      <c r="BQ8" s="1318"/>
      <c r="BR8" s="1318"/>
      <c r="BS8" s="1318"/>
      <c r="BT8" s="1318"/>
      <c r="BU8" s="1318"/>
      <c r="BV8" s="1318"/>
      <c r="BW8" s="1318"/>
      <c r="BX8" s="1318"/>
      <c r="BY8" s="1318"/>
      <c r="BZ8" s="1318"/>
      <c r="CA8" s="1318"/>
      <c r="CB8" s="1318"/>
      <c r="CC8" s="1318"/>
      <c r="CD8" s="1318"/>
      <c r="CE8" s="1318"/>
      <c r="CF8" s="1318"/>
      <c r="CG8" s="1318"/>
      <c r="CH8" s="1318"/>
      <c r="CI8" s="1318"/>
      <c r="CJ8" s="1318"/>
      <c r="CK8" s="1318"/>
      <c r="CL8" s="1318"/>
      <c r="CM8" s="1318"/>
      <c r="CN8" s="1318"/>
      <c r="CO8" s="1318"/>
      <c r="CP8" s="1318"/>
      <c r="CQ8" s="1318"/>
      <c r="CR8" s="1318"/>
      <c r="CS8" s="1318"/>
      <c r="CT8" s="1318"/>
      <c r="CU8" s="1318"/>
      <c r="CV8" s="1318"/>
      <c r="CW8" s="1318"/>
      <c r="CX8" s="1318"/>
      <c r="CY8" s="1318"/>
      <c r="CZ8" s="1318"/>
      <c r="DA8" s="1318"/>
      <c r="DB8" s="1318"/>
      <c r="DC8" s="1318"/>
      <c r="DD8" s="1318"/>
      <c r="DE8" s="1318"/>
      <c r="DF8" s="1318"/>
      <c r="DG8" s="1318"/>
      <c r="DH8" s="1318"/>
      <c r="DI8" s="1318"/>
      <c r="DJ8" s="1318"/>
      <c r="DK8" s="1318"/>
      <c r="DL8" s="1318"/>
      <c r="DM8" s="1318"/>
      <c r="DN8" s="1318"/>
      <c r="DO8" s="1318"/>
      <c r="DP8" s="1318"/>
      <c r="DQ8" s="1318"/>
      <c r="DR8" s="1318"/>
      <c r="DS8" s="1318"/>
      <c r="DT8" s="1318"/>
      <c r="DU8" s="1318"/>
      <c r="DV8" s="1318"/>
      <c r="DW8" s="1318"/>
      <c r="DX8" s="1318"/>
      <c r="DY8" s="1318"/>
      <c r="DZ8" s="1318"/>
      <c r="EA8" s="1318"/>
      <c r="EB8" s="1318"/>
      <c r="EC8" s="1318"/>
      <c r="ED8" s="1318"/>
      <c r="EE8" s="1318"/>
      <c r="EF8" s="1318"/>
      <c r="EG8" s="1318"/>
      <c r="EH8" s="1318"/>
      <c r="EI8" s="1318"/>
      <c r="EJ8" s="1318"/>
      <c r="EK8" s="1318"/>
      <c r="EL8" s="1318"/>
      <c r="EM8" s="1318"/>
      <c r="EN8" s="1318"/>
      <c r="EO8" s="1318"/>
      <c r="EP8" s="1318"/>
      <c r="EQ8" s="1318"/>
      <c r="ER8" s="1318"/>
      <c r="ES8" s="1318"/>
      <c r="ET8" s="1318"/>
      <c r="EU8" s="1318"/>
      <c r="EV8" s="1318"/>
      <c r="EW8" s="1318"/>
      <c r="EX8" s="1318"/>
      <c r="EY8" s="1318"/>
      <c r="EZ8" s="1318"/>
      <c r="FA8" s="1318"/>
      <c r="FB8" s="1318"/>
      <c r="FC8" s="1318"/>
      <c r="FD8" s="1318"/>
      <c r="FE8" s="1318"/>
      <c r="FF8" s="1318"/>
      <c r="FG8" s="1318"/>
      <c r="FH8" s="1318"/>
      <c r="FI8" s="1318"/>
      <c r="FJ8" s="1318"/>
      <c r="FK8" s="1318"/>
      <c r="FL8" s="1318"/>
      <c r="FM8" s="1318"/>
      <c r="FN8" s="1318"/>
      <c r="FO8" s="1318"/>
      <c r="FP8" s="1318"/>
      <c r="FQ8" s="1318"/>
      <c r="FR8" s="1318"/>
      <c r="FS8" s="1318"/>
      <c r="FT8" s="1318"/>
      <c r="FU8" s="1318"/>
      <c r="FV8" s="1318"/>
      <c r="FW8" s="1318"/>
      <c r="FX8" s="1318"/>
      <c r="FY8" s="1318"/>
      <c r="FZ8" s="1318"/>
      <c r="GA8" s="1318"/>
      <c r="GB8" s="1318"/>
      <c r="GC8" s="1318"/>
      <c r="GD8" s="1318"/>
      <c r="GE8" s="1318"/>
      <c r="GF8" s="1318"/>
      <c r="GG8" s="1318"/>
    </row>
    <row r="9" spans="1:5" ht="33" customHeight="1" thickBot="1" thickTop="1">
      <c r="A9" s="1320" t="s">
        <v>574</v>
      </c>
      <c r="B9" s="1321" t="s">
        <v>575</v>
      </c>
      <c r="C9" s="1322" t="s">
        <v>186</v>
      </c>
      <c r="D9" s="1323" t="s">
        <v>187</v>
      </c>
      <c r="E9" s="1324" t="s">
        <v>188</v>
      </c>
    </row>
    <row r="10" spans="1:5" s="1330" customFormat="1" ht="9.75" customHeight="1" thickBot="1" thickTop="1">
      <c r="A10" s="1325">
        <v>1</v>
      </c>
      <c r="B10" s="1326">
        <v>2</v>
      </c>
      <c r="C10" s="1327">
        <v>3</v>
      </c>
      <c r="D10" s="1328">
        <v>4</v>
      </c>
      <c r="E10" s="1329">
        <v>5</v>
      </c>
    </row>
    <row r="11" spans="1:5" s="1336" customFormat="1" ht="21" customHeight="1" thickBot="1" thickTop="1">
      <c r="A11" s="1331">
        <v>630</v>
      </c>
      <c r="B11" s="1332" t="s">
        <v>249</v>
      </c>
      <c r="C11" s="1333">
        <f>C12</f>
        <v>14000</v>
      </c>
      <c r="D11" s="1334">
        <f>D12</f>
        <v>14000</v>
      </c>
      <c r="E11" s="1335"/>
    </row>
    <row r="12" spans="1:5" s="1342" customFormat="1" ht="18" customHeight="1" thickTop="1">
      <c r="A12" s="1337">
        <v>63003</v>
      </c>
      <c r="B12" s="1338" t="s">
        <v>576</v>
      </c>
      <c r="C12" s="1339">
        <f>C13</f>
        <v>14000</v>
      </c>
      <c r="D12" s="1340">
        <f>D13</f>
        <v>14000</v>
      </c>
      <c r="E12" s="1341"/>
    </row>
    <row r="13" spans="1:5" s="1348" customFormat="1" ht="33.75" customHeight="1" thickBot="1">
      <c r="A13" s="1343">
        <v>2820</v>
      </c>
      <c r="B13" s="1344" t="s">
        <v>577</v>
      </c>
      <c r="C13" s="1345">
        <f>SUM(D13:E13)</f>
        <v>14000</v>
      </c>
      <c r="D13" s="1346">
        <v>14000</v>
      </c>
      <c r="E13" s="1347"/>
    </row>
    <row r="14" spans="1:5" s="1336" customFormat="1" ht="18.75" customHeight="1" thickBot="1" thickTop="1">
      <c r="A14" s="1331">
        <v>750</v>
      </c>
      <c r="B14" s="1349" t="s">
        <v>145</v>
      </c>
      <c r="C14" s="1350">
        <f>C15+C17</f>
        <v>1630472</v>
      </c>
      <c r="D14" s="1351">
        <f>D15+D17</f>
        <v>462000</v>
      </c>
      <c r="E14" s="1352">
        <f>E15+E17</f>
        <v>1168472</v>
      </c>
    </row>
    <row r="15" spans="1:5" s="1336" customFormat="1" ht="18.75" customHeight="1" thickTop="1">
      <c r="A15" s="1353">
        <v>75020</v>
      </c>
      <c r="B15" s="1354" t="s">
        <v>308</v>
      </c>
      <c r="C15" s="1355">
        <f>C16</f>
        <v>1168472</v>
      </c>
      <c r="D15" s="1356"/>
      <c r="E15" s="1357">
        <f>E16</f>
        <v>1168472</v>
      </c>
    </row>
    <row r="16" spans="1:5" s="1363" customFormat="1" ht="45.75" customHeight="1">
      <c r="A16" s="1358">
        <v>2320</v>
      </c>
      <c r="B16" s="1359" t="s">
        <v>578</v>
      </c>
      <c r="C16" s="1360">
        <f>SUM(D16:E16)</f>
        <v>1168472</v>
      </c>
      <c r="D16" s="1361"/>
      <c r="E16" s="1362">
        <v>1168472</v>
      </c>
    </row>
    <row r="17" spans="1:5" s="1369" customFormat="1" ht="18" customHeight="1">
      <c r="A17" s="1364">
        <v>75095</v>
      </c>
      <c r="B17" s="1365" t="s">
        <v>276</v>
      </c>
      <c r="C17" s="1366">
        <f>C18</f>
        <v>462000</v>
      </c>
      <c r="D17" s="1367">
        <f>D18</f>
        <v>462000</v>
      </c>
      <c r="E17" s="1368"/>
    </row>
    <row r="18" spans="1:5" s="1374" customFormat="1" ht="33" customHeight="1" thickBot="1">
      <c r="A18" s="1370">
        <v>2810</v>
      </c>
      <c r="B18" s="1371" t="s">
        <v>579</v>
      </c>
      <c r="C18" s="1360">
        <f>SUM(D18:E18)</f>
        <v>462000</v>
      </c>
      <c r="D18" s="1372">
        <v>462000</v>
      </c>
      <c r="E18" s="1373"/>
    </row>
    <row r="19" spans="1:5" s="1369" customFormat="1" ht="31.5" customHeight="1" thickBot="1" thickTop="1">
      <c r="A19" s="1375">
        <v>754</v>
      </c>
      <c r="B19" s="1376" t="s">
        <v>151</v>
      </c>
      <c r="C19" s="1350">
        <f>C20</f>
        <v>10000</v>
      </c>
      <c r="D19" s="1377">
        <f>D20</f>
        <v>10000</v>
      </c>
      <c r="E19" s="1378"/>
    </row>
    <row r="20" spans="1:5" s="1369" customFormat="1" ht="18.75" customHeight="1" thickTop="1">
      <c r="A20" s="1364">
        <v>75412</v>
      </c>
      <c r="B20" s="1365" t="s">
        <v>580</v>
      </c>
      <c r="C20" s="1366">
        <f>SUM(D20:E20)</f>
        <v>10000</v>
      </c>
      <c r="D20" s="1367">
        <f>D21</f>
        <v>10000</v>
      </c>
      <c r="E20" s="1368"/>
    </row>
    <row r="21" spans="1:5" s="1374" customFormat="1" ht="34.5" customHeight="1" thickBot="1">
      <c r="A21" s="1370">
        <v>2820</v>
      </c>
      <c r="B21" s="1344" t="s">
        <v>581</v>
      </c>
      <c r="C21" s="1345">
        <f>SUM(D21:E21)</f>
        <v>10000</v>
      </c>
      <c r="D21" s="1372">
        <v>10000</v>
      </c>
      <c r="E21" s="1379"/>
    </row>
    <row r="22" spans="1:5" s="1336" customFormat="1" ht="21.75" customHeight="1" thickBot="1" thickTop="1">
      <c r="A22" s="1380">
        <v>801</v>
      </c>
      <c r="B22" s="1381" t="s">
        <v>159</v>
      </c>
      <c r="C22" s="1382">
        <f>C23+C27+C29+C31+C33+C35+C37+C25</f>
        <v>13293700</v>
      </c>
      <c r="D22" s="1383">
        <f>D23+D27+D29+D31+D33+D35+D37+D25</f>
        <v>10993700</v>
      </c>
      <c r="E22" s="1384">
        <f>E23+E27+E29+E31+E33+E35+E37</f>
        <v>2300000</v>
      </c>
    </row>
    <row r="23" spans="1:5" s="1369" customFormat="1" ht="19.5" customHeight="1" thickTop="1">
      <c r="A23" s="1385">
        <v>80101</v>
      </c>
      <c r="B23" s="1386" t="s">
        <v>329</v>
      </c>
      <c r="C23" s="1387">
        <f>D23+E23</f>
        <v>633000</v>
      </c>
      <c r="D23" s="1388">
        <f>D24</f>
        <v>633000</v>
      </c>
      <c r="E23" s="1389"/>
    </row>
    <row r="24" spans="1:5" s="1374" customFormat="1" ht="30.75" customHeight="1">
      <c r="A24" s="1390">
        <v>2540</v>
      </c>
      <c r="B24" s="1391" t="s">
        <v>582</v>
      </c>
      <c r="C24" s="1345">
        <f>SUM(D24:E24)</f>
        <v>633000</v>
      </c>
      <c r="D24" s="1372">
        <v>633000</v>
      </c>
      <c r="E24" s="1373"/>
    </row>
    <row r="25" spans="1:5" s="1374" customFormat="1" ht="19.5" customHeight="1">
      <c r="A25" s="1392">
        <v>80103</v>
      </c>
      <c r="B25" s="1393" t="s">
        <v>331</v>
      </c>
      <c r="C25" s="1394">
        <f>C26</f>
        <v>67500</v>
      </c>
      <c r="D25" s="1395">
        <f>D26</f>
        <v>67500</v>
      </c>
      <c r="E25" s="1396"/>
    </row>
    <row r="26" spans="1:5" s="1374" customFormat="1" ht="30.75" customHeight="1">
      <c r="A26" s="1370">
        <v>2540</v>
      </c>
      <c r="B26" s="1397" t="s">
        <v>582</v>
      </c>
      <c r="C26" s="1398">
        <f>SUM(D26:E26)</f>
        <v>67500</v>
      </c>
      <c r="D26" s="1399">
        <v>67500</v>
      </c>
      <c r="E26" s="1373"/>
    </row>
    <row r="27" spans="1:5" s="1369" customFormat="1" ht="21.75" customHeight="1">
      <c r="A27" s="1400">
        <v>80104</v>
      </c>
      <c r="B27" s="1401" t="s">
        <v>332</v>
      </c>
      <c r="C27" s="1402">
        <f>SUM(D27:E27)</f>
        <v>9900000</v>
      </c>
      <c r="D27" s="1403">
        <f>SUM(D28:D28)</f>
        <v>9900000</v>
      </c>
      <c r="E27" s="1368"/>
    </row>
    <row r="28" spans="1:5" s="1408" customFormat="1" ht="21" customHeight="1">
      <c r="A28" s="1404">
        <v>2510</v>
      </c>
      <c r="B28" s="1405" t="s">
        <v>583</v>
      </c>
      <c r="C28" s="1398">
        <f>SUM(D28:E28)</f>
        <v>9900000</v>
      </c>
      <c r="D28" s="1406">
        <v>9900000</v>
      </c>
      <c r="E28" s="1407"/>
    </row>
    <row r="29" spans="1:5" s="1369" customFormat="1" ht="21" customHeight="1">
      <c r="A29" s="1364">
        <v>80110</v>
      </c>
      <c r="B29" s="1401" t="s">
        <v>584</v>
      </c>
      <c r="C29" s="1402">
        <f>C30</f>
        <v>284000</v>
      </c>
      <c r="D29" s="1403">
        <f>D30</f>
        <v>284000</v>
      </c>
      <c r="E29" s="1409"/>
    </row>
    <row r="30" spans="1:5" s="1374" customFormat="1" ht="30.75" customHeight="1">
      <c r="A30" s="1410">
        <v>2540</v>
      </c>
      <c r="B30" s="1411" t="s">
        <v>582</v>
      </c>
      <c r="C30" s="1345">
        <f>SUM(D30:E30)</f>
        <v>284000</v>
      </c>
      <c r="D30" s="1412">
        <v>284000</v>
      </c>
      <c r="E30" s="1413"/>
    </row>
    <row r="31" spans="1:5" s="1369" customFormat="1" ht="20.25" customHeight="1">
      <c r="A31" s="1414">
        <v>80120</v>
      </c>
      <c r="B31" s="1365" t="s">
        <v>336</v>
      </c>
      <c r="C31" s="1366">
        <f>C32</f>
        <v>1200000</v>
      </c>
      <c r="D31" s="1367"/>
      <c r="E31" s="1368">
        <f>E32</f>
        <v>1200000</v>
      </c>
    </row>
    <row r="32" spans="1:5" s="1374" customFormat="1" ht="39" customHeight="1">
      <c r="A32" s="1415">
        <v>2540</v>
      </c>
      <c r="B32" s="1416" t="s">
        <v>582</v>
      </c>
      <c r="C32" s="1417">
        <f>SUM(D32:E32)</f>
        <v>1200000</v>
      </c>
      <c r="D32" s="1412"/>
      <c r="E32" s="1418">
        <v>1200000</v>
      </c>
    </row>
    <row r="33" spans="1:5" s="1369" customFormat="1" ht="21" customHeight="1">
      <c r="A33" s="1364">
        <v>80130</v>
      </c>
      <c r="B33" s="1365" t="s">
        <v>585</v>
      </c>
      <c r="C33" s="1366">
        <f>D33+E33</f>
        <v>1100000</v>
      </c>
      <c r="D33" s="1367"/>
      <c r="E33" s="1368">
        <f>E34</f>
        <v>1100000</v>
      </c>
    </row>
    <row r="34" spans="1:5" s="1369" customFormat="1" ht="30">
      <c r="A34" s="1410">
        <v>2540</v>
      </c>
      <c r="B34" s="1411" t="s">
        <v>582</v>
      </c>
      <c r="C34" s="1398">
        <f>SUM(D34:E34)</f>
        <v>1100000</v>
      </c>
      <c r="D34" s="1412"/>
      <c r="E34" s="1413">
        <v>1100000</v>
      </c>
    </row>
    <row r="35" spans="1:5" s="1422" customFormat="1" ht="17.25" customHeight="1">
      <c r="A35" s="1337">
        <v>80146</v>
      </c>
      <c r="B35" s="1419" t="s">
        <v>345</v>
      </c>
      <c r="C35" s="1366">
        <f>D35+E35</f>
        <v>50700</v>
      </c>
      <c r="D35" s="1420">
        <f>D36</f>
        <v>50700</v>
      </c>
      <c r="E35" s="1421"/>
    </row>
    <row r="36" spans="1:5" s="1369" customFormat="1" ht="20.25" customHeight="1">
      <c r="A36" s="1358">
        <v>2510</v>
      </c>
      <c r="B36" s="1405" t="s">
        <v>583</v>
      </c>
      <c r="C36" s="1345">
        <f>SUM(D36:E36)</f>
        <v>50700</v>
      </c>
      <c r="D36" s="1399">
        <v>50700</v>
      </c>
      <c r="E36" s="1423"/>
    </row>
    <row r="37" spans="1:5" s="1369" customFormat="1" ht="18" customHeight="1">
      <c r="A37" s="1424">
        <v>80195</v>
      </c>
      <c r="B37" s="1401" t="s">
        <v>276</v>
      </c>
      <c r="C37" s="1366">
        <f>D37+E37</f>
        <v>58500</v>
      </c>
      <c r="D37" s="1403">
        <f>SUM(D38:D39)</f>
        <v>58500</v>
      </c>
      <c r="E37" s="1409"/>
    </row>
    <row r="38" spans="1:5" s="1369" customFormat="1" ht="30">
      <c r="A38" s="1425">
        <v>2540</v>
      </c>
      <c r="B38" s="1391" t="s">
        <v>586</v>
      </c>
      <c r="C38" s="1398">
        <f>SUM(D38:E38)</f>
        <v>30000</v>
      </c>
      <c r="D38" s="1426">
        <v>30000</v>
      </c>
      <c r="E38" s="1427"/>
    </row>
    <row r="39" spans="1:5" s="1369" customFormat="1" ht="31.5" customHeight="1" thickBot="1">
      <c r="A39" s="1410">
        <v>2820</v>
      </c>
      <c r="B39" s="1428" t="s">
        <v>587</v>
      </c>
      <c r="C39" s="1345">
        <f>SUM(D39:E39)</f>
        <v>28500</v>
      </c>
      <c r="D39" s="1412">
        <v>28500</v>
      </c>
      <c r="E39" s="1413"/>
    </row>
    <row r="40" spans="1:5" s="1336" customFormat="1" ht="20.25" customHeight="1" thickBot="1" thickTop="1">
      <c r="A40" s="1331">
        <v>851</v>
      </c>
      <c r="B40" s="1349" t="s">
        <v>163</v>
      </c>
      <c r="C40" s="1350">
        <f>C43+C46+C48+C51+C41</f>
        <v>3685000</v>
      </c>
      <c r="D40" s="1351">
        <f>D43+D46+D48+D51+D41</f>
        <v>3685000</v>
      </c>
      <c r="E40" s="1352"/>
    </row>
    <row r="41" spans="1:5" s="1336" customFormat="1" ht="19.5" customHeight="1" thickTop="1">
      <c r="A41" s="1429">
        <v>85111</v>
      </c>
      <c r="B41" s="1430" t="s">
        <v>349</v>
      </c>
      <c r="C41" s="1431">
        <f>C42</f>
        <v>3000000</v>
      </c>
      <c r="D41" s="1432">
        <v>3000000</v>
      </c>
      <c r="E41" s="1433"/>
    </row>
    <row r="42" spans="1:5" s="1336" customFormat="1" ht="30" customHeight="1">
      <c r="A42" s="1434">
        <v>2330</v>
      </c>
      <c r="B42" s="1405" t="s">
        <v>588</v>
      </c>
      <c r="C42" s="1417">
        <f>SUM(D42:E42)</f>
        <v>3000000</v>
      </c>
      <c r="D42" s="1406">
        <v>3000000</v>
      </c>
      <c r="E42" s="1435"/>
    </row>
    <row r="43" spans="1:5" s="1422" customFormat="1" ht="21" customHeight="1">
      <c r="A43" s="1337">
        <v>85149</v>
      </c>
      <c r="B43" s="1419" t="s">
        <v>350</v>
      </c>
      <c r="C43" s="1339">
        <f>SUM(D43:E43)</f>
        <v>24000</v>
      </c>
      <c r="D43" s="1420">
        <f>D44+D45</f>
        <v>24000</v>
      </c>
      <c r="E43" s="1421"/>
    </row>
    <row r="44" spans="1:5" s="1374" customFormat="1" ht="30" customHeight="1">
      <c r="A44" s="1436">
        <v>2570</v>
      </c>
      <c r="B44" s="1397" t="s">
        <v>589</v>
      </c>
      <c r="C44" s="1437">
        <f>SUM(D44:E44)</f>
        <v>20000</v>
      </c>
      <c r="D44" s="1399">
        <v>20000</v>
      </c>
      <c r="E44" s="1438"/>
    </row>
    <row r="45" spans="1:5" s="1374" customFormat="1" ht="45" customHeight="1">
      <c r="A45" s="1439">
        <v>2830</v>
      </c>
      <c r="B45" s="1411" t="s">
        <v>590</v>
      </c>
      <c r="C45" s="1437">
        <f>SUM(D45:E45)</f>
        <v>4000</v>
      </c>
      <c r="D45" s="1412">
        <v>4000</v>
      </c>
      <c r="E45" s="1440"/>
    </row>
    <row r="46" spans="1:5" s="1369" customFormat="1" ht="16.5" customHeight="1">
      <c r="A46" s="1441">
        <v>85153</v>
      </c>
      <c r="B46" s="1365" t="s">
        <v>352</v>
      </c>
      <c r="C46" s="1366">
        <f>C47</f>
        <v>50000</v>
      </c>
      <c r="D46" s="1367">
        <f>SUM(D47:D47)</f>
        <v>50000</v>
      </c>
      <c r="E46" s="1442"/>
    </row>
    <row r="47" spans="1:5" s="1374" customFormat="1" ht="33" customHeight="1">
      <c r="A47" s="1439">
        <v>2820</v>
      </c>
      <c r="B47" s="1411" t="s">
        <v>591</v>
      </c>
      <c r="C47" s="1345">
        <f>SUM(D47:E47)</f>
        <v>50000</v>
      </c>
      <c r="D47" s="1412">
        <v>50000</v>
      </c>
      <c r="E47" s="1440"/>
    </row>
    <row r="48" spans="1:5" s="1369" customFormat="1" ht="20.25" customHeight="1">
      <c r="A48" s="1441">
        <v>85154</v>
      </c>
      <c r="B48" s="1365" t="s">
        <v>353</v>
      </c>
      <c r="C48" s="1366">
        <f>C49+C50</f>
        <v>510000</v>
      </c>
      <c r="D48" s="1367">
        <f>D49+D50</f>
        <v>510000</v>
      </c>
      <c r="E48" s="1442"/>
    </row>
    <row r="49" spans="1:5" s="1369" customFormat="1" ht="20.25" customHeight="1">
      <c r="A49" s="1439">
        <v>2480</v>
      </c>
      <c r="B49" s="1443" t="s">
        <v>592</v>
      </c>
      <c r="C49" s="1437">
        <f>SUM(D49:E49)</f>
        <v>110000</v>
      </c>
      <c r="D49" s="1361">
        <v>110000</v>
      </c>
      <c r="E49" s="1444"/>
    </row>
    <row r="50" spans="1:5" s="1374" customFormat="1" ht="31.5" customHeight="1">
      <c r="A50" s="1415">
        <v>2820</v>
      </c>
      <c r="B50" s="1411" t="s">
        <v>593</v>
      </c>
      <c r="C50" s="1345">
        <f>SUM(D50:E50)</f>
        <v>400000</v>
      </c>
      <c r="D50" s="1412">
        <v>400000</v>
      </c>
      <c r="E50" s="1418"/>
    </row>
    <row r="51" spans="1:5" s="1369" customFormat="1" ht="22.5" customHeight="1">
      <c r="A51" s="1414">
        <v>85195</v>
      </c>
      <c r="B51" s="1365" t="s">
        <v>276</v>
      </c>
      <c r="C51" s="1366">
        <f>C52</f>
        <v>101000</v>
      </c>
      <c r="D51" s="1367">
        <f>D52</f>
        <v>101000</v>
      </c>
      <c r="E51" s="1445"/>
    </row>
    <row r="52" spans="1:5" s="1448" customFormat="1" ht="37.5" customHeight="1" thickBot="1">
      <c r="A52" s="1404">
        <v>2820</v>
      </c>
      <c r="B52" s="1446" t="s">
        <v>587</v>
      </c>
      <c r="C52" s="1345">
        <f>SUM(D52:E52)</f>
        <v>101000</v>
      </c>
      <c r="D52" s="1447">
        <v>101000</v>
      </c>
      <c r="E52" s="1083"/>
    </row>
    <row r="53" spans="1:5" s="1452" customFormat="1" ht="21" customHeight="1" thickBot="1" thickTop="1">
      <c r="A53" s="1331">
        <v>852</v>
      </c>
      <c r="B53" s="1349" t="s">
        <v>165</v>
      </c>
      <c r="C53" s="1449">
        <f>C54+C57+C61</f>
        <v>1046560</v>
      </c>
      <c r="D53" s="1450">
        <f>D54+D57+D61</f>
        <v>174000</v>
      </c>
      <c r="E53" s="1451">
        <f>E54+E57+E61+E59</f>
        <v>872560</v>
      </c>
    </row>
    <row r="54" spans="1:5" s="1454" customFormat="1" ht="21" customHeight="1" thickTop="1">
      <c r="A54" s="1392">
        <v>85201</v>
      </c>
      <c r="B54" s="1393" t="s">
        <v>594</v>
      </c>
      <c r="C54" s="1366">
        <f>C55+C56</f>
        <v>722560</v>
      </c>
      <c r="D54" s="1367"/>
      <c r="E54" s="1453">
        <f>E55+E56</f>
        <v>722560</v>
      </c>
    </row>
    <row r="55" spans="1:5" s="1448" customFormat="1" ht="38.25" customHeight="1">
      <c r="A55" s="1410">
        <v>2820</v>
      </c>
      <c r="B55" s="1411" t="s">
        <v>591</v>
      </c>
      <c r="C55" s="1398">
        <f>SUM(D55:E55)</f>
        <v>72000</v>
      </c>
      <c r="D55" s="1412"/>
      <c r="E55" s="1455">
        <v>72000</v>
      </c>
    </row>
    <row r="56" spans="1:5" s="1448" customFormat="1" ht="48" customHeight="1">
      <c r="A56" s="1358">
        <v>2320</v>
      </c>
      <c r="B56" s="1359" t="s">
        <v>578</v>
      </c>
      <c r="C56" s="1456">
        <f>SUM(D56:E56)</f>
        <v>650560</v>
      </c>
      <c r="D56" s="1412"/>
      <c r="E56" s="1455">
        <v>650560</v>
      </c>
    </row>
    <row r="57" spans="1:5" s="1454" customFormat="1" ht="18.75" customHeight="1">
      <c r="A57" s="1337">
        <v>85204</v>
      </c>
      <c r="B57" s="1419" t="s">
        <v>358</v>
      </c>
      <c r="C57" s="1366">
        <f>C58+C60</f>
        <v>150000</v>
      </c>
      <c r="D57" s="1403"/>
      <c r="E57" s="1457">
        <f>E58</f>
        <v>30000</v>
      </c>
    </row>
    <row r="58" spans="1:5" s="1448" customFormat="1" ht="51.75" customHeight="1">
      <c r="A58" s="1358">
        <v>2320</v>
      </c>
      <c r="B58" s="1359" t="s">
        <v>578</v>
      </c>
      <c r="C58" s="1398">
        <f>SUM(D58:E58)</f>
        <v>30000</v>
      </c>
      <c r="D58" s="1412"/>
      <c r="E58" s="1455">
        <v>30000</v>
      </c>
    </row>
    <row r="59" spans="1:5" s="1448" customFormat="1" ht="33.75" customHeight="1">
      <c r="A59" s="1458">
        <v>85220</v>
      </c>
      <c r="B59" s="1459" t="s">
        <v>595</v>
      </c>
      <c r="C59" s="1394"/>
      <c r="D59" s="1460"/>
      <c r="E59" s="1396">
        <f>E60</f>
        <v>120000</v>
      </c>
    </row>
    <row r="60" spans="1:5" s="1448" customFormat="1" ht="32.25" customHeight="1">
      <c r="A60" s="1434">
        <v>2820</v>
      </c>
      <c r="B60" s="1411" t="s">
        <v>587</v>
      </c>
      <c r="C60" s="1398">
        <f>SUM(D60:E60)</f>
        <v>120000</v>
      </c>
      <c r="D60" s="1399"/>
      <c r="E60" s="1461">
        <v>120000</v>
      </c>
    </row>
    <row r="61" spans="1:5" s="1369" customFormat="1" ht="21" customHeight="1">
      <c r="A61" s="1364">
        <v>85295</v>
      </c>
      <c r="B61" s="1365" t="s">
        <v>276</v>
      </c>
      <c r="C61" s="1366">
        <f>C62</f>
        <v>174000</v>
      </c>
      <c r="D61" s="1367">
        <f>D62</f>
        <v>174000</v>
      </c>
      <c r="E61" s="1368"/>
    </row>
    <row r="62" spans="1:5" s="1374" customFormat="1" ht="35.25" customHeight="1" thickBot="1">
      <c r="A62" s="1425">
        <v>2820</v>
      </c>
      <c r="B62" s="1462" t="s">
        <v>587</v>
      </c>
      <c r="C62" s="1463">
        <f>SUM(D62:E62)</f>
        <v>174000</v>
      </c>
      <c r="D62" s="1426">
        <v>174000</v>
      </c>
      <c r="E62" s="1427"/>
    </row>
    <row r="63" spans="1:5" s="1374" customFormat="1" ht="34.5" customHeight="1" thickBot="1" thickTop="1">
      <c r="A63" s="1331">
        <v>853</v>
      </c>
      <c r="B63" s="1349" t="s">
        <v>167</v>
      </c>
      <c r="C63" s="1449">
        <f>C64</f>
        <v>1849000</v>
      </c>
      <c r="D63" s="1464">
        <f>D64</f>
        <v>1849000</v>
      </c>
      <c r="E63" s="1378"/>
    </row>
    <row r="64" spans="1:5" s="1374" customFormat="1" ht="19.5" customHeight="1" thickTop="1">
      <c r="A64" s="1465">
        <v>85305</v>
      </c>
      <c r="B64" s="1393" t="s">
        <v>369</v>
      </c>
      <c r="C64" s="1366">
        <f>C65</f>
        <v>1849000</v>
      </c>
      <c r="D64" s="1367">
        <f>D65</f>
        <v>1849000</v>
      </c>
      <c r="E64" s="1466"/>
    </row>
    <row r="65" spans="1:5" s="1374" customFormat="1" ht="21" customHeight="1" thickBot="1">
      <c r="A65" s="1439">
        <v>2510</v>
      </c>
      <c r="B65" s="1411" t="s">
        <v>583</v>
      </c>
      <c r="C65" s="1345">
        <f>SUM(D65:E65)</f>
        <v>1849000</v>
      </c>
      <c r="D65" s="1412">
        <v>1849000</v>
      </c>
      <c r="E65" s="1440"/>
    </row>
    <row r="66" spans="1:5" s="1336" customFormat="1" ht="19.5" customHeight="1" thickBot="1" thickTop="1">
      <c r="A66" s="1331">
        <v>854</v>
      </c>
      <c r="B66" s="1349" t="s">
        <v>169</v>
      </c>
      <c r="C66" s="1350">
        <f>C67</f>
        <v>29500</v>
      </c>
      <c r="D66" s="1377">
        <f>D67</f>
        <v>29500</v>
      </c>
      <c r="E66" s="1467"/>
    </row>
    <row r="67" spans="1:5" s="1468" customFormat="1" ht="18" customHeight="1" thickTop="1">
      <c r="A67" s="1364">
        <v>85495</v>
      </c>
      <c r="B67" s="1365" t="s">
        <v>276</v>
      </c>
      <c r="C67" s="1366">
        <f>C68</f>
        <v>29500</v>
      </c>
      <c r="D67" s="1367">
        <f>D68</f>
        <v>29500</v>
      </c>
      <c r="E67" s="1368"/>
    </row>
    <row r="68" spans="1:5" s="1470" customFormat="1" ht="34.5" customHeight="1" thickBot="1">
      <c r="A68" s="1370">
        <v>2820</v>
      </c>
      <c r="B68" s="1371" t="s">
        <v>593</v>
      </c>
      <c r="C68" s="1469">
        <f>SUM(D68:E68)</f>
        <v>29500</v>
      </c>
      <c r="D68" s="1372">
        <v>29500</v>
      </c>
      <c r="E68" s="1373"/>
    </row>
    <row r="69" spans="1:5" s="1336" customFormat="1" ht="30" thickBot="1" thickTop="1">
      <c r="A69" s="1331">
        <v>921</v>
      </c>
      <c r="B69" s="1349" t="s">
        <v>173</v>
      </c>
      <c r="C69" s="1350">
        <f>C70+C72+C74+C76+C78+C80</f>
        <v>11643000</v>
      </c>
      <c r="D69" s="1377">
        <f>D70+D72+D74+D76+D78+D80</f>
        <v>3125000</v>
      </c>
      <c r="E69" s="1467">
        <f>E70+E72+E74+E76+E78+E80</f>
        <v>8518000</v>
      </c>
    </row>
    <row r="70" spans="1:5" s="1422" customFormat="1" ht="17.25" customHeight="1" thickTop="1">
      <c r="A70" s="1353">
        <v>92105</v>
      </c>
      <c r="B70" s="1354" t="s">
        <v>596</v>
      </c>
      <c r="C70" s="1471">
        <f>C71</f>
        <v>105000</v>
      </c>
      <c r="D70" s="1420">
        <f>D71</f>
        <v>105000</v>
      </c>
      <c r="E70" s="1421"/>
    </row>
    <row r="71" spans="1:5" s="1472" customFormat="1" ht="33" customHeight="1">
      <c r="A71" s="1390">
        <v>2820</v>
      </c>
      <c r="B71" s="1411" t="s">
        <v>587</v>
      </c>
      <c r="C71" s="1345">
        <f>SUM(D71:E71)</f>
        <v>105000</v>
      </c>
      <c r="D71" s="1372">
        <v>105000</v>
      </c>
      <c r="E71" s="1373"/>
    </row>
    <row r="72" spans="1:5" s="1369" customFormat="1" ht="18" customHeight="1">
      <c r="A72" s="1441">
        <v>92106</v>
      </c>
      <c r="B72" s="1473" t="s">
        <v>390</v>
      </c>
      <c r="C72" s="1474">
        <f>C73</f>
        <v>2335000</v>
      </c>
      <c r="D72" s="1475"/>
      <c r="E72" s="1442">
        <f>E73</f>
        <v>2335000</v>
      </c>
    </row>
    <row r="73" spans="1:5" s="1369" customFormat="1" ht="20.25" customHeight="1">
      <c r="A73" s="1439">
        <v>2480</v>
      </c>
      <c r="B73" s="1443" t="s">
        <v>592</v>
      </c>
      <c r="C73" s="1345">
        <f>SUM(D73:E73)</f>
        <v>2335000</v>
      </c>
      <c r="D73" s="1476"/>
      <c r="E73" s="1440">
        <v>2335000</v>
      </c>
    </row>
    <row r="74" spans="1:5" s="1369" customFormat="1" ht="18" customHeight="1">
      <c r="A74" s="1441">
        <v>92108</v>
      </c>
      <c r="B74" s="1473" t="s">
        <v>391</v>
      </c>
      <c r="C74" s="1474">
        <f>C75</f>
        <v>2634000</v>
      </c>
      <c r="D74" s="1475"/>
      <c r="E74" s="1442">
        <f>E75</f>
        <v>2634000</v>
      </c>
    </row>
    <row r="75" spans="1:5" s="1369" customFormat="1" ht="23.25" customHeight="1">
      <c r="A75" s="1439">
        <v>2480</v>
      </c>
      <c r="B75" s="1443" t="s">
        <v>592</v>
      </c>
      <c r="C75" s="1345">
        <f>SUM(D75:E75)</f>
        <v>2634000</v>
      </c>
      <c r="D75" s="1372"/>
      <c r="E75" s="1373">
        <v>2634000</v>
      </c>
    </row>
    <row r="76" spans="1:5" s="1369" customFormat="1" ht="17.25" customHeight="1">
      <c r="A76" s="1441">
        <v>92109</v>
      </c>
      <c r="B76" s="1473" t="s">
        <v>597</v>
      </c>
      <c r="C76" s="1474">
        <f>C77</f>
        <v>1985000</v>
      </c>
      <c r="D76" s="1475">
        <f>D77</f>
        <v>1985000</v>
      </c>
      <c r="E76" s="1442"/>
    </row>
    <row r="77" spans="1:5" s="1374" customFormat="1" ht="23.25" customHeight="1">
      <c r="A77" s="1439">
        <v>2480</v>
      </c>
      <c r="B77" s="1443" t="s">
        <v>592</v>
      </c>
      <c r="C77" s="1345">
        <f>SUM(D77:E77)</f>
        <v>1985000</v>
      </c>
      <c r="D77" s="1477">
        <v>1985000</v>
      </c>
      <c r="E77" s="1478"/>
    </row>
    <row r="78" spans="1:5" s="1369" customFormat="1" ht="18.75" customHeight="1">
      <c r="A78" s="1414">
        <v>92116</v>
      </c>
      <c r="B78" s="1479" t="s">
        <v>392</v>
      </c>
      <c r="C78" s="1474">
        <f>C79</f>
        <v>3127000</v>
      </c>
      <c r="D78" s="1475">
        <f>D79</f>
        <v>1035000</v>
      </c>
      <c r="E78" s="1442">
        <f>E79</f>
        <v>2092000</v>
      </c>
    </row>
    <row r="79" spans="1:5" s="1374" customFormat="1" ht="21" customHeight="1">
      <c r="A79" s="1439">
        <v>2480</v>
      </c>
      <c r="B79" s="1443" t="s">
        <v>592</v>
      </c>
      <c r="C79" s="1345">
        <f>SUM(D79:E79)</f>
        <v>3127000</v>
      </c>
      <c r="D79" s="1476">
        <v>1035000</v>
      </c>
      <c r="E79" s="1440">
        <v>2092000</v>
      </c>
    </row>
    <row r="80" spans="1:5" s="1422" customFormat="1" ht="16.5" customHeight="1">
      <c r="A80" s="1465">
        <v>92118</v>
      </c>
      <c r="B80" s="1480" t="s">
        <v>394</v>
      </c>
      <c r="C80" s="1481">
        <f>C81</f>
        <v>1457000</v>
      </c>
      <c r="D80" s="1482"/>
      <c r="E80" s="1483">
        <f>E81</f>
        <v>1457000</v>
      </c>
    </row>
    <row r="81" spans="1:5" s="1422" customFormat="1" ht="21" customHeight="1" thickBot="1">
      <c r="A81" s="1390">
        <v>2480</v>
      </c>
      <c r="B81" s="1391" t="s">
        <v>592</v>
      </c>
      <c r="C81" s="1345">
        <f>SUM(D81:E81)</f>
        <v>1457000</v>
      </c>
      <c r="D81" s="1484"/>
      <c r="E81" s="1478">
        <v>1457000</v>
      </c>
    </row>
    <row r="82" spans="1:5" s="1336" customFormat="1" ht="22.5" customHeight="1" thickBot="1" thickTop="1">
      <c r="A82" s="1331">
        <v>926</v>
      </c>
      <c r="B82" s="1349" t="s">
        <v>175</v>
      </c>
      <c r="C82" s="1350">
        <f>D82+E82</f>
        <v>3500000</v>
      </c>
      <c r="D82" s="1377">
        <f>D83</f>
        <v>3500000</v>
      </c>
      <c r="E82" s="1467"/>
    </row>
    <row r="83" spans="1:5" s="1422" customFormat="1" ht="17.25" customHeight="1" thickTop="1">
      <c r="A83" s="1485">
        <v>92605</v>
      </c>
      <c r="B83" s="1486" t="s">
        <v>399</v>
      </c>
      <c r="C83" s="1431">
        <f>C84</f>
        <v>3500000</v>
      </c>
      <c r="D83" s="1487">
        <f>D84</f>
        <v>3500000</v>
      </c>
      <c r="E83" s="1488"/>
    </row>
    <row r="84" spans="1:5" s="1374" customFormat="1" ht="34.5" customHeight="1" thickBot="1">
      <c r="A84" s="1439">
        <v>2820</v>
      </c>
      <c r="B84" s="1411" t="s">
        <v>593</v>
      </c>
      <c r="C84" s="1345">
        <f>SUM(D84:E84)</f>
        <v>3500000</v>
      </c>
      <c r="D84" s="1476">
        <v>3500000</v>
      </c>
      <c r="E84" s="1440"/>
    </row>
    <row r="85" spans="1:5" s="1492" customFormat="1" ht="25.5" customHeight="1" thickBot="1" thickTop="1">
      <c r="A85" s="1489"/>
      <c r="B85" s="1490" t="s">
        <v>186</v>
      </c>
      <c r="C85" s="1491">
        <f>C11+C14+C19+C22+C40+C53+C63+C69+C82+C66</f>
        <v>36701232</v>
      </c>
      <c r="D85" s="1351">
        <f>D11+D14+D19+D22+D40+D53+D63+D69+D82+D66</f>
        <v>23842200</v>
      </c>
      <c r="E85" s="1352">
        <f>E11+E14+E19+E22+E40+E53+E63+E69+E82+E66</f>
        <v>12859032</v>
      </c>
    </row>
    <row r="86" spans="2:5" ht="16.5" thickTop="1">
      <c r="B86" s="91"/>
      <c r="C86" s="1493"/>
      <c r="D86" s="1493"/>
      <c r="E86" s="1493"/>
    </row>
    <row r="87" spans="2:5" ht="15.75">
      <c r="B87" s="91"/>
      <c r="C87" s="1493"/>
      <c r="D87" s="1493"/>
      <c r="E87" s="1493"/>
    </row>
    <row r="88" spans="2:5" ht="15.75">
      <c r="B88" s="1494"/>
      <c r="C88" s="1493"/>
      <c r="D88" s="1493"/>
      <c r="E88" s="1493"/>
    </row>
    <row r="89" spans="2:5" ht="15.75">
      <c r="B89" s="1494"/>
      <c r="C89" s="1493"/>
      <c r="D89" s="1493"/>
      <c r="E89" s="1493"/>
    </row>
    <row r="90" spans="2:5" ht="15.75">
      <c r="B90" s="1494"/>
      <c r="C90" s="1493"/>
      <c r="D90" s="1493"/>
      <c r="E90" s="1493"/>
    </row>
    <row r="91" spans="2:5" ht="15.75">
      <c r="B91" s="1494"/>
      <c r="C91" s="1493"/>
      <c r="D91" s="1493"/>
      <c r="E91" s="1493"/>
    </row>
    <row r="92" spans="2:5" ht="15.75">
      <c r="B92" s="1494"/>
      <c r="C92" s="1493"/>
      <c r="D92" s="1493"/>
      <c r="E92" s="1493"/>
    </row>
    <row r="93" spans="2:5" ht="15.75">
      <c r="B93" s="1494"/>
      <c r="C93" s="1493"/>
      <c r="D93" s="1493"/>
      <c r="E93" s="1493"/>
    </row>
    <row r="94" spans="2:5" ht="15.75">
      <c r="B94" s="1494"/>
      <c r="C94" s="1493"/>
      <c r="D94" s="1493"/>
      <c r="E94" s="1493"/>
    </row>
    <row r="95" spans="2:5" ht="15.75">
      <c r="B95" s="1494"/>
      <c r="C95" s="1493"/>
      <c r="D95" s="1493"/>
      <c r="E95" s="1493"/>
    </row>
    <row r="96" spans="2:5" ht="15.75">
      <c r="B96" s="1494"/>
      <c r="C96" s="1493"/>
      <c r="D96" s="1493"/>
      <c r="E96" s="1493"/>
    </row>
    <row r="97" spans="2:5" ht="15.75">
      <c r="B97" s="1494"/>
      <c r="C97" s="1493"/>
      <c r="D97" s="1493"/>
      <c r="E97" s="1493"/>
    </row>
    <row r="98" spans="2:5" ht="15.75">
      <c r="B98" s="1494"/>
      <c r="C98" s="1493"/>
      <c r="D98" s="1493"/>
      <c r="E98" s="1493"/>
    </row>
    <row r="99" spans="2:5" ht="15.75">
      <c r="B99" s="1494"/>
      <c r="C99" s="1493"/>
      <c r="D99" s="1493"/>
      <c r="E99" s="1493"/>
    </row>
    <row r="100" spans="2:5" ht="15.75">
      <c r="B100" s="1494"/>
      <c r="C100" s="1493"/>
      <c r="D100" s="1493"/>
      <c r="E100" s="1493"/>
    </row>
    <row r="101" spans="2:5" ht="15.75">
      <c r="B101" s="1494"/>
      <c r="C101" s="1493"/>
      <c r="D101" s="1493"/>
      <c r="E101" s="1493"/>
    </row>
    <row r="102" spans="2:5" ht="15.75">
      <c r="B102" s="1494"/>
      <c r="C102" s="1493"/>
      <c r="D102" s="1493"/>
      <c r="E102" s="1493"/>
    </row>
    <row r="103" spans="2:5" ht="15.75">
      <c r="B103" s="1494"/>
      <c r="C103" s="1493"/>
      <c r="D103" s="1493"/>
      <c r="E103" s="1493"/>
    </row>
    <row r="104" spans="2:5" ht="15.75">
      <c r="B104" s="1494"/>
      <c r="C104" s="1493"/>
      <c r="D104" s="1493"/>
      <c r="E104" s="1493"/>
    </row>
    <row r="105" spans="2:5" ht="15.75">
      <c r="B105" s="1494"/>
      <c r="C105" s="1493"/>
      <c r="D105" s="1493"/>
      <c r="E105" s="1493"/>
    </row>
    <row r="106" spans="2:5" ht="15.75">
      <c r="B106" s="1494"/>
      <c r="C106" s="1493"/>
      <c r="D106" s="1493"/>
      <c r="E106" s="1493"/>
    </row>
    <row r="107" spans="2:5" ht="15.75">
      <c r="B107" s="1494"/>
      <c r="C107" s="1493"/>
      <c r="D107" s="1493"/>
      <c r="E107" s="1493"/>
    </row>
    <row r="108" spans="2:5" ht="15.75">
      <c r="B108" s="1494"/>
      <c r="C108" s="1493"/>
      <c r="D108" s="1493"/>
      <c r="E108" s="1493"/>
    </row>
    <row r="109" spans="2:5" ht="15.75">
      <c r="B109" s="1494"/>
      <c r="C109" s="1493"/>
      <c r="D109" s="1493"/>
      <c r="E109" s="1493"/>
    </row>
    <row r="110" spans="2:5" ht="15.75">
      <c r="B110" s="1494"/>
      <c r="C110" s="1493"/>
      <c r="D110" s="1493"/>
      <c r="E110" s="1493"/>
    </row>
    <row r="111" spans="2:5" ht="15.75">
      <c r="B111" s="1494"/>
      <c r="C111" s="1493"/>
      <c r="D111" s="1493"/>
      <c r="E111" s="1493"/>
    </row>
    <row r="112" spans="2:5" ht="15.75">
      <c r="B112" s="1494"/>
      <c r="C112" s="1493"/>
      <c r="D112" s="1493"/>
      <c r="E112" s="149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6" sqref="I6"/>
    </sheetView>
  </sheetViews>
  <sheetFormatPr defaultColWidth="9.00390625" defaultRowHeight="12.75"/>
  <cols>
    <col min="1" max="1" width="3.375" style="920" customWidth="1"/>
    <col min="2" max="2" width="22.625" style="920" customWidth="1"/>
    <col min="3" max="3" width="9.875" style="920" customWidth="1"/>
    <col min="4" max="4" width="12.00390625" style="920" customWidth="1"/>
    <col min="5" max="5" width="11.625" style="920" customWidth="1"/>
    <col min="6" max="6" width="13.75390625" style="920" customWidth="1"/>
    <col min="7" max="7" width="10.625" style="920" customWidth="1"/>
    <col min="8" max="16384" width="9.125" style="920" customWidth="1"/>
  </cols>
  <sheetData>
    <row r="1" spans="5:11" ht="12.75" customHeight="1">
      <c r="E1" s="1495"/>
      <c r="F1" s="1045" t="s">
        <v>598</v>
      </c>
      <c r="G1" s="1496"/>
      <c r="H1" s="1497"/>
      <c r="I1" s="1498"/>
      <c r="J1" s="1499"/>
      <c r="K1" s="1500"/>
    </row>
    <row r="2" spans="5:11" ht="12.75" customHeight="1">
      <c r="E2" s="1495"/>
      <c r="F2" s="1501" t="s">
        <v>118</v>
      </c>
      <c r="G2" s="1496"/>
      <c r="H2" s="1497"/>
      <c r="I2" s="1498"/>
      <c r="J2" s="1499"/>
      <c r="K2" s="1500"/>
    </row>
    <row r="3" spans="5:11" ht="11.25" customHeight="1">
      <c r="E3" s="1495"/>
      <c r="F3" s="1501" t="s">
        <v>119</v>
      </c>
      <c r="G3" s="1502"/>
      <c r="I3" s="1229"/>
      <c r="J3" s="1221"/>
      <c r="K3" s="1503"/>
    </row>
    <row r="4" ht="12.75" customHeight="1">
      <c r="F4" s="1501" t="s">
        <v>120</v>
      </c>
    </row>
    <row r="5" ht="21.75" customHeight="1">
      <c r="F5" s="1501"/>
    </row>
    <row r="6" spans="2:7" s="1504" customFormat="1" ht="72.75" customHeight="1">
      <c r="B6" s="2221" t="s">
        <v>599</v>
      </c>
      <c r="C6" s="2221"/>
      <c r="D6" s="2221"/>
      <c r="E6" s="2221"/>
      <c r="F6" s="2221"/>
      <c r="G6" s="2221"/>
    </row>
    <row r="7" spans="2:7" ht="30.75" customHeight="1" thickBot="1">
      <c r="B7" s="2222"/>
      <c r="C7" s="2222"/>
      <c r="D7" s="2222"/>
      <c r="E7" s="2222"/>
      <c r="F7" s="1505"/>
      <c r="G7" s="916" t="s">
        <v>123</v>
      </c>
    </row>
    <row r="8" spans="1:7" ht="30" customHeight="1" thickBot="1" thickTop="1">
      <c r="A8" s="1506"/>
      <c r="B8" s="1507"/>
      <c r="C8" s="2223" t="s">
        <v>600</v>
      </c>
      <c r="D8" s="2225" t="s">
        <v>601</v>
      </c>
      <c r="E8" s="2225"/>
      <c r="F8" s="2225"/>
      <c r="G8" s="2226"/>
    </row>
    <row r="9" spans="1:7" ht="47.25" customHeight="1" thickBot="1" thickTop="1">
      <c r="A9" s="1508" t="s">
        <v>555</v>
      </c>
      <c r="B9" s="1509" t="s">
        <v>575</v>
      </c>
      <c r="C9" s="2224"/>
      <c r="D9" s="1510" t="s">
        <v>602</v>
      </c>
      <c r="E9" s="1511" t="s">
        <v>603</v>
      </c>
      <c r="F9" s="1512" t="s">
        <v>604</v>
      </c>
      <c r="G9" s="1513" t="s">
        <v>605</v>
      </c>
    </row>
    <row r="10" spans="1:7" s="1519" customFormat="1" ht="10.5" customHeight="1" thickBot="1" thickTop="1">
      <c r="A10" s="1514">
        <v>1</v>
      </c>
      <c r="B10" s="1515">
        <v>2</v>
      </c>
      <c r="C10" s="1516">
        <v>3</v>
      </c>
      <c r="D10" s="1517">
        <v>4</v>
      </c>
      <c r="E10" s="1518">
        <v>5</v>
      </c>
      <c r="F10" s="1518">
        <v>6</v>
      </c>
      <c r="G10" s="1515">
        <v>7</v>
      </c>
    </row>
    <row r="11" spans="1:7" ht="43.5" customHeight="1" thickTop="1">
      <c r="A11" s="1520">
        <v>1</v>
      </c>
      <c r="B11" s="1521" t="s">
        <v>606</v>
      </c>
      <c r="C11" s="1522">
        <v>-139747</v>
      </c>
      <c r="D11" s="1523">
        <v>26465000</v>
      </c>
      <c r="E11" s="1247">
        <v>6500000</v>
      </c>
      <c r="F11" s="1247">
        <v>32825253</v>
      </c>
      <c r="G11" s="1524">
        <f>C11+D11+E11-F11</f>
        <v>0</v>
      </c>
    </row>
    <row r="12" spans="1:7" ht="28.5" customHeight="1">
      <c r="A12" s="1525">
        <v>2</v>
      </c>
      <c r="B12" s="1526" t="s">
        <v>607</v>
      </c>
      <c r="C12" s="1527">
        <v>36900</v>
      </c>
      <c r="D12" s="1528">
        <v>4004200</v>
      </c>
      <c r="E12" s="1529">
        <v>9900000</v>
      </c>
      <c r="F12" s="1529">
        <v>13941100</v>
      </c>
      <c r="G12" s="1530">
        <f>C12+D12+E12-F12</f>
        <v>0</v>
      </c>
    </row>
    <row r="13" spans="1:7" ht="30" customHeight="1">
      <c r="A13" s="1525">
        <v>3</v>
      </c>
      <c r="B13" s="1526" t="s">
        <v>608</v>
      </c>
      <c r="C13" s="1527">
        <v>39</v>
      </c>
      <c r="D13" s="1528">
        <v>581000</v>
      </c>
      <c r="E13" s="1529">
        <v>1849000</v>
      </c>
      <c r="F13" s="1529">
        <v>2430000</v>
      </c>
      <c r="G13" s="1531">
        <f>C13+D13+E13-F13</f>
        <v>39</v>
      </c>
    </row>
    <row r="14" spans="1:7" ht="40.5" customHeight="1" thickBot="1">
      <c r="A14" s="1520">
        <v>4</v>
      </c>
      <c r="B14" s="1532" t="s">
        <v>609</v>
      </c>
      <c r="C14" s="1522">
        <v>210483</v>
      </c>
      <c r="D14" s="1523">
        <v>170000</v>
      </c>
      <c r="E14" s="1533">
        <v>0</v>
      </c>
      <c r="F14" s="1247">
        <v>290000</v>
      </c>
      <c r="G14" s="1531">
        <f>C14+D14+E14-F14</f>
        <v>90483</v>
      </c>
    </row>
    <row r="15" spans="1:7" ht="30.75" customHeight="1" thickBot="1" thickTop="1">
      <c r="A15" s="1534"/>
      <c r="B15" s="1535" t="s">
        <v>610</v>
      </c>
      <c r="C15" s="1536">
        <f>SUM(C11:C14)</f>
        <v>107675</v>
      </c>
      <c r="D15" s="1538">
        <f>SUM(D11:D14)</f>
        <v>31220200</v>
      </c>
      <c r="E15" s="1539">
        <f>SUM(E11:E14)</f>
        <v>18249000</v>
      </c>
      <c r="F15" s="1539">
        <f>SUM(F11:F14)</f>
        <v>49486353</v>
      </c>
      <c r="G15" s="1540">
        <f>SUM(G11:G14)</f>
        <v>90522</v>
      </c>
    </row>
    <row r="16" ht="13.5" thickTop="1">
      <c r="B16" s="91"/>
    </row>
    <row r="17" ht="12.75">
      <c r="B17" s="91"/>
    </row>
  </sheetData>
  <mergeCells count="4">
    <mergeCell ref="B6:G6"/>
    <mergeCell ref="B7:E7"/>
    <mergeCell ref="C8:C9"/>
    <mergeCell ref="D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B4" sqref="B4"/>
    </sheetView>
  </sheetViews>
  <sheetFormatPr defaultColWidth="9.00390625" defaultRowHeight="12.75"/>
  <cols>
    <col min="1" max="1" width="8.75390625" style="1541" customWidth="1"/>
    <col min="2" max="2" width="51.25390625" style="1541" customWidth="1"/>
    <col min="3" max="4" width="14.375" style="1542" customWidth="1"/>
    <col min="5" max="6" width="13.875" style="1542" customWidth="1"/>
    <col min="7" max="7" width="12.75390625" style="1542" customWidth="1"/>
    <col min="8" max="8" width="11.00390625" style="1542" customWidth="1"/>
    <col min="9" max="9" width="9.875" style="1541" customWidth="1"/>
    <col min="10" max="16384" width="9.125" style="1541" customWidth="1"/>
  </cols>
  <sheetData>
    <row r="1" spans="3:5" ht="13.5" customHeight="1">
      <c r="C1" s="919" t="s">
        <v>611</v>
      </c>
      <c r="E1"/>
    </row>
    <row r="2" spans="3:5" ht="13.5" customHeight="1">
      <c r="C2" s="920" t="s">
        <v>118</v>
      </c>
      <c r="E2"/>
    </row>
    <row r="3" spans="3:5" ht="13.5" customHeight="1">
      <c r="C3" s="920" t="s">
        <v>119</v>
      </c>
      <c r="E3"/>
    </row>
    <row r="4" spans="3:5" ht="13.5" customHeight="1">
      <c r="C4" s="920" t="s">
        <v>120</v>
      </c>
      <c r="E4"/>
    </row>
    <row r="5" spans="3:5" ht="12.75" customHeight="1">
      <c r="C5" s="920"/>
      <c r="D5"/>
      <c r="E5"/>
    </row>
    <row r="6" spans="1:7" s="1545" customFormat="1" ht="18" customHeight="1">
      <c r="A6" s="1543" t="s">
        <v>612</v>
      </c>
      <c r="B6" s="1543"/>
      <c r="C6" s="1544"/>
      <c r="D6" s="1544"/>
      <c r="E6" s="1544"/>
      <c r="F6" s="1544"/>
      <c r="G6" s="1544"/>
    </row>
    <row r="7" spans="1:8" s="1545" customFormat="1" ht="18" customHeight="1">
      <c r="A7" s="1543" t="s">
        <v>613</v>
      </c>
      <c r="B7" s="1543"/>
      <c r="C7" s="1544"/>
      <c r="D7" s="1544"/>
      <c r="E7" s="1544"/>
      <c r="F7" s="1544"/>
      <c r="G7" s="1544"/>
      <c r="H7" s="1544"/>
    </row>
    <row r="8" spans="1:8" s="1545" customFormat="1" ht="18" customHeight="1">
      <c r="A8" s="1543" t="s">
        <v>614</v>
      </c>
      <c r="B8" s="1543"/>
      <c r="C8" s="1544"/>
      <c r="D8" s="1544"/>
      <c r="E8" s="1544"/>
      <c r="F8" s="1544"/>
      <c r="G8" s="1544"/>
      <c r="H8" s="1544"/>
    </row>
    <row r="9" spans="1:8" s="1545" customFormat="1" ht="18" customHeight="1">
      <c r="A9" s="1543" t="s">
        <v>615</v>
      </c>
      <c r="B9" s="1543"/>
      <c r="C9" s="1544"/>
      <c r="D9" s="1544"/>
      <c r="E9" s="1544"/>
      <c r="F9" s="1544"/>
      <c r="G9" s="1544"/>
      <c r="H9" s="1544"/>
    </row>
    <row r="10" spans="2:4" ht="13.5" customHeight="1" thickBot="1">
      <c r="B10" s="1546"/>
      <c r="D10" s="1547" t="s">
        <v>123</v>
      </c>
    </row>
    <row r="11" spans="1:8" ht="23.25" customHeight="1" thickTop="1">
      <c r="A11" s="1548" t="s">
        <v>124</v>
      </c>
      <c r="B11" s="1549" t="s">
        <v>575</v>
      </c>
      <c r="C11" s="1550" t="s">
        <v>616</v>
      </c>
      <c r="D11" s="1551" t="s">
        <v>617</v>
      </c>
      <c r="E11" s="1552"/>
      <c r="F11" s="1541"/>
      <c r="G11" s="1541"/>
      <c r="H11" s="1541"/>
    </row>
    <row r="12" spans="1:8" ht="11.25" customHeight="1">
      <c r="A12" s="1553" t="s">
        <v>618</v>
      </c>
      <c r="B12" s="1554"/>
      <c r="C12" s="1555" t="s">
        <v>619</v>
      </c>
      <c r="D12" s="1556" t="s">
        <v>619</v>
      </c>
      <c r="E12" s="1541"/>
      <c r="F12" s="1541"/>
      <c r="G12" s="1541"/>
      <c r="H12" s="1541"/>
    </row>
    <row r="13" spans="1:4" s="1560" customFormat="1" ht="12.75" customHeight="1" thickBot="1">
      <c r="A13" s="1557">
        <v>1</v>
      </c>
      <c r="B13" s="1558">
        <v>2</v>
      </c>
      <c r="C13" s="1537">
        <v>3</v>
      </c>
      <c r="D13" s="1559">
        <v>4</v>
      </c>
    </row>
    <row r="14" spans="1:4" s="1565" customFormat="1" ht="21" customHeight="1" thickBot="1" thickTop="1">
      <c r="A14" s="1561">
        <v>750</v>
      </c>
      <c r="B14" s="1562" t="s">
        <v>620</v>
      </c>
      <c r="C14" s="1563"/>
      <c r="D14" s="1564">
        <f>D15+D21</f>
        <v>60000</v>
      </c>
    </row>
    <row r="15" spans="1:4" s="1571" customFormat="1" ht="16.5" customHeight="1" thickTop="1">
      <c r="A15" s="1566">
        <v>75023</v>
      </c>
      <c r="B15" s="1567" t="s">
        <v>621</v>
      </c>
      <c r="C15" s="1568"/>
      <c r="D15" s="1570">
        <f>D16</f>
        <v>60000</v>
      </c>
    </row>
    <row r="16" spans="1:4" s="1576" customFormat="1" ht="15" customHeight="1">
      <c r="A16" s="1572"/>
      <c r="B16" s="1573" t="s">
        <v>622</v>
      </c>
      <c r="C16" s="1574"/>
      <c r="D16" s="1575">
        <f>SUM(D17:D20)</f>
        <v>60000</v>
      </c>
    </row>
    <row r="17" spans="1:4" s="77" customFormat="1" ht="15.75" customHeight="1">
      <c r="A17" s="1577">
        <v>4010</v>
      </c>
      <c r="B17" s="1578" t="s">
        <v>623</v>
      </c>
      <c r="C17" s="1579"/>
      <c r="D17" s="1580">
        <v>46200</v>
      </c>
    </row>
    <row r="18" spans="1:4" s="77" customFormat="1" ht="15.75" customHeight="1">
      <c r="A18" s="1577" t="s">
        <v>624</v>
      </c>
      <c r="B18" s="1578" t="s">
        <v>625</v>
      </c>
      <c r="C18" s="1579"/>
      <c r="D18" s="1580">
        <v>3800</v>
      </c>
    </row>
    <row r="19" spans="1:4" s="77" customFormat="1" ht="15.75" customHeight="1">
      <c r="A19" s="1577" t="s">
        <v>431</v>
      </c>
      <c r="B19" s="1578" t="s">
        <v>432</v>
      </c>
      <c r="C19" s="1579"/>
      <c r="D19" s="1580">
        <v>8650</v>
      </c>
    </row>
    <row r="20" spans="1:4" s="77" customFormat="1" ht="15.75" customHeight="1" thickBot="1">
      <c r="A20" s="1577" t="s">
        <v>433</v>
      </c>
      <c r="B20" s="1578" t="s">
        <v>626</v>
      </c>
      <c r="C20" s="1579"/>
      <c r="D20" s="1580">
        <v>1350</v>
      </c>
    </row>
    <row r="21" spans="1:4" s="1584" customFormat="1" ht="51" customHeight="1" thickBot="1" thickTop="1">
      <c r="A21" s="1561">
        <v>756</v>
      </c>
      <c r="B21" s="1581" t="s">
        <v>627</v>
      </c>
      <c r="C21" s="1582">
        <f>C23+C34</f>
        <v>1400000</v>
      </c>
      <c r="D21" s="1583"/>
    </row>
    <row r="22" spans="1:4" s="1589" customFormat="1" ht="28.5" customHeight="1" thickTop="1">
      <c r="A22" s="1585">
        <v>75618</v>
      </c>
      <c r="B22" s="1586" t="s">
        <v>628</v>
      </c>
      <c r="C22" s="1587">
        <f>C23</f>
        <v>1400000</v>
      </c>
      <c r="D22" s="1588"/>
    </row>
    <row r="23" spans="1:4" s="77" customFormat="1" ht="19.5" customHeight="1" thickBot="1">
      <c r="A23" s="1577" t="s">
        <v>629</v>
      </c>
      <c r="B23" s="1578" t="s">
        <v>630</v>
      </c>
      <c r="C23" s="1590">
        <v>1400000</v>
      </c>
      <c r="D23" s="1591"/>
    </row>
    <row r="24" spans="1:4" s="1565" customFormat="1" ht="18" customHeight="1" thickBot="1" thickTop="1">
      <c r="A24" s="1561">
        <v>851</v>
      </c>
      <c r="B24" s="1562" t="s">
        <v>631</v>
      </c>
      <c r="C24" s="1563"/>
      <c r="D24" s="1564">
        <f>D25+D29</f>
        <v>1340000</v>
      </c>
    </row>
    <row r="25" spans="1:4" s="1571" customFormat="1" ht="18" customHeight="1" thickTop="1">
      <c r="A25" s="1592">
        <v>85153</v>
      </c>
      <c r="B25" s="1567" t="s">
        <v>632</v>
      </c>
      <c r="C25" s="1568"/>
      <c r="D25" s="1570">
        <f>SUM(D26:D28)</f>
        <v>80000</v>
      </c>
    </row>
    <row r="26" spans="1:4" s="1596" customFormat="1" ht="27.75" customHeight="1">
      <c r="A26" s="1593">
        <v>2820</v>
      </c>
      <c r="B26" s="1594" t="s">
        <v>633</v>
      </c>
      <c r="C26" s="1595"/>
      <c r="D26" s="1580">
        <v>50000</v>
      </c>
    </row>
    <row r="27" spans="1:4" s="77" customFormat="1" ht="17.25" customHeight="1">
      <c r="A27" s="70">
        <v>4210</v>
      </c>
      <c r="B27" s="1578" t="s">
        <v>436</v>
      </c>
      <c r="C27" s="1579"/>
      <c r="D27" s="1580">
        <v>6000</v>
      </c>
    </row>
    <row r="28" spans="1:4" s="77" customFormat="1" ht="17.25" customHeight="1">
      <c r="A28" s="70">
        <v>4300</v>
      </c>
      <c r="B28" s="1578" t="s">
        <v>458</v>
      </c>
      <c r="C28" s="1579"/>
      <c r="D28" s="1580">
        <v>24000</v>
      </c>
    </row>
    <row r="29" spans="1:4" s="1571" customFormat="1" ht="18" customHeight="1">
      <c r="A29" s="1592">
        <v>85154</v>
      </c>
      <c r="B29" s="1597" t="s">
        <v>353</v>
      </c>
      <c r="C29" s="1598"/>
      <c r="D29" s="1599">
        <f>SUM(D30:D38)</f>
        <v>1260000</v>
      </c>
    </row>
    <row r="30" spans="1:4" s="1596" customFormat="1" ht="17.25" customHeight="1">
      <c r="A30" s="1593">
        <v>2480</v>
      </c>
      <c r="B30" s="1600" t="s">
        <v>634</v>
      </c>
      <c r="C30" s="1595"/>
      <c r="D30" s="1580">
        <v>110000</v>
      </c>
    </row>
    <row r="31" spans="1:4" s="1596" customFormat="1" ht="27" customHeight="1">
      <c r="A31" s="70">
        <v>2820</v>
      </c>
      <c r="B31" s="1578" t="s">
        <v>633</v>
      </c>
      <c r="C31" s="1579"/>
      <c r="D31" s="1580">
        <v>400000</v>
      </c>
    </row>
    <row r="32" spans="1:4" s="77" customFormat="1" ht="30" customHeight="1">
      <c r="A32" s="70">
        <v>3030</v>
      </c>
      <c r="B32" s="1578" t="s">
        <v>635</v>
      </c>
      <c r="C32" s="1579"/>
      <c r="D32" s="1580">
        <v>38000</v>
      </c>
    </row>
    <row r="33" spans="1:4" s="77" customFormat="1" ht="17.25" customHeight="1">
      <c r="A33" s="70">
        <v>4210</v>
      </c>
      <c r="B33" s="1578" t="s">
        <v>436</v>
      </c>
      <c r="C33" s="1579"/>
      <c r="D33" s="1580">
        <v>25000</v>
      </c>
    </row>
    <row r="34" spans="1:4" s="1596" customFormat="1" ht="17.25" customHeight="1">
      <c r="A34" s="70">
        <v>4240</v>
      </c>
      <c r="B34" s="1578" t="s">
        <v>506</v>
      </c>
      <c r="C34" s="1579"/>
      <c r="D34" s="1580">
        <v>6000</v>
      </c>
    </row>
    <row r="35" spans="1:4" s="77" customFormat="1" ht="17.25" customHeight="1">
      <c r="A35" s="70">
        <v>4300</v>
      </c>
      <c r="B35" s="1578" t="s">
        <v>458</v>
      </c>
      <c r="C35" s="1579"/>
      <c r="D35" s="1580">
        <v>558000</v>
      </c>
    </row>
    <row r="36" spans="1:4" s="77" customFormat="1" ht="17.25" customHeight="1">
      <c r="A36" s="70">
        <v>4410</v>
      </c>
      <c r="B36" s="1578" t="s">
        <v>460</v>
      </c>
      <c r="C36" s="1579"/>
      <c r="D36" s="1580">
        <v>1500</v>
      </c>
    </row>
    <row r="37" spans="1:4" s="77" customFormat="1" ht="17.25" customHeight="1">
      <c r="A37" s="1601">
        <v>4430</v>
      </c>
      <c r="B37" s="1578" t="s">
        <v>462</v>
      </c>
      <c r="C37" s="1579"/>
      <c r="D37" s="1580">
        <v>1500</v>
      </c>
    </row>
    <row r="38" spans="1:4" s="77" customFormat="1" ht="17.25" customHeight="1" thickBot="1">
      <c r="A38" s="1602">
        <v>6050</v>
      </c>
      <c r="B38" s="1603" t="s">
        <v>636</v>
      </c>
      <c r="C38" s="1604"/>
      <c r="D38" s="1605">
        <v>120000</v>
      </c>
    </row>
    <row r="39" spans="1:4" s="1610" customFormat="1" ht="24.75" customHeight="1" thickBot="1" thickTop="1">
      <c r="A39" s="1606"/>
      <c r="B39" s="1607" t="s">
        <v>637</v>
      </c>
      <c r="C39" s="1608">
        <f>C14+C21+C24</f>
        <v>1400000</v>
      </c>
      <c r="D39" s="1609">
        <f>D14+D21+D24</f>
        <v>1400000</v>
      </c>
    </row>
    <row r="40" spans="2:9" s="77" customFormat="1" ht="13.5" thickTop="1">
      <c r="B40" s="91"/>
      <c r="C40" s="1611"/>
      <c r="D40" s="1611"/>
      <c r="E40" s="1611"/>
      <c r="F40" s="1611"/>
      <c r="G40" s="1611"/>
      <c r="H40" s="1611"/>
      <c r="I40" s="1612"/>
    </row>
    <row r="41" spans="2:8" s="77" customFormat="1" ht="12.75">
      <c r="B41" s="91"/>
      <c r="C41" s="1611"/>
      <c r="D41" s="1611"/>
      <c r="E41" s="1611"/>
      <c r="F41" s="1611"/>
      <c r="G41" s="1611"/>
      <c r="H41" s="1611"/>
    </row>
    <row r="42" spans="2:8" s="77" customFormat="1" ht="12.75">
      <c r="B42" s="1613"/>
      <c r="C42" s="1611"/>
      <c r="D42" s="1611"/>
      <c r="E42" s="1611"/>
      <c r="F42" s="1611"/>
      <c r="G42" s="1611"/>
      <c r="H42" s="1611"/>
    </row>
    <row r="43" spans="2:8" s="77" customFormat="1" ht="12.75">
      <c r="B43" s="1613"/>
      <c r="C43" s="1611"/>
      <c r="D43" s="1611"/>
      <c r="E43" s="1611"/>
      <c r="F43" s="1611"/>
      <c r="G43" s="1611"/>
      <c r="H43" s="1611"/>
    </row>
    <row r="44" spans="2:8" s="77" customFormat="1" ht="12.75">
      <c r="B44" s="1613"/>
      <c r="C44" s="1611"/>
      <c r="D44" s="1611"/>
      <c r="E44" s="1611"/>
      <c r="F44" s="1611"/>
      <c r="G44" s="1611"/>
      <c r="H44" s="1611"/>
    </row>
    <row r="45" spans="2:8" s="77" customFormat="1" ht="12.75">
      <c r="B45" s="1613"/>
      <c r="C45" s="1611"/>
      <c r="D45" s="1611"/>
      <c r="E45" s="1611"/>
      <c r="F45" s="1611"/>
      <c r="G45" s="1611"/>
      <c r="H45" s="1611"/>
    </row>
    <row r="46" spans="2:8" s="77" customFormat="1" ht="12.75">
      <c r="B46" s="1613"/>
      <c r="C46" s="1611"/>
      <c r="D46" s="1611"/>
      <c r="E46" s="1611"/>
      <c r="F46" s="1611"/>
      <c r="G46" s="1611"/>
      <c r="H46" s="1611"/>
    </row>
    <row r="47" spans="3:8" s="77" customFormat="1" ht="12.75">
      <c r="C47" s="1611"/>
      <c r="D47" s="1611"/>
      <c r="E47" s="1611"/>
      <c r="F47" s="1611"/>
      <c r="G47" s="1611"/>
      <c r="H47" s="1611"/>
    </row>
    <row r="48" spans="3:8" s="77" customFormat="1" ht="12.75">
      <c r="C48" s="1611"/>
      <c r="D48" s="1611"/>
      <c r="E48" s="1611"/>
      <c r="F48" s="1611"/>
      <c r="G48" s="1611"/>
      <c r="H48" s="1611"/>
    </row>
    <row r="49" spans="3:8" s="77" customFormat="1" ht="12.75">
      <c r="C49" s="1611"/>
      <c r="D49" s="1611"/>
      <c r="E49" s="1611"/>
      <c r="F49" s="1611"/>
      <c r="G49" s="1611"/>
      <c r="H49" s="1611"/>
    </row>
    <row r="50" spans="3:8" s="77" customFormat="1" ht="12.75">
      <c r="C50" s="1611"/>
      <c r="D50" s="1611"/>
      <c r="E50" s="1611"/>
      <c r="F50" s="1611"/>
      <c r="G50" s="1611"/>
      <c r="H50" s="1611"/>
    </row>
    <row r="51" spans="3:8" s="77" customFormat="1" ht="12.75">
      <c r="C51" s="1611"/>
      <c r="D51" s="1611"/>
      <c r="E51" s="1611"/>
      <c r="F51" s="1611"/>
      <c r="G51" s="1611"/>
      <c r="H51" s="1611"/>
    </row>
    <row r="52" spans="3:8" s="77" customFormat="1" ht="12.75">
      <c r="C52" s="1611"/>
      <c r="D52" s="1611"/>
      <c r="E52" s="1611"/>
      <c r="F52" s="1611"/>
      <c r="G52" s="1611"/>
      <c r="H52" s="1611"/>
    </row>
    <row r="53" spans="3:8" s="77" customFormat="1" ht="12.75">
      <c r="C53" s="1611"/>
      <c r="D53" s="1611"/>
      <c r="E53" s="1611"/>
      <c r="F53" s="1611"/>
      <c r="G53" s="1611"/>
      <c r="H53" s="1611"/>
    </row>
    <row r="54" spans="3:8" s="77" customFormat="1" ht="12.75">
      <c r="C54" s="1611"/>
      <c r="D54" s="1611"/>
      <c r="E54" s="1611"/>
      <c r="F54" s="1611"/>
      <c r="G54" s="1611"/>
      <c r="H54" s="1611"/>
    </row>
    <row r="55" spans="3:8" s="77" customFormat="1" ht="12.75">
      <c r="C55" s="1611"/>
      <c r="D55" s="1611"/>
      <c r="E55" s="1611"/>
      <c r="F55" s="1611"/>
      <c r="G55" s="1611"/>
      <c r="H55" s="1611"/>
    </row>
    <row r="56" spans="3:8" s="77" customFormat="1" ht="12.75">
      <c r="C56" s="1611"/>
      <c r="D56" s="1611"/>
      <c r="E56" s="1611"/>
      <c r="F56" s="1611"/>
      <c r="G56" s="1611"/>
      <c r="H56" s="1611"/>
    </row>
    <row r="57" spans="3:8" s="77" customFormat="1" ht="12.75">
      <c r="C57" s="1611"/>
      <c r="D57" s="1611"/>
      <c r="E57" s="1611"/>
      <c r="F57" s="1611"/>
      <c r="G57" s="1611"/>
      <c r="H57" s="1611"/>
    </row>
    <row r="58" spans="3:8" s="77" customFormat="1" ht="12.75">
      <c r="C58" s="1611"/>
      <c r="D58" s="1611"/>
      <c r="E58" s="1611"/>
      <c r="F58" s="1611"/>
      <c r="G58" s="1611"/>
      <c r="H58" s="1611"/>
    </row>
    <row r="59" spans="3:8" s="77" customFormat="1" ht="12.75">
      <c r="C59" s="1611"/>
      <c r="D59" s="1611"/>
      <c r="E59" s="1611"/>
      <c r="F59" s="1611"/>
      <c r="G59" s="1611"/>
      <c r="H59" s="1611"/>
    </row>
    <row r="60" spans="3:8" s="77" customFormat="1" ht="12.75">
      <c r="C60" s="1611"/>
      <c r="D60" s="1611"/>
      <c r="E60" s="1611"/>
      <c r="F60" s="1611"/>
      <c r="G60" s="1611"/>
      <c r="H60" s="1611"/>
    </row>
    <row r="61" spans="3:8" s="77" customFormat="1" ht="12.75">
      <c r="C61" s="1611"/>
      <c r="D61" s="1611"/>
      <c r="E61" s="1611"/>
      <c r="F61" s="1611"/>
      <c r="G61" s="1611"/>
      <c r="H61" s="1611"/>
    </row>
    <row r="62" spans="3:8" s="77" customFormat="1" ht="12.75">
      <c r="C62" s="1611"/>
      <c r="D62" s="1611"/>
      <c r="E62" s="1611"/>
      <c r="F62" s="1611"/>
      <c r="G62" s="1611"/>
      <c r="H62" s="161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9" sqref="H9"/>
    </sheetView>
  </sheetViews>
  <sheetFormatPr defaultColWidth="9.00390625" defaultRowHeight="12.75"/>
  <cols>
    <col min="1" max="1" width="4.00390625" style="1504" customWidth="1"/>
    <col min="2" max="2" width="22.125" style="1504" customWidth="1"/>
    <col min="3" max="3" width="11.875" style="1504" customWidth="1"/>
    <col min="4" max="7" width="11.75390625" style="1504" customWidth="1"/>
    <col min="8" max="8" width="8.00390625" style="1504" customWidth="1"/>
    <col min="9" max="16384" width="10.00390625" style="1504" customWidth="1"/>
  </cols>
  <sheetData>
    <row r="1" spans="6:7" ht="12.75" customHeight="1">
      <c r="F1" s="1045" t="s">
        <v>638</v>
      </c>
      <c r="G1" s="920"/>
    </row>
    <row r="2" spans="6:7" ht="12.75" customHeight="1">
      <c r="F2" s="920" t="s">
        <v>118</v>
      </c>
      <c r="G2" s="920"/>
    </row>
    <row r="3" spans="6:7" ht="12.75" customHeight="1">
      <c r="F3" s="920" t="s">
        <v>119</v>
      </c>
      <c r="G3" s="920"/>
    </row>
    <row r="4" spans="6:7" ht="12.75" customHeight="1">
      <c r="F4" s="920" t="s">
        <v>120</v>
      </c>
      <c r="G4" s="920"/>
    </row>
    <row r="6" ht="4.5" customHeight="1"/>
    <row r="8" spans="1:7" s="1615" customFormat="1" ht="18" customHeight="1">
      <c r="A8" s="1614" t="s">
        <v>639</v>
      </c>
      <c r="B8" s="1614"/>
      <c r="C8" s="1614"/>
      <c r="D8" s="1614"/>
      <c r="E8" s="1614"/>
      <c r="F8" s="1614"/>
      <c r="G8" s="1614"/>
    </row>
    <row r="9" spans="1:7" s="1615" customFormat="1" ht="22.5" customHeight="1">
      <c r="A9" s="1614" t="s">
        <v>640</v>
      </c>
      <c r="B9" s="1614"/>
      <c r="C9" s="1614"/>
      <c r="D9" s="1614"/>
      <c r="E9" s="1614"/>
      <c r="F9" s="1614"/>
      <c r="G9" s="1614"/>
    </row>
    <row r="10" spans="1:7" ht="25.5" customHeight="1" thickBot="1">
      <c r="A10" s="1616"/>
      <c r="B10" s="1616"/>
      <c r="C10" s="1616"/>
      <c r="D10" s="1616"/>
      <c r="E10" s="1616"/>
      <c r="F10" s="1616"/>
      <c r="G10" s="1616" t="s">
        <v>123</v>
      </c>
    </row>
    <row r="11" spans="1:7" s="1622" customFormat="1" ht="21.75" customHeight="1" thickTop="1">
      <c r="A11" s="1617"/>
      <c r="B11" s="1618"/>
      <c r="C11" s="1619" t="s">
        <v>641</v>
      </c>
      <c r="D11" s="1620"/>
      <c r="E11" s="1620"/>
      <c r="F11" s="1620"/>
      <c r="G11" s="1621"/>
    </row>
    <row r="12" spans="1:7" s="1628" customFormat="1" ht="56.25" customHeight="1" thickBot="1">
      <c r="A12" s="1623" t="s">
        <v>189</v>
      </c>
      <c r="B12" s="1624" t="s">
        <v>575</v>
      </c>
      <c r="C12" s="1625" t="s">
        <v>642</v>
      </c>
      <c r="D12" s="1626" t="s">
        <v>643</v>
      </c>
      <c r="E12" s="1626" t="s">
        <v>644</v>
      </c>
      <c r="F12" s="1626" t="s">
        <v>645</v>
      </c>
      <c r="G12" s="1627" t="s">
        <v>646</v>
      </c>
    </row>
    <row r="13" spans="1:7" s="1050" customFormat="1" ht="12.75" customHeight="1" thickBot="1" thickTop="1">
      <c r="A13" s="1629">
        <v>1</v>
      </c>
      <c r="B13" s="1630">
        <v>2</v>
      </c>
      <c r="C13" s="1630">
        <v>3</v>
      </c>
      <c r="D13" s="1630">
        <v>4</v>
      </c>
      <c r="E13" s="1630">
        <v>5</v>
      </c>
      <c r="F13" s="1630">
        <v>6</v>
      </c>
      <c r="G13" s="1631">
        <v>7</v>
      </c>
    </row>
    <row r="14" spans="1:7" s="1045" customFormat="1" ht="25.5" customHeight="1" thickTop="1">
      <c r="A14" s="1632" t="s">
        <v>647</v>
      </c>
      <c r="B14" s="1633" t="s">
        <v>648</v>
      </c>
      <c r="C14" s="1634">
        <v>0</v>
      </c>
      <c r="D14" s="1634">
        <v>1907000</v>
      </c>
      <c r="E14" s="1634">
        <f>SUM(C14:D14)</f>
        <v>1907000</v>
      </c>
      <c r="F14" s="1634">
        <v>1907000</v>
      </c>
      <c r="G14" s="1635">
        <f>E14-F14</f>
        <v>0</v>
      </c>
    </row>
    <row r="15" spans="1:7" s="1045" customFormat="1" ht="33" customHeight="1">
      <c r="A15" s="1636" t="s">
        <v>649</v>
      </c>
      <c r="B15" s="1637" t="s">
        <v>650</v>
      </c>
      <c r="C15" s="1638">
        <v>2500</v>
      </c>
      <c r="D15" s="1638">
        <v>27130</v>
      </c>
      <c r="E15" s="1638">
        <f>SUM(C15:D15)</f>
        <v>29630</v>
      </c>
      <c r="F15" s="1638">
        <v>27020</v>
      </c>
      <c r="G15" s="1639">
        <f>E15-F15</f>
        <v>2610</v>
      </c>
    </row>
    <row r="16" spans="1:7" s="1249" customFormat="1" ht="30" customHeight="1">
      <c r="A16" s="1636" t="s">
        <v>651</v>
      </c>
      <c r="B16" s="1637" t="s">
        <v>652</v>
      </c>
      <c r="C16" s="1638">
        <f>SUM(C18:C19)</f>
        <v>21700</v>
      </c>
      <c r="D16" s="1638">
        <f>SUM(D18:D19)</f>
        <v>650500</v>
      </c>
      <c r="E16" s="1638">
        <f>SUM(C16:D16)</f>
        <v>672200</v>
      </c>
      <c r="F16" s="1638">
        <f>SUM(F18:F19)</f>
        <v>654600</v>
      </c>
      <c r="G16" s="1639">
        <f>C16+D16-F16</f>
        <v>17600</v>
      </c>
    </row>
    <row r="17" spans="1:7" s="1045" customFormat="1" ht="14.25" customHeight="1">
      <c r="A17" s="1640"/>
      <c r="B17" s="1641" t="s">
        <v>521</v>
      </c>
      <c r="C17" s="1247"/>
      <c r="D17" s="1247"/>
      <c r="E17" s="1247"/>
      <c r="F17" s="1247"/>
      <c r="G17" s="1642"/>
    </row>
    <row r="18" spans="1:7" s="1645" customFormat="1" ht="18.75" customHeight="1">
      <c r="A18" s="1643"/>
      <c r="B18" s="955" t="s">
        <v>653</v>
      </c>
      <c r="C18" s="1195">
        <v>18400</v>
      </c>
      <c r="D18" s="1195">
        <v>296100</v>
      </c>
      <c r="E18" s="1195">
        <f>SUM(C18:D18)</f>
        <v>314500</v>
      </c>
      <c r="F18" s="1195">
        <v>301100</v>
      </c>
      <c r="G18" s="1644">
        <f>C18+D18-F18</f>
        <v>13400</v>
      </c>
    </row>
    <row r="19" spans="1:7" s="1645" customFormat="1" ht="18.75" customHeight="1">
      <c r="A19" s="1643"/>
      <c r="B19" s="955" t="s">
        <v>654</v>
      </c>
      <c r="C19" s="1195">
        <v>3300</v>
      </c>
      <c r="D19" s="1195">
        <v>354400</v>
      </c>
      <c r="E19" s="1195">
        <f>SUM(C19:D19)</f>
        <v>357700</v>
      </c>
      <c r="F19" s="1195">
        <v>353500</v>
      </c>
      <c r="G19" s="1644">
        <f>C19+D19-F19</f>
        <v>4200</v>
      </c>
    </row>
    <row r="20" spans="1:7" s="1645" customFormat="1" ht="29.25" customHeight="1" thickBot="1">
      <c r="A20" s="1636" t="s">
        <v>655</v>
      </c>
      <c r="B20" s="1637" t="s">
        <v>656</v>
      </c>
      <c r="C20" s="1638">
        <v>0</v>
      </c>
      <c r="D20" s="1638">
        <v>25000</v>
      </c>
      <c r="E20" s="1638">
        <f>SUM(C20:D20)</f>
        <v>25000</v>
      </c>
      <c r="F20" s="1638">
        <v>22000</v>
      </c>
      <c r="G20" s="1639">
        <f>C20+D20-F20</f>
        <v>3000</v>
      </c>
    </row>
    <row r="21" spans="1:7" s="1648" customFormat="1" ht="37.5" customHeight="1" thickBot="1" thickTop="1">
      <c r="A21" s="1646" t="s">
        <v>657</v>
      </c>
      <c r="B21" s="1647"/>
      <c r="C21" s="1038">
        <f>C14+C15+C16+C20</f>
        <v>24200</v>
      </c>
      <c r="D21" s="1038">
        <f>D14+D15+D16+D20</f>
        <v>2609630</v>
      </c>
      <c r="E21" s="1038">
        <f>E14+E15+E16+E20</f>
        <v>2633830</v>
      </c>
      <c r="F21" s="1038">
        <f>F14+F15+F16+F20</f>
        <v>2610620</v>
      </c>
      <c r="G21" s="1064">
        <f>G14+G15+G16+G20</f>
        <v>23210</v>
      </c>
    </row>
    <row r="22" ht="19.5" customHeight="1" thickTop="1">
      <c r="B22" s="91"/>
    </row>
    <row r="23" ht="15.75">
      <c r="B23" s="9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I7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920" customWidth="1"/>
    <col min="2" max="2" width="48.125" style="920" customWidth="1"/>
    <col min="3" max="3" width="14.75390625" style="1650" customWidth="1"/>
    <col min="4" max="4" width="14.75390625" style="1503" customWidth="1"/>
    <col min="5" max="16384" width="9.125" style="920" customWidth="1"/>
  </cols>
  <sheetData>
    <row r="1" ht="12.75">
      <c r="C1" s="1649" t="s">
        <v>658</v>
      </c>
    </row>
    <row r="2" ht="12.75">
      <c r="C2" s="920" t="s">
        <v>118</v>
      </c>
    </row>
    <row r="3" ht="12.75">
      <c r="C3" s="920" t="s">
        <v>119</v>
      </c>
    </row>
    <row r="4" ht="12.75">
      <c r="C4" s="920" t="s">
        <v>120</v>
      </c>
    </row>
    <row r="5" ht="21" customHeight="1"/>
    <row r="6" spans="1:4" s="1269" customFormat="1" ht="18.75">
      <c r="A6" s="1651" t="s">
        <v>659</v>
      </c>
      <c r="B6" s="1652"/>
      <c r="C6" s="1653"/>
      <c r="D6" s="1654"/>
    </row>
    <row r="7" spans="1:4" s="1269" customFormat="1" ht="18.75">
      <c r="A7" s="1655"/>
      <c r="B7" s="1656" t="s">
        <v>660</v>
      </c>
      <c r="C7" s="1653"/>
      <c r="D7" s="1654"/>
    </row>
    <row r="8" spans="1:4" s="1657" customFormat="1" ht="15.75">
      <c r="A8" s="1657" t="s">
        <v>661</v>
      </c>
      <c r="B8" s="1658"/>
      <c r="C8" s="1659"/>
      <c r="D8" s="1660"/>
    </row>
    <row r="9" spans="3:4" ht="13.5" thickBot="1">
      <c r="C9" s="1661"/>
      <c r="D9" s="1661" t="s">
        <v>123</v>
      </c>
    </row>
    <row r="10" spans="1:4" s="1666" customFormat="1" ht="50.25" customHeight="1" thickTop="1">
      <c r="A10" s="1662" t="s">
        <v>662</v>
      </c>
      <c r="B10" s="1663" t="s">
        <v>125</v>
      </c>
      <c r="C10" s="1664" t="s">
        <v>663</v>
      </c>
      <c r="D10" s="1665" t="s">
        <v>664</v>
      </c>
    </row>
    <row r="11" spans="1:4" s="1671" customFormat="1" ht="10.5" customHeight="1">
      <c r="A11" s="1667">
        <v>1</v>
      </c>
      <c r="B11" s="1668">
        <v>2</v>
      </c>
      <c r="C11" s="1669">
        <v>3</v>
      </c>
      <c r="D11" s="1670">
        <v>4</v>
      </c>
    </row>
    <row r="12" spans="1:4" s="1615" customFormat="1" ht="23.25" customHeight="1" thickBot="1">
      <c r="A12" s="1672" t="s">
        <v>200</v>
      </c>
      <c r="B12" s="1673" t="s">
        <v>665</v>
      </c>
      <c r="C12" s="1674">
        <v>1445000</v>
      </c>
      <c r="D12" s="1675">
        <v>0</v>
      </c>
    </row>
    <row r="13" spans="1:4" s="1240" customFormat="1" ht="18" customHeight="1" thickTop="1">
      <c r="A13" s="1676" t="s">
        <v>207</v>
      </c>
      <c r="B13" s="1677" t="s">
        <v>666</v>
      </c>
      <c r="C13" s="1678">
        <f>SUM(C15)</f>
        <v>1899000</v>
      </c>
      <c r="D13" s="1679">
        <f>SUM(D15)</f>
        <v>1907000</v>
      </c>
    </row>
    <row r="14" spans="1:4" s="1221" customFormat="1" ht="12" customHeight="1" thickBot="1">
      <c r="A14" s="1680"/>
      <c r="B14" s="1681" t="s">
        <v>521</v>
      </c>
      <c r="C14" s="1682"/>
      <c r="D14" s="1683"/>
    </row>
    <row r="15" spans="1:4" s="1223" customFormat="1" ht="18.75" customHeight="1" thickBot="1" thickTop="1">
      <c r="A15" s="1684">
        <v>600</v>
      </c>
      <c r="B15" s="1685" t="s">
        <v>667</v>
      </c>
      <c r="C15" s="1038">
        <f>SUM(C16+C20)</f>
        <v>1899000</v>
      </c>
      <c r="D15" s="1040">
        <f>SUM(D16+D20)</f>
        <v>1907000</v>
      </c>
    </row>
    <row r="16" spans="1:4" s="1689" customFormat="1" ht="29.25" customHeight="1" thickTop="1">
      <c r="A16" s="1686">
        <v>60015</v>
      </c>
      <c r="B16" s="1687" t="s">
        <v>668</v>
      </c>
      <c r="C16" s="1688">
        <f>SUM(C17:C19)</f>
        <v>593000</v>
      </c>
      <c r="D16" s="1288">
        <f>SUM(D17:D19)</f>
        <v>591000</v>
      </c>
    </row>
    <row r="17" spans="1:243" s="1223" customFormat="1" ht="15" customHeight="1">
      <c r="A17" s="1690" t="s">
        <v>669</v>
      </c>
      <c r="B17" s="1691" t="s">
        <v>670</v>
      </c>
      <c r="C17" s="1247">
        <v>2000</v>
      </c>
      <c r="D17" s="1248">
        <v>1000</v>
      </c>
      <c r="E17" s="1692"/>
      <c r="F17" s="1692"/>
      <c r="G17" s="1692"/>
      <c r="H17" s="1692"/>
      <c r="I17" s="1692"/>
      <c r="J17" s="1692"/>
      <c r="K17" s="1692"/>
      <c r="L17" s="1692"/>
      <c r="M17" s="1692"/>
      <c r="N17" s="1692"/>
      <c r="O17" s="1692"/>
      <c r="P17" s="1692"/>
      <c r="Q17" s="1692"/>
      <c r="R17" s="1692"/>
      <c r="S17" s="1692"/>
      <c r="T17" s="1692"/>
      <c r="U17" s="1692"/>
      <c r="V17" s="1692"/>
      <c r="W17" s="1692"/>
      <c r="X17" s="1692"/>
      <c r="Y17" s="1692"/>
      <c r="Z17" s="1692"/>
      <c r="AA17" s="1692"/>
      <c r="AB17" s="1692"/>
      <c r="AC17" s="1692"/>
      <c r="AD17" s="1692"/>
      <c r="AE17" s="1692"/>
      <c r="AF17" s="1692"/>
      <c r="AG17" s="1692"/>
      <c r="AH17" s="1692"/>
      <c r="AI17" s="1692"/>
      <c r="AJ17" s="1692"/>
      <c r="AK17" s="1692"/>
      <c r="AL17" s="1692"/>
      <c r="AM17" s="1692"/>
      <c r="AN17" s="1692"/>
      <c r="AO17" s="1692"/>
      <c r="AP17" s="1692"/>
      <c r="AQ17" s="1692"/>
      <c r="AR17" s="1692"/>
      <c r="AS17" s="1692"/>
      <c r="AT17" s="1692"/>
      <c r="AU17" s="1692"/>
      <c r="AV17" s="1692"/>
      <c r="AW17" s="1692"/>
      <c r="AX17" s="1692"/>
      <c r="AY17" s="1692"/>
      <c r="AZ17" s="1692"/>
      <c r="BA17" s="1692"/>
      <c r="BB17" s="1692"/>
      <c r="BC17" s="1692"/>
      <c r="BD17" s="1692"/>
      <c r="BE17" s="1692"/>
      <c r="BF17" s="1692"/>
      <c r="BG17" s="1692"/>
      <c r="BH17" s="1692"/>
      <c r="BI17" s="1692"/>
      <c r="BJ17" s="1692"/>
      <c r="BK17" s="1692"/>
      <c r="BL17" s="1692"/>
      <c r="BM17" s="1692"/>
      <c r="BN17" s="1692"/>
      <c r="BO17" s="1692"/>
      <c r="BP17" s="1692"/>
      <c r="BQ17" s="1692"/>
      <c r="BR17" s="1692"/>
      <c r="BS17" s="1692"/>
      <c r="BT17" s="1692"/>
      <c r="BU17" s="1692"/>
      <c r="BV17" s="1692"/>
      <c r="BW17" s="1692"/>
      <c r="BX17" s="1692"/>
      <c r="BY17" s="1692"/>
      <c r="BZ17" s="1692"/>
      <c r="CA17" s="1692"/>
      <c r="CB17" s="1692"/>
      <c r="CC17" s="1692"/>
      <c r="CD17" s="1692"/>
      <c r="CE17" s="1692"/>
      <c r="CF17" s="1692"/>
      <c r="CG17" s="1692"/>
      <c r="CH17" s="1692"/>
      <c r="CI17" s="1692"/>
      <c r="CJ17" s="1692"/>
      <c r="CK17" s="1692"/>
      <c r="CL17" s="1692"/>
      <c r="CM17" s="1692"/>
      <c r="CN17" s="1692"/>
      <c r="CO17" s="1692"/>
      <c r="CP17" s="1692"/>
      <c r="CQ17" s="1692"/>
      <c r="CR17" s="1692"/>
      <c r="CS17" s="1692"/>
      <c r="CT17" s="1692"/>
      <c r="CU17" s="1692"/>
      <c r="CV17" s="1692"/>
      <c r="CW17" s="1692"/>
      <c r="CX17" s="1692"/>
      <c r="CY17" s="1692"/>
      <c r="CZ17" s="1692"/>
      <c r="DA17" s="1692"/>
      <c r="DB17" s="1692"/>
      <c r="DC17" s="1692"/>
      <c r="DD17" s="1692"/>
      <c r="DE17" s="1692"/>
      <c r="DF17" s="1692"/>
      <c r="DG17" s="1692"/>
      <c r="DH17" s="1692"/>
      <c r="DI17" s="1692"/>
      <c r="DJ17" s="1692"/>
      <c r="DK17" s="1692"/>
      <c r="DL17" s="1692"/>
      <c r="DM17" s="1692"/>
      <c r="DN17" s="1692"/>
      <c r="DO17" s="1692"/>
      <c r="DP17" s="1692"/>
      <c r="DQ17" s="1692"/>
      <c r="DR17" s="1692"/>
      <c r="DS17" s="1692"/>
      <c r="DT17" s="1692"/>
      <c r="DU17" s="1692"/>
      <c r="DV17" s="1692"/>
      <c r="DW17" s="1692"/>
      <c r="DX17" s="1692"/>
      <c r="DY17" s="1692"/>
      <c r="DZ17" s="1692"/>
      <c r="EA17" s="1692"/>
      <c r="EB17" s="1692"/>
      <c r="EC17" s="1692"/>
      <c r="ED17" s="1692"/>
      <c r="EE17" s="1692"/>
      <c r="EF17" s="1692"/>
      <c r="EG17" s="1692"/>
      <c r="EH17" s="1692"/>
      <c r="EI17" s="1692"/>
      <c r="EJ17" s="1692"/>
      <c r="EK17" s="1692"/>
      <c r="EL17" s="1692"/>
      <c r="EM17" s="1692"/>
      <c r="EN17" s="1692"/>
      <c r="EO17" s="1692"/>
      <c r="EP17" s="1692"/>
      <c r="EQ17" s="1692"/>
      <c r="ER17" s="1692"/>
      <c r="ES17" s="1692"/>
      <c r="ET17" s="1692"/>
      <c r="EU17" s="1692"/>
      <c r="EV17" s="1692"/>
      <c r="EW17" s="1692"/>
      <c r="EX17" s="1692"/>
      <c r="EY17" s="1692"/>
      <c r="EZ17" s="1692"/>
      <c r="FA17" s="1692"/>
      <c r="FB17" s="1692"/>
      <c r="FC17" s="1692"/>
      <c r="FD17" s="1692"/>
      <c r="FE17" s="1692"/>
      <c r="FF17" s="1692"/>
      <c r="FG17" s="1692"/>
      <c r="FH17" s="1692"/>
      <c r="FI17" s="1692"/>
      <c r="FJ17" s="1692"/>
      <c r="FK17" s="1692"/>
      <c r="FL17" s="1692"/>
      <c r="FM17" s="1692"/>
      <c r="FN17" s="1692"/>
      <c r="FO17" s="1692"/>
      <c r="FP17" s="1692"/>
      <c r="FQ17" s="1692"/>
      <c r="FR17" s="1692"/>
      <c r="FS17" s="1692"/>
      <c r="FT17" s="1692"/>
      <c r="FU17" s="1692"/>
      <c r="FV17" s="1692"/>
      <c r="FW17" s="1692"/>
      <c r="FX17" s="1692"/>
      <c r="FY17" s="1692"/>
      <c r="FZ17" s="1692"/>
      <c r="GA17" s="1692"/>
      <c r="GB17" s="1692"/>
      <c r="GC17" s="1692"/>
      <c r="GD17" s="1692"/>
      <c r="GE17" s="1692"/>
      <c r="GF17" s="1692"/>
      <c r="GG17" s="1692"/>
      <c r="GH17" s="1692"/>
      <c r="GI17" s="1692"/>
      <c r="GJ17" s="1692"/>
      <c r="GK17" s="1692"/>
      <c r="GL17" s="1692"/>
      <c r="GM17" s="1692"/>
      <c r="GN17" s="1692"/>
      <c r="GO17" s="1692"/>
      <c r="GP17" s="1692"/>
      <c r="GQ17" s="1692"/>
      <c r="GR17" s="1692"/>
      <c r="GS17" s="1692"/>
      <c r="GT17" s="1692"/>
      <c r="GU17" s="1692"/>
      <c r="GV17" s="1692"/>
      <c r="GW17" s="1692"/>
      <c r="GX17" s="1692"/>
      <c r="GY17" s="1692"/>
      <c r="GZ17" s="1692"/>
      <c r="HA17" s="1692"/>
      <c r="HB17" s="1692"/>
      <c r="HC17" s="1692"/>
      <c r="HD17" s="1692"/>
      <c r="HE17" s="1692"/>
      <c r="HF17" s="1692"/>
      <c r="HG17" s="1692"/>
      <c r="HH17" s="1692"/>
      <c r="HI17" s="1692"/>
      <c r="HJ17" s="1692"/>
      <c r="HK17" s="1692"/>
      <c r="HL17" s="1692"/>
      <c r="HM17" s="1692"/>
      <c r="HN17" s="1692"/>
      <c r="HO17" s="1692"/>
      <c r="HP17" s="1692"/>
      <c r="HQ17" s="1692"/>
      <c r="HR17" s="1692"/>
      <c r="HS17" s="1692"/>
      <c r="HT17" s="1692"/>
      <c r="HU17" s="1692"/>
      <c r="HV17" s="1692"/>
      <c r="HW17" s="1692"/>
      <c r="HX17" s="1692"/>
      <c r="HY17" s="1692"/>
      <c r="HZ17" s="1692"/>
      <c r="IA17" s="1692"/>
      <c r="IB17" s="1692"/>
      <c r="IC17" s="1692"/>
      <c r="ID17" s="1692"/>
      <c r="IE17" s="1692"/>
      <c r="IF17" s="1692"/>
      <c r="IG17" s="1692"/>
      <c r="IH17" s="1692"/>
      <c r="II17" s="1692"/>
    </row>
    <row r="18" spans="1:243" s="1223" customFormat="1" ht="27.75" customHeight="1">
      <c r="A18" s="1690" t="s">
        <v>671</v>
      </c>
      <c r="B18" s="1693" t="s">
        <v>672</v>
      </c>
      <c r="C18" s="1247">
        <v>28000</v>
      </c>
      <c r="D18" s="1248">
        <v>20000</v>
      </c>
      <c r="E18" s="1694"/>
      <c r="F18" s="1694"/>
      <c r="G18" s="1694"/>
      <c r="H18" s="1694"/>
      <c r="I18" s="1694"/>
      <c r="J18" s="1694"/>
      <c r="K18" s="1694"/>
      <c r="L18" s="1694"/>
      <c r="M18" s="1694"/>
      <c r="N18" s="1694"/>
      <c r="O18" s="1694"/>
      <c r="P18" s="1694"/>
      <c r="Q18" s="1694"/>
      <c r="R18" s="1694"/>
      <c r="S18" s="1694"/>
      <c r="T18" s="1694"/>
      <c r="U18" s="1694"/>
      <c r="V18" s="1694"/>
      <c r="W18" s="1694"/>
      <c r="X18" s="1694"/>
      <c r="Y18" s="1694"/>
      <c r="Z18" s="1694"/>
      <c r="AA18" s="1694"/>
      <c r="AB18" s="1694"/>
      <c r="AC18" s="1694"/>
      <c r="AD18" s="1694"/>
      <c r="AE18" s="1694"/>
      <c r="AF18" s="1694"/>
      <c r="AG18" s="1694"/>
      <c r="AH18" s="1694"/>
      <c r="AI18" s="1694"/>
      <c r="AJ18" s="1694"/>
      <c r="AK18" s="1694"/>
      <c r="AL18" s="1694"/>
      <c r="AM18" s="1694"/>
      <c r="AN18" s="1694"/>
      <c r="AO18" s="1694"/>
      <c r="AP18" s="1694"/>
      <c r="AQ18" s="1694"/>
      <c r="AR18" s="1694"/>
      <c r="AS18" s="1694"/>
      <c r="AT18" s="1694"/>
      <c r="AU18" s="1694"/>
      <c r="AV18" s="1694"/>
      <c r="AW18" s="1694"/>
      <c r="AX18" s="1694"/>
      <c r="AY18" s="1694"/>
      <c r="AZ18" s="1694"/>
      <c r="BA18" s="1694"/>
      <c r="BB18" s="1694"/>
      <c r="BC18" s="1694"/>
      <c r="BD18" s="1694"/>
      <c r="BE18" s="1694"/>
      <c r="BF18" s="1694"/>
      <c r="BG18" s="1694"/>
      <c r="BH18" s="1694"/>
      <c r="BI18" s="1694"/>
      <c r="BJ18" s="1694"/>
      <c r="BK18" s="1694"/>
      <c r="BL18" s="1694"/>
      <c r="BM18" s="1694"/>
      <c r="BN18" s="1694"/>
      <c r="BO18" s="1694"/>
      <c r="BP18" s="1694"/>
      <c r="BQ18" s="1694"/>
      <c r="BR18" s="1694"/>
      <c r="BS18" s="1694"/>
      <c r="BT18" s="1694"/>
      <c r="BU18" s="1694"/>
      <c r="BV18" s="1694"/>
      <c r="BW18" s="1694"/>
      <c r="BX18" s="1694"/>
      <c r="BY18" s="1694"/>
      <c r="BZ18" s="1694"/>
      <c r="CA18" s="1694"/>
      <c r="CB18" s="1694"/>
      <c r="CC18" s="1694"/>
      <c r="CD18" s="1694"/>
      <c r="CE18" s="1694"/>
      <c r="CF18" s="1694"/>
      <c r="CG18" s="1694"/>
      <c r="CH18" s="1694"/>
      <c r="CI18" s="1694"/>
      <c r="CJ18" s="1694"/>
      <c r="CK18" s="1694"/>
      <c r="CL18" s="1694"/>
      <c r="CM18" s="1694"/>
      <c r="CN18" s="1694"/>
      <c r="CO18" s="1694"/>
      <c r="CP18" s="1694"/>
      <c r="CQ18" s="1694"/>
      <c r="CR18" s="1694"/>
      <c r="CS18" s="1694"/>
      <c r="CT18" s="1694"/>
      <c r="CU18" s="1694"/>
      <c r="CV18" s="1694"/>
      <c r="CW18" s="1694"/>
      <c r="CX18" s="1694"/>
      <c r="CY18" s="1694"/>
      <c r="CZ18" s="1694"/>
      <c r="DA18" s="1694"/>
      <c r="DB18" s="1694"/>
      <c r="DC18" s="1694"/>
      <c r="DD18" s="1694"/>
      <c r="DE18" s="1694"/>
      <c r="DF18" s="1694"/>
      <c r="DG18" s="1694"/>
      <c r="DH18" s="1694"/>
      <c r="DI18" s="1694"/>
      <c r="DJ18" s="1694"/>
      <c r="DK18" s="1694"/>
      <c r="DL18" s="1694"/>
      <c r="DM18" s="1694"/>
      <c r="DN18" s="1694"/>
      <c r="DO18" s="1694"/>
      <c r="DP18" s="1694"/>
      <c r="DQ18" s="1694"/>
      <c r="DR18" s="1694"/>
      <c r="DS18" s="1694"/>
      <c r="DT18" s="1694"/>
      <c r="DU18" s="1694"/>
      <c r="DV18" s="1694"/>
      <c r="DW18" s="1694"/>
      <c r="DX18" s="1694"/>
      <c r="DY18" s="1694"/>
      <c r="DZ18" s="1694"/>
      <c r="EA18" s="1694"/>
      <c r="EB18" s="1694"/>
      <c r="EC18" s="1694"/>
      <c r="ED18" s="1694"/>
      <c r="EE18" s="1694"/>
      <c r="EF18" s="1694"/>
      <c r="EG18" s="1694"/>
      <c r="EH18" s="1694"/>
      <c r="EI18" s="1694"/>
      <c r="EJ18" s="1694"/>
      <c r="EK18" s="1694"/>
      <c r="EL18" s="1694"/>
      <c r="EM18" s="1694"/>
      <c r="EN18" s="1694"/>
      <c r="EO18" s="1694"/>
      <c r="EP18" s="1694"/>
      <c r="EQ18" s="1694"/>
      <c r="ER18" s="1694"/>
      <c r="ES18" s="1694"/>
      <c r="ET18" s="1694"/>
      <c r="EU18" s="1694"/>
      <c r="EV18" s="1694"/>
      <c r="EW18" s="1694"/>
      <c r="EX18" s="1694"/>
      <c r="EY18" s="1694"/>
      <c r="EZ18" s="1694"/>
      <c r="FA18" s="1694"/>
      <c r="FB18" s="1694"/>
      <c r="FC18" s="1694"/>
      <c r="FD18" s="1694"/>
      <c r="FE18" s="1694"/>
      <c r="FF18" s="1694"/>
      <c r="FG18" s="1694"/>
      <c r="FH18" s="1694"/>
      <c r="FI18" s="1694"/>
      <c r="FJ18" s="1694"/>
      <c r="FK18" s="1694"/>
      <c r="FL18" s="1694"/>
      <c r="FM18" s="1694"/>
      <c r="FN18" s="1694"/>
      <c r="FO18" s="1694"/>
      <c r="FP18" s="1694"/>
      <c r="FQ18" s="1694"/>
      <c r="FR18" s="1694"/>
      <c r="FS18" s="1694"/>
      <c r="FT18" s="1694"/>
      <c r="FU18" s="1694"/>
      <c r="FV18" s="1694"/>
      <c r="FW18" s="1694"/>
      <c r="FX18" s="1694"/>
      <c r="FY18" s="1694"/>
      <c r="FZ18" s="1694"/>
      <c r="GA18" s="1694"/>
      <c r="GB18" s="1694"/>
      <c r="GC18" s="1694"/>
      <c r="GD18" s="1694"/>
      <c r="GE18" s="1694"/>
      <c r="GF18" s="1694"/>
      <c r="GG18" s="1694"/>
      <c r="GH18" s="1694"/>
      <c r="GI18" s="1694"/>
      <c r="GJ18" s="1694"/>
      <c r="GK18" s="1694"/>
      <c r="GL18" s="1694"/>
      <c r="GM18" s="1694"/>
      <c r="GN18" s="1694"/>
      <c r="GO18" s="1694"/>
      <c r="GP18" s="1694"/>
      <c r="GQ18" s="1694"/>
      <c r="GR18" s="1694"/>
      <c r="GS18" s="1694"/>
      <c r="GT18" s="1694"/>
      <c r="GU18" s="1694"/>
      <c r="GV18" s="1694"/>
      <c r="GW18" s="1694"/>
      <c r="GX18" s="1694"/>
      <c r="GY18" s="1694"/>
      <c r="GZ18" s="1694"/>
      <c r="HA18" s="1694"/>
      <c r="HB18" s="1694"/>
      <c r="HC18" s="1694"/>
      <c r="HD18" s="1694"/>
      <c r="HE18" s="1694"/>
      <c r="HF18" s="1694"/>
      <c r="HG18" s="1694"/>
      <c r="HH18" s="1694"/>
      <c r="HI18" s="1694"/>
      <c r="HJ18" s="1694"/>
      <c r="HK18" s="1694"/>
      <c r="HL18" s="1694"/>
      <c r="HM18" s="1694"/>
      <c r="HN18" s="1694"/>
      <c r="HO18" s="1694"/>
      <c r="HP18" s="1694"/>
      <c r="HQ18" s="1694"/>
      <c r="HR18" s="1694"/>
      <c r="HS18" s="1694"/>
      <c r="HT18" s="1694"/>
      <c r="HU18" s="1694"/>
      <c r="HV18" s="1694"/>
      <c r="HW18" s="1694"/>
      <c r="HX18" s="1694"/>
      <c r="HY18" s="1694"/>
      <c r="HZ18" s="1694"/>
      <c r="IA18" s="1694"/>
      <c r="IB18" s="1694"/>
      <c r="IC18" s="1694"/>
      <c r="ID18" s="1694"/>
      <c r="IE18" s="1694"/>
      <c r="IF18" s="1694"/>
      <c r="IG18" s="1694"/>
      <c r="IH18" s="1694"/>
      <c r="II18" s="1694"/>
    </row>
    <row r="19" spans="1:243" s="1223" customFormat="1" ht="15" customHeight="1">
      <c r="A19" s="1690" t="s">
        <v>673</v>
      </c>
      <c r="B19" s="1693" t="s">
        <v>674</v>
      </c>
      <c r="C19" s="1247">
        <v>563000</v>
      </c>
      <c r="D19" s="1248">
        <v>570000</v>
      </c>
      <c r="E19" s="1694"/>
      <c r="F19" s="1694"/>
      <c r="G19" s="1694"/>
      <c r="H19" s="1694"/>
      <c r="I19" s="1694"/>
      <c r="J19" s="1694"/>
      <c r="K19" s="1694"/>
      <c r="L19" s="1694"/>
      <c r="M19" s="1694"/>
      <c r="N19" s="1694"/>
      <c r="O19" s="1694"/>
      <c r="P19" s="1694"/>
      <c r="Q19" s="1694"/>
      <c r="R19" s="1694"/>
      <c r="S19" s="1694"/>
      <c r="T19" s="1694"/>
      <c r="U19" s="1694"/>
      <c r="V19" s="1694"/>
      <c r="W19" s="1694"/>
      <c r="X19" s="1694"/>
      <c r="Y19" s="1694"/>
      <c r="Z19" s="1694"/>
      <c r="AA19" s="1694"/>
      <c r="AB19" s="1694"/>
      <c r="AC19" s="1694"/>
      <c r="AD19" s="1694"/>
      <c r="AE19" s="1694"/>
      <c r="AF19" s="1694"/>
      <c r="AG19" s="1694"/>
      <c r="AH19" s="1694"/>
      <c r="AI19" s="1694"/>
      <c r="AJ19" s="1694"/>
      <c r="AK19" s="1694"/>
      <c r="AL19" s="1694"/>
      <c r="AM19" s="1694"/>
      <c r="AN19" s="1694"/>
      <c r="AO19" s="1694"/>
      <c r="AP19" s="1694"/>
      <c r="AQ19" s="1694"/>
      <c r="AR19" s="1694"/>
      <c r="AS19" s="1694"/>
      <c r="AT19" s="1694"/>
      <c r="AU19" s="1694"/>
      <c r="AV19" s="1694"/>
      <c r="AW19" s="1694"/>
      <c r="AX19" s="1694"/>
      <c r="AY19" s="1694"/>
      <c r="AZ19" s="1694"/>
      <c r="BA19" s="1694"/>
      <c r="BB19" s="1694"/>
      <c r="BC19" s="1694"/>
      <c r="BD19" s="1694"/>
      <c r="BE19" s="1694"/>
      <c r="BF19" s="1694"/>
      <c r="BG19" s="1694"/>
      <c r="BH19" s="1694"/>
      <c r="BI19" s="1694"/>
      <c r="BJ19" s="1694"/>
      <c r="BK19" s="1694"/>
      <c r="BL19" s="1694"/>
      <c r="BM19" s="1694"/>
      <c r="BN19" s="1694"/>
      <c r="BO19" s="1694"/>
      <c r="BP19" s="1694"/>
      <c r="BQ19" s="1694"/>
      <c r="BR19" s="1694"/>
      <c r="BS19" s="1694"/>
      <c r="BT19" s="1694"/>
      <c r="BU19" s="1694"/>
      <c r="BV19" s="1694"/>
      <c r="BW19" s="1694"/>
      <c r="BX19" s="1694"/>
      <c r="BY19" s="1694"/>
      <c r="BZ19" s="1694"/>
      <c r="CA19" s="1694"/>
      <c r="CB19" s="1694"/>
      <c r="CC19" s="1694"/>
      <c r="CD19" s="1694"/>
      <c r="CE19" s="1694"/>
      <c r="CF19" s="1694"/>
      <c r="CG19" s="1694"/>
      <c r="CH19" s="1694"/>
      <c r="CI19" s="1694"/>
      <c r="CJ19" s="1694"/>
      <c r="CK19" s="1694"/>
      <c r="CL19" s="1694"/>
      <c r="CM19" s="1694"/>
      <c r="CN19" s="1694"/>
      <c r="CO19" s="1694"/>
      <c r="CP19" s="1694"/>
      <c r="CQ19" s="1694"/>
      <c r="CR19" s="1694"/>
      <c r="CS19" s="1694"/>
      <c r="CT19" s="1694"/>
      <c r="CU19" s="1694"/>
      <c r="CV19" s="1694"/>
      <c r="CW19" s="1694"/>
      <c r="CX19" s="1694"/>
      <c r="CY19" s="1694"/>
      <c r="CZ19" s="1694"/>
      <c r="DA19" s="1694"/>
      <c r="DB19" s="1694"/>
      <c r="DC19" s="1694"/>
      <c r="DD19" s="1694"/>
      <c r="DE19" s="1694"/>
      <c r="DF19" s="1694"/>
      <c r="DG19" s="1694"/>
      <c r="DH19" s="1694"/>
      <c r="DI19" s="1694"/>
      <c r="DJ19" s="1694"/>
      <c r="DK19" s="1694"/>
      <c r="DL19" s="1694"/>
      <c r="DM19" s="1694"/>
      <c r="DN19" s="1694"/>
      <c r="DO19" s="1694"/>
      <c r="DP19" s="1694"/>
      <c r="DQ19" s="1694"/>
      <c r="DR19" s="1694"/>
      <c r="DS19" s="1694"/>
      <c r="DT19" s="1694"/>
      <c r="DU19" s="1694"/>
      <c r="DV19" s="1694"/>
      <c r="DW19" s="1694"/>
      <c r="DX19" s="1694"/>
      <c r="DY19" s="1694"/>
      <c r="DZ19" s="1694"/>
      <c r="EA19" s="1694"/>
      <c r="EB19" s="1694"/>
      <c r="EC19" s="1694"/>
      <c r="ED19" s="1694"/>
      <c r="EE19" s="1694"/>
      <c r="EF19" s="1694"/>
      <c r="EG19" s="1694"/>
      <c r="EH19" s="1694"/>
      <c r="EI19" s="1694"/>
      <c r="EJ19" s="1694"/>
      <c r="EK19" s="1694"/>
      <c r="EL19" s="1694"/>
      <c r="EM19" s="1694"/>
      <c r="EN19" s="1694"/>
      <c r="EO19" s="1694"/>
      <c r="EP19" s="1694"/>
      <c r="EQ19" s="1694"/>
      <c r="ER19" s="1694"/>
      <c r="ES19" s="1694"/>
      <c r="ET19" s="1694"/>
      <c r="EU19" s="1694"/>
      <c r="EV19" s="1694"/>
      <c r="EW19" s="1694"/>
      <c r="EX19" s="1694"/>
      <c r="EY19" s="1694"/>
      <c r="EZ19" s="1694"/>
      <c r="FA19" s="1694"/>
      <c r="FB19" s="1694"/>
      <c r="FC19" s="1694"/>
      <c r="FD19" s="1694"/>
      <c r="FE19" s="1694"/>
      <c r="FF19" s="1694"/>
      <c r="FG19" s="1694"/>
      <c r="FH19" s="1694"/>
      <c r="FI19" s="1694"/>
      <c r="FJ19" s="1694"/>
      <c r="FK19" s="1694"/>
      <c r="FL19" s="1694"/>
      <c r="FM19" s="1694"/>
      <c r="FN19" s="1694"/>
      <c r="FO19" s="1694"/>
      <c r="FP19" s="1694"/>
      <c r="FQ19" s="1694"/>
      <c r="FR19" s="1694"/>
      <c r="FS19" s="1694"/>
      <c r="FT19" s="1694"/>
      <c r="FU19" s="1694"/>
      <c r="FV19" s="1694"/>
      <c r="FW19" s="1694"/>
      <c r="FX19" s="1694"/>
      <c r="FY19" s="1694"/>
      <c r="FZ19" s="1694"/>
      <c r="GA19" s="1694"/>
      <c r="GB19" s="1694"/>
      <c r="GC19" s="1694"/>
      <c r="GD19" s="1694"/>
      <c r="GE19" s="1694"/>
      <c r="GF19" s="1694"/>
      <c r="GG19" s="1694"/>
      <c r="GH19" s="1694"/>
      <c r="GI19" s="1694"/>
      <c r="GJ19" s="1694"/>
      <c r="GK19" s="1694"/>
      <c r="GL19" s="1694"/>
      <c r="GM19" s="1694"/>
      <c r="GN19" s="1694"/>
      <c r="GO19" s="1694"/>
      <c r="GP19" s="1694"/>
      <c r="GQ19" s="1694"/>
      <c r="GR19" s="1694"/>
      <c r="GS19" s="1694"/>
      <c r="GT19" s="1694"/>
      <c r="GU19" s="1694"/>
      <c r="GV19" s="1694"/>
      <c r="GW19" s="1694"/>
      <c r="GX19" s="1694"/>
      <c r="GY19" s="1694"/>
      <c r="GZ19" s="1694"/>
      <c r="HA19" s="1694"/>
      <c r="HB19" s="1694"/>
      <c r="HC19" s="1694"/>
      <c r="HD19" s="1694"/>
      <c r="HE19" s="1694"/>
      <c r="HF19" s="1694"/>
      <c r="HG19" s="1694"/>
      <c r="HH19" s="1694"/>
      <c r="HI19" s="1694"/>
      <c r="HJ19" s="1694"/>
      <c r="HK19" s="1694"/>
      <c r="HL19" s="1694"/>
      <c r="HM19" s="1694"/>
      <c r="HN19" s="1694"/>
      <c r="HO19" s="1694"/>
      <c r="HP19" s="1694"/>
      <c r="HQ19" s="1694"/>
      <c r="HR19" s="1694"/>
      <c r="HS19" s="1694"/>
      <c r="HT19" s="1694"/>
      <c r="HU19" s="1694"/>
      <c r="HV19" s="1694"/>
      <c r="HW19" s="1694"/>
      <c r="HX19" s="1694"/>
      <c r="HY19" s="1694"/>
      <c r="HZ19" s="1694"/>
      <c r="IA19" s="1694"/>
      <c r="IB19" s="1694"/>
      <c r="IC19" s="1694"/>
      <c r="ID19" s="1694"/>
      <c r="IE19" s="1694"/>
      <c r="IF19" s="1694"/>
      <c r="IG19" s="1694"/>
      <c r="IH19" s="1694"/>
      <c r="II19" s="1694"/>
    </row>
    <row r="20" spans="1:243" s="1699" customFormat="1" ht="18" customHeight="1">
      <c r="A20" s="1695">
        <v>60016</v>
      </c>
      <c r="B20" s="1696" t="s">
        <v>286</v>
      </c>
      <c r="C20" s="1697">
        <f>SUM(C21:C24)</f>
        <v>1306000</v>
      </c>
      <c r="D20" s="1466">
        <f>SUM(D21:D24)</f>
        <v>1316000</v>
      </c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8"/>
      <c r="AL20" s="1698"/>
      <c r="AM20" s="1698"/>
      <c r="AN20" s="1698"/>
      <c r="AO20" s="1698"/>
      <c r="AP20" s="1698"/>
      <c r="AQ20" s="1698"/>
      <c r="AR20" s="1698"/>
      <c r="AS20" s="1698"/>
      <c r="AT20" s="1698"/>
      <c r="AU20" s="1698"/>
      <c r="AV20" s="1698"/>
      <c r="AW20" s="1698"/>
      <c r="AX20" s="1698"/>
      <c r="AY20" s="1698"/>
      <c r="AZ20" s="1698"/>
      <c r="BA20" s="1698"/>
      <c r="BB20" s="1698"/>
      <c r="BC20" s="1698"/>
      <c r="BD20" s="1698"/>
      <c r="BE20" s="1698"/>
      <c r="BF20" s="1698"/>
      <c r="BG20" s="1698"/>
      <c r="BH20" s="1698"/>
      <c r="BI20" s="1698"/>
      <c r="BJ20" s="1698"/>
      <c r="BK20" s="1698"/>
      <c r="BL20" s="1698"/>
      <c r="BM20" s="1698"/>
      <c r="BN20" s="1698"/>
      <c r="BO20" s="1698"/>
      <c r="BP20" s="1698"/>
      <c r="BQ20" s="1698"/>
      <c r="BR20" s="1698"/>
      <c r="BS20" s="1698"/>
      <c r="BT20" s="1698"/>
      <c r="BU20" s="1698"/>
      <c r="BV20" s="1698"/>
      <c r="BW20" s="1698"/>
      <c r="BX20" s="1698"/>
      <c r="BY20" s="1698"/>
      <c r="BZ20" s="1698"/>
      <c r="CA20" s="1698"/>
      <c r="CB20" s="1698"/>
      <c r="CC20" s="1698"/>
      <c r="CD20" s="1698"/>
      <c r="CE20" s="1698"/>
      <c r="CF20" s="1698"/>
      <c r="CG20" s="1698"/>
      <c r="CH20" s="1698"/>
      <c r="CI20" s="1698"/>
      <c r="CJ20" s="1698"/>
      <c r="CK20" s="1698"/>
      <c r="CL20" s="1698"/>
      <c r="CM20" s="1698"/>
      <c r="CN20" s="1698"/>
      <c r="CO20" s="1698"/>
      <c r="CP20" s="1698"/>
      <c r="CQ20" s="1698"/>
      <c r="CR20" s="1698"/>
      <c r="CS20" s="1698"/>
      <c r="CT20" s="1698"/>
      <c r="CU20" s="1698"/>
      <c r="CV20" s="1698"/>
      <c r="CW20" s="1698"/>
      <c r="CX20" s="1698"/>
      <c r="CY20" s="1698"/>
      <c r="CZ20" s="1698"/>
      <c r="DA20" s="1698"/>
      <c r="DB20" s="1698"/>
      <c r="DC20" s="1698"/>
      <c r="DD20" s="1698"/>
      <c r="DE20" s="1698"/>
      <c r="DF20" s="1698"/>
      <c r="DG20" s="1698"/>
      <c r="DH20" s="1698"/>
      <c r="DI20" s="1698"/>
      <c r="DJ20" s="1698"/>
      <c r="DK20" s="1698"/>
      <c r="DL20" s="1698"/>
      <c r="DM20" s="1698"/>
      <c r="DN20" s="1698"/>
      <c r="DO20" s="1698"/>
      <c r="DP20" s="1698"/>
      <c r="DQ20" s="1698"/>
      <c r="DR20" s="1698"/>
      <c r="DS20" s="1698"/>
      <c r="DT20" s="1698"/>
      <c r="DU20" s="1698"/>
      <c r="DV20" s="1698"/>
      <c r="DW20" s="1698"/>
      <c r="DX20" s="1698"/>
      <c r="DY20" s="1698"/>
      <c r="DZ20" s="1698"/>
      <c r="EA20" s="1698"/>
      <c r="EB20" s="1698"/>
      <c r="EC20" s="1698"/>
      <c r="ED20" s="1698"/>
      <c r="EE20" s="1698"/>
      <c r="EF20" s="1698"/>
      <c r="EG20" s="1698"/>
      <c r="EH20" s="1698"/>
      <c r="EI20" s="1698"/>
      <c r="EJ20" s="1698"/>
      <c r="EK20" s="1698"/>
      <c r="EL20" s="1698"/>
      <c r="EM20" s="1698"/>
      <c r="EN20" s="1698"/>
      <c r="EO20" s="1698"/>
      <c r="EP20" s="1698"/>
      <c r="EQ20" s="1698"/>
      <c r="ER20" s="1698"/>
      <c r="ES20" s="1698"/>
      <c r="ET20" s="1698"/>
      <c r="EU20" s="1698"/>
      <c r="EV20" s="1698"/>
      <c r="EW20" s="1698"/>
      <c r="EX20" s="1698"/>
      <c r="EY20" s="1698"/>
      <c r="EZ20" s="1698"/>
      <c r="FA20" s="1698"/>
      <c r="FB20" s="1698"/>
      <c r="FC20" s="1698"/>
      <c r="FD20" s="1698"/>
      <c r="FE20" s="1698"/>
      <c r="FF20" s="1698"/>
      <c r="FG20" s="1698"/>
      <c r="FH20" s="1698"/>
      <c r="FI20" s="1698"/>
      <c r="FJ20" s="1698"/>
      <c r="FK20" s="1698"/>
      <c r="FL20" s="1698"/>
      <c r="FM20" s="1698"/>
      <c r="FN20" s="1698"/>
      <c r="FO20" s="1698"/>
      <c r="FP20" s="1698"/>
      <c r="FQ20" s="1698"/>
      <c r="FR20" s="1698"/>
      <c r="FS20" s="1698"/>
      <c r="FT20" s="1698"/>
      <c r="FU20" s="1698"/>
      <c r="FV20" s="1698"/>
      <c r="FW20" s="1698"/>
      <c r="FX20" s="1698"/>
      <c r="FY20" s="1698"/>
      <c r="FZ20" s="1698"/>
      <c r="GA20" s="1698"/>
      <c r="GB20" s="1698"/>
      <c r="GC20" s="1698"/>
      <c r="GD20" s="1698"/>
      <c r="GE20" s="1698"/>
      <c r="GF20" s="1698"/>
      <c r="GG20" s="1698"/>
      <c r="GH20" s="1698"/>
      <c r="GI20" s="1698"/>
      <c r="GJ20" s="1698"/>
      <c r="GK20" s="1698"/>
      <c r="GL20" s="1698"/>
      <c r="GM20" s="1698"/>
      <c r="GN20" s="1698"/>
      <c r="GO20" s="1698"/>
      <c r="GP20" s="1698"/>
      <c r="GQ20" s="1698"/>
      <c r="GR20" s="1698"/>
      <c r="GS20" s="1698"/>
      <c r="GT20" s="1698"/>
      <c r="GU20" s="1698"/>
      <c r="GV20" s="1698"/>
      <c r="GW20" s="1698"/>
      <c r="GX20" s="1698"/>
      <c r="GY20" s="1698"/>
      <c r="GZ20" s="1698"/>
      <c r="HA20" s="1698"/>
      <c r="HB20" s="1698"/>
      <c r="HC20" s="1698"/>
      <c r="HD20" s="1698"/>
      <c r="HE20" s="1698"/>
      <c r="HF20" s="1698"/>
      <c r="HG20" s="1698"/>
      <c r="HH20" s="1698"/>
      <c r="HI20" s="1698"/>
      <c r="HJ20" s="1698"/>
      <c r="HK20" s="1698"/>
      <c r="HL20" s="1698"/>
      <c r="HM20" s="1698"/>
      <c r="HN20" s="1698"/>
      <c r="HO20" s="1698"/>
      <c r="HP20" s="1698"/>
      <c r="HQ20" s="1698"/>
      <c r="HR20" s="1698"/>
      <c r="HS20" s="1698"/>
      <c r="HT20" s="1698"/>
      <c r="HU20" s="1698"/>
      <c r="HV20" s="1698"/>
      <c r="HW20" s="1698"/>
      <c r="HX20" s="1698"/>
      <c r="HY20" s="1698"/>
      <c r="HZ20" s="1698"/>
      <c r="IA20" s="1698"/>
      <c r="IB20" s="1698"/>
      <c r="IC20" s="1698"/>
      <c r="ID20" s="1698"/>
      <c r="IE20" s="1698"/>
      <c r="IF20" s="1698"/>
      <c r="IG20" s="1698"/>
      <c r="IH20" s="1698"/>
      <c r="II20" s="1698"/>
    </row>
    <row r="21" spans="1:243" s="1701" customFormat="1" ht="15" customHeight="1">
      <c r="A21" s="1690" t="s">
        <v>669</v>
      </c>
      <c r="B21" s="1691" t="s">
        <v>670</v>
      </c>
      <c r="C21" s="1247">
        <v>5000</v>
      </c>
      <c r="D21" s="1248">
        <v>1000</v>
      </c>
      <c r="E21" s="1700"/>
      <c r="F21" s="1700"/>
      <c r="G21" s="1700"/>
      <c r="H21" s="1700"/>
      <c r="I21" s="1700"/>
      <c r="J21" s="1700"/>
      <c r="K21" s="1700"/>
      <c r="L21" s="1700"/>
      <c r="M21" s="1700"/>
      <c r="N21" s="1700"/>
      <c r="O21" s="1700"/>
      <c r="P21" s="1700"/>
      <c r="Q21" s="1700"/>
      <c r="R21" s="1700"/>
      <c r="S21" s="1700"/>
      <c r="T21" s="1700"/>
      <c r="U21" s="1700"/>
      <c r="V21" s="1700"/>
      <c r="W21" s="1700"/>
      <c r="X21" s="1700"/>
      <c r="Y21" s="1700"/>
      <c r="Z21" s="1700"/>
      <c r="AA21" s="1700"/>
      <c r="AB21" s="1700"/>
      <c r="AC21" s="1700"/>
      <c r="AD21" s="1700"/>
      <c r="AE21" s="1700"/>
      <c r="AF21" s="1700"/>
      <c r="AG21" s="1700"/>
      <c r="AH21" s="1700"/>
      <c r="AI21" s="1700"/>
      <c r="AJ21" s="1700"/>
      <c r="AK21" s="1700"/>
      <c r="AL21" s="1700"/>
      <c r="AM21" s="1700"/>
      <c r="AN21" s="1700"/>
      <c r="AO21" s="1700"/>
      <c r="AP21" s="1700"/>
      <c r="AQ21" s="1700"/>
      <c r="AR21" s="1700"/>
      <c r="AS21" s="1700"/>
      <c r="AT21" s="1700"/>
      <c r="AU21" s="1700"/>
      <c r="AV21" s="1700"/>
      <c r="AW21" s="1700"/>
      <c r="AX21" s="1700"/>
      <c r="AY21" s="1700"/>
      <c r="AZ21" s="1700"/>
      <c r="BA21" s="1700"/>
      <c r="BB21" s="1700"/>
      <c r="BC21" s="1700"/>
      <c r="BD21" s="1700"/>
      <c r="BE21" s="1700"/>
      <c r="BF21" s="1700"/>
      <c r="BG21" s="1700"/>
      <c r="BH21" s="1700"/>
      <c r="BI21" s="1700"/>
      <c r="BJ21" s="1700"/>
      <c r="BK21" s="1700"/>
      <c r="BL21" s="1700"/>
      <c r="BM21" s="1700"/>
      <c r="BN21" s="1700"/>
      <c r="BO21" s="1700"/>
      <c r="BP21" s="1700"/>
      <c r="BQ21" s="1700"/>
      <c r="BR21" s="1700"/>
      <c r="BS21" s="1700"/>
      <c r="BT21" s="1700"/>
      <c r="BU21" s="1700"/>
      <c r="BV21" s="1700"/>
      <c r="BW21" s="1700"/>
      <c r="BX21" s="1700"/>
      <c r="BY21" s="1700"/>
      <c r="BZ21" s="1700"/>
      <c r="CA21" s="1700"/>
      <c r="CB21" s="1700"/>
      <c r="CC21" s="1700"/>
      <c r="CD21" s="1700"/>
      <c r="CE21" s="1700"/>
      <c r="CF21" s="1700"/>
      <c r="CG21" s="1700"/>
      <c r="CH21" s="1700"/>
      <c r="CI21" s="1700"/>
      <c r="CJ21" s="1700"/>
      <c r="CK21" s="1700"/>
      <c r="CL21" s="1700"/>
      <c r="CM21" s="1700"/>
      <c r="CN21" s="1700"/>
      <c r="CO21" s="1700"/>
      <c r="CP21" s="1700"/>
      <c r="CQ21" s="1700"/>
      <c r="CR21" s="1700"/>
      <c r="CS21" s="1700"/>
      <c r="CT21" s="1700"/>
      <c r="CU21" s="1700"/>
      <c r="CV21" s="1700"/>
      <c r="CW21" s="1700"/>
      <c r="CX21" s="1700"/>
      <c r="CY21" s="1700"/>
      <c r="CZ21" s="1700"/>
      <c r="DA21" s="1700"/>
      <c r="DB21" s="1700"/>
      <c r="DC21" s="1700"/>
      <c r="DD21" s="1700"/>
      <c r="DE21" s="1700"/>
      <c r="DF21" s="1700"/>
      <c r="DG21" s="1700"/>
      <c r="DH21" s="1700"/>
      <c r="DI21" s="1700"/>
      <c r="DJ21" s="1700"/>
      <c r="DK21" s="1700"/>
      <c r="DL21" s="1700"/>
      <c r="DM21" s="1700"/>
      <c r="DN21" s="1700"/>
      <c r="DO21" s="1700"/>
      <c r="DP21" s="1700"/>
      <c r="DQ21" s="1700"/>
      <c r="DR21" s="1700"/>
      <c r="DS21" s="1700"/>
      <c r="DT21" s="1700"/>
      <c r="DU21" s="1700"/>
      <c r="DV21" s="1700"/>
      <c r="DW21" s="1700"/>
      <c r="DX21" s="1700"/>
      <c r="DY21" s="1700"/>
      <c r="DZ21" s="1700"/>
      <c r="EA21" s="1700"/>
      <c r="EB21" s="1700"/>
      <c r="EC21" s="1700"/>
      <c r="ED21" s="1700"/>
      <c r="EE21" s="1700"/>
      <c r="EF21" s="1700"/>
      <c r="EG21" s="1700"/>
      <c r="EH21" s="1700"/>
      <c r="EI21" s="1700"/>
      <c r="EJ21" s="1700"/>
      <c r="EK21" s="1700"/>
      <c r="EL21" s="1700"/>
      <c r="EM21" s="1700"/>
      <c r="EN21" s="1700"/>
      <c r="EO21" s="1700"/>
      <c r="EP21" s="1700"/>
      <c r="EQ21" s="1700"/>
      <c r="ER21" s="1700"/>
      <c r="ES21" s="1700"/>
      <c r="ET21" s="1700"/>
      <c r="EU21" s="1700"/>
      <c r="EV21" s="1700"/>
      <c r="EW21" s="1700"/>
      <c r="EX21" s="1700"/>
      <c r="EY21" s="1700"/>
      <c r="EZ21" s="1700"/>
      <c r="FA21" s="1700"/>
      <c r="FB21" s="1700"/>
      <c r="FC21" s="1700"/>
      <c r="FD21" s="1700"/>
      <c r="FE21" s="1700"/>
      <c r="FF21" s="1700"/>
      <c r="FG21" s="1700"/>
      <c r="FH21" s="1700"/>
      <c r="FI21" s="1700"/>
      <c r="FJ21" s="1700"/>
      <c r="FK21" s="1700"/>
      <c r="FL21" s="1700"/>
      <c r="FM21" s="1700"/>
      <c r="FN21" s="1700"/>
      <c r="FO21" s="1700"/>
      <c r="FP21" s="1700"/>
      <c r="FQ21" s="1700"/>
      <c r="FR21" s="1700"/>
      <c r="FS21" s="1700"/>
      <c r="FT21" s="1700"/>
      <c r="FU21" s="1700"/>
      <c r="FV21" s="1700"/>
      <c r="FW21" s="1700"/>
      <c r="FX21" s="1700"/>
      <c r="FY21" s="1700"/>
      <c r="FZ21" s="1700"/>
      <c r="GA21" s="1700"/>
      <c r="GB21" s="1700"/>
      <c r="GC21" s="1700"/>
      <c r="GD21" s="1700"/>
      <c r="GE21" s="1700"/>
      <c r="GF21" s="1700"/>
      <c r="GG21" s="1700"/>
      <c r="GH21" s="1700"/>
      <c r="GI21" s="1700"/>
      <c r="GJ21" s="1700"/>
      <c r="GK21" s="1700"/>
      <c r="GL21" s="1700"/>
      <c r="GM21" s="1700"/>
      <c r="GN21" s="1700"/>
      <c r="GO21" s="1700"/>
      <c r="GP21" s="1700"/>
      <c r="GQ21" s="1700"/>
      <c r="GR21" s="1700"/>
      <c r="GS21" s="1700"/>
      <c r="GT21" s="1700"/>
      <c r="GU21" s="1700"/>
      <c r="GV21" s="1700"/>
      <c r="GW21" s="1700"/>
      <c r="GX21" s="1700"/>
      <c r="GY21" s="1700"/>
      <c r="GZ21" s="1700"/>
      <c r="HA21" s="1700"/>
      <c r="HB21" s="1700"/>
      <c r="HC21" s="1700"/>
      <c r="HD21" s="1700"/>
      <c r="HE21" s="1700"/>
      <c r="HF21" s="1700"/>
      <c r="HG21" s="1700"/>
      <c r="HH21" s="1700"/>
      <c r="HI21" s="1700"/>
      <c r="HJ21" s="1700"/>
      <c r="HK21" s="1700"/>
      <c r="HL21" s="1700"/>
      <c r="HM21" s="1700"/>
      <c r="HN21" s="1700"/>
      <c r="HO21" s="1700"/>
      <c r="HP21" s="1700"/>
      <c r="HQ21" s="1700"/>
      <c r="HR21" s="1700"/>
      <c r="HS21" s="1700"/>
      <c r="HT21" s="1700"/>
      <c r="HU21" s="1700"/>
      <c r="HV21" s="1700"/>
      <c r="HW21" s="1700"/>
      <c r="HX21" s="1700"/>
      <c r="HY21" s="1700"/>
      <c r="HZ21" s="1700"/>
      <c r="IA21" s="1700"/>
      <c r="IB21" s="1700"/>
      <c r="IC21" s="1700"/>
      <c r="ID21" s="1700"/>
      <c r="IE21" s="1700"/>
      <c r="IF21" s="1700"/>
      <c r="IG21" s="1700"/>
      <c r="IH21" s="1700"/>
      <c r="II21" s="1700"/>
    </row>
    <row r="22" spans="1:243" s="1701" customFormat="1" ht="27.75" customHeight="1">
      <c r="A22" s="1690" t="s">
        <v>671</v>
      </c>
      <c r="B22" s="1693" t="s">
        <v>672</v>
      </c>
      <c r="C22" s="1247">
        <v>30000</v>
      </c>
      <c r="D22" s="1248">
        <v>20000</v>
      </c>
      <c r="E22" s="1700"/>
      <c r="F22" s="1700"/>
      <c r="G22" s="1700"/>
      <c r="H22" s="1700"/>
      <c r="I22" s="1700"/>
      <c r="J22" s="1700"/>
      <c r="K22" s="1700"/>
      <c r="L22" s="1700"/>
      <c r="M22" s="1700"/>
      <c r="N22" s="1700"/>
      <c r="O22" s="1700"/>
      <c r="P22" s="1700"/>
      <c r="Q22" s="1700"/>
      <c r="R22" s="1700"/>
      <c r="S22" s="1700"/>
      <c r="T22" s="1700"/>
      <c r="U22" s="1700"/>
      <c r="V22" s="1700"/>
      <c r="W22" s="1700"/>
      <c r="X22" s="1700"/>
      <c r="Y22" s="1700"/>
      <c r="Z22" s="1700"/>
      <c r="AA22" s="1700"/>
      <c r="AB22" s="1700"/>
      <c r="AC22" s="1700"/>
      <c r="AD22" s="1700"/>
      <c r="AE22" s="1700"/>
      <c r="AF22" s="1700"/>
      <c r="AG22" s="1700"/>
      <c r="AH22" s="1700"/>
      <c r="AI22" s="1700"/>
      <c r="AJ22" s="1700"/>
      <c r="AK22" s="1700"/>
      <c r="AL22" s="1700"/>
      <c r="AM22" s="1700"/>
      <c r="AN22" s="1700"/>
      <c r="AO22" s="1700"/>
      <c r="AP22" s="1700"/>
      <c r="AQ22" s="1700"/>
      <c r="AR22" s="1700"/>
      <c r="AS22" s="1700"/>
      <c r="AT22" s="1700"/>
      <c r="AU22" s="1700"/>
      <c r="AV22" s="1700"/>
      <c r="AW22" s="1700"/>
      <c r="AX22" s="1700"/>
      <c r="AY22" s="1700"/>
      <c r="AZ22" s="1700"/>
      <c r="BA22" s="1700"/>
      <c r="BB22" s="1700"/>
      <c r="BC22" s="1700"/>
      <c r="BD22" s="1700"/>
      <c r="BE22" s="1700"/>
      <c r="BF22" s="1700"/>
      <c r="BG22" s="1700"/>
      <c r="BH22" s="1700"/>
      <c r="BI22" s="1700"/>
      <c r="BJ22" s="1700"/>
      <c r="BK22" s="1700"/>
      <c r="BL22" s="1700"/>
      <c r="BM22" s="1700"/>
      <c r="BN22" s="1700"/>
      <c r="BO22" s="1700"/>
      <c r="BP22" s="1700"/>
      <c r="BQ22" s="1700"/>
      <c r="BR22" s="1700"/>
      <c r="BS22" s="1700"/>
      <c r="BT22" s="1700"/>
      <c r="BU22" s="1700"/>
      <c r="BV22" s="1700"/>
      <c r="BW22" s="1700"/>
      <c r="BX22" s="1700"/>
      <c r="BY22" s="1700"/>
      <c r="BZ22" s="1700"/>
      <c r="CA22" s="1700"/>
      <c r="CB22" s="1700"/>
      <c r="CC22" s="1700"/>
      <c r="CD22" s="1700"/>
      <c r="CE22" s="1700"/>
      <c r="CF22" s="1700"/>
      <c r="CG22" s="1700"/>
      <c r="CH22" s="1700"/>
      <c r="CI22" s="1700"/>
      <c r="CJ22" s="1700"/>
      <c r="CK22" s="1700"/>
      <c r="CL22" s="1700"/>
      <c r="CM22" s="1700"/>
      <c r="CN22" s="1700"/>
      <c r="CO22" s="1700"/>
      <c r="CP22" s="1700"/>
      <c r="CQ22" s="1700"/>
      <c r="CR22" s="1700"/>
      <c r="CS22" s="1700"/>
      <c r="CT22" s="1700"/>
      <c r="CU22" s="1700"/>
      <c r="CV22" s="1700"/>
      <c r="CW22" s="1700"/>
      <c r="CX22" s="1700"/>
      <c r="CY22" s="1700"/>
      <c r="CZ22" s="1700"/>
      <c r="DA22" s="1700"/>
      <c r="DB22" s="1700"/>
      <c r="DC22" s="1700"/>
      <c r="DD22" s="1700"/>
      <c r="DE22" s="1700"/>
      <c r="DF22" s="1700"/>
      <c r="DG22" s="1700"/>
      <c r="DH22" s="1700"/>
      <c r="DI22" s="1700"/>
      <c r="DJ22" s="1700"/>
      <c r="DK22" s="1700"/>
      <c r="DL22" s="1700"/>
      <c r="DM22" s="1700"/>
      <c r="DN22" s="1700"/>
      <c r="DO22" s="1700"/>
      <c r="DP22" s="1700"/>
      <c r="DQ22" s="1700"/>
      <c r="DR22" s="1700"/>
      <c r="DS22" s="1700"/>
      <c r="DT22" s="1700"/>
      <c r="DU22" s="1700"/>
      <c r="DV22" s="1700"/>
      <c r="DW22" s="1700"/>
      <c r="DX22" s="1700"/>
      <c r="DY22" s="1700"/>
      <c r="DZ22" s="1700"/>
      <c r="EA22" s="1700"/>
      <c r="EB22" s="1700"/>
      <c r="EC22" s="1700"/>
      <c r="ED22" s="1700"/>
      <c r="EE22" s="1700"/>
      <c r="EF22" s="1700"/>
      <c r="EG22" s="1700"/>
      <c r="EH22" s="1700"/>
      <c r="EI22" s="1700"/>
      <c r="EJ22" s="1700"/>
      <c r="EK22" s="1700"/>
      <c r="EL22" s="1700"/>
      <c r="EM22" s="1700"/>
      <c r="EN22" s="1700"/>
      <c r="EO22" s="1700"/>
      <c r="EP22" s="1700"/>
      <c r="EQ22" s="1700"/>
      <c r="ER22" s="1700"/>
      <c r="ES22" s="1700"/>
      <c r="ET22" s="1700"/>
      <c r="EU22" s="1700"/>
      <c r="EV22" s="1700"/>
      <c r="EW22" s="1700"/>
      <c r="EX22" s="1700"/>
      <c r="EY22" s="1700"/>
      <c r="EZ22" s="1700"/>
      <c r="FA22" s="1700"/>
      <c r="FB22" s="1700"/>
      <c r="FC22" s="1700"/>
      <c r="FD22" s="1700"/>
      <c r="FE22" s="1700"/>
      <c r="FF22" s="1700"/>
      <c r="FG22" s="1700"/>
      <c r="FH22" s="1700"/>
      <c r="FI22" s="1700"/>
      <c r="FJ22" s="1700"/>
      <c r="FK22" s="1700"/>
      <c r="FL22" s="1700"/>
      <c r="FM22" s="1700"/>
      <c r="FN22" s="1700"/>
      <c r="FO22" s="1700"/>
      <c r="FP22" s="1700"/>
      <c r="FQ22" s="1700"/>
      <c r="FR22" s="1700"/>
      <c r="FS22" s="1700"/>
      <c r="FT22" s="1700"/>
      <c r="FU22" s="1700"/>
      <c r="FV22" s="1700"/>
      <c r="FW22" s="1700"/>
      <c r="FX22" s="1700"/>
      <c r="FY22" s="1700"/>
      <c r="FZ22" s="1700"/>
      <c r="GA22" s="1700"/>
      <c r="GB22" s="1700"/>
      <c r="GC22" s="1700"/>
      <c r="GD22" s="1700"/>
      <c r="GE22" s="1700"/>
      <c r="GF22" s="1700"/>
      <c r="GG22" s="1700"/>
      <c r="GH22" s="1700"/>
      <c r="GI22" s="1700"/>
      <c r="GJ22" s="1700"/>
      <c r="GK22" s="1700"/>
      <c r="GL22" s="1700"/>
      <c r="GM22" s="1700"/>
      <c r="GN22" s="1700"/>
      <c r="GO22" s="1700"/>
      <c r="GP22" s="1700"/>
      <c r="GQ22" s="1700"/>
      <c r="GR22" s="1700"/>
      <c r="GS22" s="1700"/>
      <c r="GT22" s="1700"/>
      <c r="GU22" s="1700"/>
      <c r="GV22" s="1700"/>
      <c r="GW22" s="1700"/>
      <c r="GX22" s="1700"/>
      <c r="GY22" s="1700"/>
      <c r="GZ22" s="1700"/>
      <c r="HA22" s="1700"/>
      <c r="HB22" s="1700"/>
      <c r="HC22" s="1700"/>
      <c r="HD22" s="1700"/>
      <c r="HE22" s="1700"/>
      <c r="HF22" s="1700"/>
      <c r="HG22" s="1700"/>
      <c r="HH22" s="1700"/>
      <c r="HI22" s="1700"/>
      <c r="HJ22" s="1700"/>
      <c r="HK22" s="1700"/>
      <c r="HL22" s="1700"/>
      <c r="HM22" s="1700"/>
      <c r="HN22" s="1700"/>
      <c r="HO22" s="1700"/>
      <c r="HP22" s="1700"/>
      <c r="HQ22" s="1700"/>
      <c r="HR22" s="1700"/>
      <c r="HS22" s="1700"/>
      <c r="HT22" s="1700"/>
      <c r="HU22" s="1700"/>
      <c r="HV22" s="1700"/>
      <c r="HW22" s="1700"/>
      <c r="HX22" s="1700"/>
      <c r="HY22" s="1700"/>
      <c r="HZ22" s="1700"/>
      <c r="IA22" s="1700"/>
      <c r="IB22" s="1700"/>
      <c r="IC22" s="1700"/>
      <c r="ID22" s="1700"/>
      <c r="IE22" s="1700"/>
      <c r="IF22" s="1700"/>
      <c r="IG22" s="1700"/>
      <c r="IH22" s="1700"/>
      <c r="II22" s="1700"/>
    </row>
    <row r="23" spans="1:243" s="1701" customFormat="1" ht="15" customHeight="1">
      <c r="A23" s="1690" t="s">
        <v>673</v>
      </c>
      <c r="B23" s="1693" t="s">
        <v>674</v>
      </c>
      <c r="C23" s="1247">
        <v>1269000</v>
      </c>
      <c r="D23" s="1248">
        <v>1293000</v>
      </c>
      <c r="E23" s="1700"/>
      <c r="F23" s="1700"/>
      <c r="G23" s="1700"/>
      <c r="H23" s="1700"/>
      <c r="I23" s="1700"/>
      <c r="J23" s="1700"/>
      <c r="K23" s="1700"/>
      <c r="L23" s="1700"/>
      <c r="M23" s="1700"/>
      <c r="N23" s="1700"/>
      <c r="O23" s="1700"/>
      <c r="P23" s="1700"/>
      <c r="Q23" s="1700"/>
      <c r="R23" s="1700"/>
      <c r="S23" s="1700"/>
      <c r="T23" s="1700"/>
      <c r="U23" s="1700"/>
      <c r="V23" s="1700"/>
      <c r="W23" s="1700"/>
      <c r="X23" s="1700"/>
      <c r="Y23" s="1700"/>
      <c r="Z23" s="1700"/>
      <c r="AA23" s="1700"/>
      <c r="AB23" s="1700"/>
      <c r="AC23" s="1700"/>
      <c r="AD23" s="1700"/>
      <c r="AE23" s="1700"/>
      <c r="AF23" s="1700"/>
      <c r="AG23" s="1700"/>
      <c r="AH23" s="1700"/>
      <c r="AI23" s="1700"/>
      <c r="AJ23" s="1700"/>
      <c r="AK23" s="1700"/>
      <c r="AL23" s="1700"/>
      <c r="AM23" s="1700"/>
      <c r="AN23" s="1700"/>
      <c r="AO23" s="1700"/>
      <c r="AP23" s="1700"/>
      <c r="AQ23" s="1700"/>
      <c r="AR23" s="1700"/>
      <c r="AS23" s="1700"/>
      <c r="AT23" s="1700"/>
      <c r="AU23" s="1700"/>
      <c r="AV23" s="1700"/>
      <c r="AW23" s="1700"/>
      <c r="AX23" s="1700"/>
      <c r="AY23" s="1700"/>
      <c r="AZ23" s="1700"/>
      <c r="BA23" s="1700"/>
      <c r="BB23" s="1700"/>
      <c r="BC23" s="1700"/>
      <c r="BD23" s="1700"/>
      <c r="BE23" s="1700"/>
      <c r="BF23" s="1700"/>
      <c r="BG23" s="1700"/>
      <c r="BH23" s="1700"/>
      <c r="BI23" s="1700"/>
      <c r="BJ23" s="1700"/>
      <c r="BK23" s="1700"/>
      <c r="BL23" s="1700"/>
      <c r="BM23" s="1700"/>
      <c r="BN23" s="1700"/>
      <c r="BO23" s="1700"/>
      <c r="BP23" s="1700"/>
      <c r="BQ23" s="1700"/>
      <c r="BR23" s="1700"/>
      <c r="BS23" s="1700"/>
      <c r="BT23" s="1700"/>
      <c r="BU23" s="1700"/>
      <c r="BV23" s="1700"/>
      <c r="BW23" s="1700"/>
      <c r="BX23" s="1700"/>
      <c r="BY23" s="1700"/>
      <c r="BZ23" s="1700"/>
      <c r="CA23" s="1700"/>
      <c r="CB23" s="1700"/>
      <c r="CC23" s="1700"/>
      <c r="CD23" s="1700"/>
      <c r="CE23" s="1700"/>
      <c r="CF23" s="1700"/>
      <c r="CG23" s="1700"/>
      <c r="CH23" s="1700"/>
      <c r="CI23" s="1700"/>
      <c r="CJ23" s="1700"/>
      <c r="CK23" s="1700"/>
      <c r="CL23" s="1700"/>
      <c r="CM23" s="1700"/>
      <c r="CN23" s="1700"/>
      <c r="CO23" s="1700"/>
      <c r="CP23" s="1700"/>
      <c r="CQ23" s="1700"/>
      <c r="CR23" s="1700"/>
      <c r="CS23" s="1700"/>
      <c r="CT23" s="1700"/>
      <c r="CU23" s="1700"/>
      <c r="CV23" s="1700"/>
      <c r="CW23" s="1700"/>
      <c r="CX23" s="1700"/>
      <c r="CY23" s="1700"/>
      <c r="CZ23" s="1700"/>
      <c r="DA23" s="1700"/>
      <c r="DB23" s="1700"/>
      <c r="DC23" s="1700"/>
      <c r="DD23" s="1700"/>
      <c r="DE23" s="1700"/>
      <c r="DF23" s="1700"/>
      <c r="DG23" s="1700"/>
      <c r="DH23" s="1700"/>
      <c r="DI23" s="1700"/>
      <c r="DJ23" s="1700"/>
      <c r="DK23" s="1700"/>
      <c r="DL23" s="1700"/>
      <c r="DM23" s="1700"/>
      <c r="DN23" s="1700"/>
      <c r="DO23" s="1700"/>
      <c r="DP23" s="1700"/>
      <c r="DQ23" s="1700"/>
      <c r="DR23" s="1700"/>
      <c r="DS23" s="1700"/>
      <c r="DT23" s="1700"/>
      <c r="DU23" s="1700"/>
      <c r="DV23" s="1700"/>
      <c r="DW23" s="1700"/>
      <c r="DX23" s="1700"/>
      <c r="DY23" s="1700"/>
      <c r="DZ23" s="1700"/>
      <c r="EA23" s="1700"/>
      <c r="EB23" s="1700"/>
      <c r="EC23" s="1700"/>
      <c r="ED23" s="1700"/>
      <c r="EE23" s="1700"/>
      <c r="EF23" s="1700"/>
      <c r="EG23" s="1700"/>
      <c r="EH23" s="1700"/>
      <c r="EI23" s="1700"/>
      <c r="EJ23" s="1700"/>
      <c r="EK23" s="1700"/>
      <c r="EL23" s="1700"/>
      <c r="EM23" s="1700"/>
      <c r="EN23" s="1700"/>
      <c r="EO23" s="1700"/>
      <c r="EP23" s="1700"/>
      <c r="EQ23" s="1700"/>
      <c r="ER23" s="1700"/>
      <c r="ES23" s="1700"/>
      <c r="ET23" s="1700"/>
      <c r="EU23" s="1700"/>
      <c r="EV23" s="1700"/>
      <c r="EW23" s="1700"/>
      <c r="EX23" s="1700"/>
      <c r="EY23" s="1700"/>
      <c r="EZ23" s="1700"/>
      <c r="FA23" s="1700"/>
      <c r="FB23" s="1700"/>
      <c r="FC23" s="1700"/>
      <c r="FD23" s="1700"/>
      <c r="FE23" s="1700"/>
      <c r="FF23" s="1700"/>
      <c r="FG23" s="1700"/>
      <c r="FH23" s="1700"/>
      <c r="FI23" s="1700"/>
      <c r="FJ23" s="1700"/>
      <c r="FK23" s="1700"/>
      <c r="FL23" s="1700"/>
      <c r="FM23" s="1700"/>
      <c r="FN23" s="1700"/>
      <c r="FO23" s="1700"/>
      <c r="FP23" s="1700"/>
      <c r="FQ23" s="1700"/>
      <c r="FR23" s="1700"/>
      <c r="FS23" s="1700"/>
      <c r="FT23" s="1700"/>
      <c r="FU23" s="1700"/>
      <c r="FV23" s="1700"/>
      <c r="FW23" s="1700"/>
      <c r="FX23" s="1700"/>
      <c r="FY23" s="1700"/>
      <c r="FZ23" s="1700"/>
      <c r="GA23" s="1700"/>
      <c r="GB23" s="1700"/>
      <c r="GC23" s="1700"/>
      <c r="GD23" s="1700"/>
      <c r="GE23" s="1700"/>
      <c r="GF23" s="1700"/>
      <c r="GG23" s="1700"/>
      <c r="GH23" s="1700"/>
      <c r="GI23" s="1700"/>
      <c r="GJ23" s="1700"/>
      <c r="GK23" s="1700"/>
      <c r="GL23" s="1700"/>
      <c r="GM23" s="1700"/>
      <c r="GN23" s="1700"/>
      <c r="GO23" s="1700"/>
      <c r="GP23" s="1700"/>
      <c r="GQ23" s="1700"/>
      <c r="GR23" s="1700"/>
      <c r="GS23" s="1700"/>
      <c r="GT23" s="1700"/>
      <c r="GU23" s="1700"/>
      <c r="GV23" s="1700"/>
      <c r="GW23" s="1700"/>
      <c r="GX23" s="1700"/>
      <c r="GY23" s="1700"/>
      <c r="GZ23" s="1700"/>
      <c r="HA23" s="1700"/>
      <c r="HB23" s="1700"/>
      <c r="HC23" s="1700"/>
      <c r="HD23" s="1700"/>
      <c r="HE23" s="1700"/>
      <c r="HF23" s="1700"/>
      <c r="HG23" s="1700"/>
      <c r="HH23" s="1700"/>
      <c r="HI23" s="1700"/>
      <c r="HJ23" s="1700"/>
      <c r="HK23" s="1700"/>
      <c r="HL23" s="1700"/>
      <c r="HM23" s="1700"/>
      <c r="HN23" s="1700"/>
      <c r="HO23" s="1700"/>
      <c r="HP23" s="1700"/>
      <c r="HQ23" s="1700"/>
      <c r="HR23" s="1700"/>
      <c r="HS23" s="1700"/>
      <c r="HT23" s="1700"/>
      <c r="HU23" s="1700"/>
      <c r="HV23" s="1700"/>
      <c r="HW23" s="1700"/>
      <c r="HX23" s="1700"/>
      <c r="HY23" s="1700"/>
      <c r="HZ23" s="1700"/>
      <c r="IA23" s="1700"/>
      <c r="IB23" s="1700"/>
      <c r="IC23" s="1700"/>
      <c r="ID23" s="1700"/>
      <c r="IE23" s="1700"/>
      <c r="IF23" s="1700"/>
      <c r="IG23" s="1700"/>
      <c r="IH23" s="1700"/>
      <c r="II23" s="1700"/>
    </row>
    <row r="24" spans="1:243" s="1701" customFormat="1" ht="16.5" customHeight="1" thickBot="1">
      <c r="A24" s="1702" t="s">
        <v>675</v>
      </c>
      <c r="B24" s="1693" t="s">
        <v>676</v>
      </c>
      <c r="C24" s="1247">
        <v>2000</v>
      </c>
      <c r="D24" s="1248">
        <v>2000</v>
      </c>
      <c r="E24" s="1700"/>
      <c r="F24" s="1700"/>
      <c r="G24" s="1700"/>
      <c r="H24" s="1700"/>
      <c r="I24" s="1700"/>
      <c r="J24" s="1700"/>
      <c r="K24" s="1700"/>
      <c r="L24" s="1700"/>
      <c r="M24" s="1700"/>
      <c r="N24" s="1700"/>
      <c r="O24" s="1700"/>
      <c r="P24" s="1700"/>
      <c r="Q24" s="1700"/>
      <c r="R24" s="1700"/>
      <c r="S24" s="1700"/>
      <c r="T24" s="1700"/>
      <c r="U24" s="1700"/>
      <c r="V24" s="1700"/>
      <c r="W24" s="1700"/>
      <c r="X24" s="1700"/>
      <c r="Y24" s="1700"/>
      <c r="Z24" s="1700"/>
      <c r="AA24" s="1700"/>
      <c r="AB24" s="1700"/>
      <c r="AC24" s="1700"/>
      <c r="AD24" s="1700"/>
      <c r="AE24" s="1700"/>
      <c r="AF24" s="1700"/>
      <c r="AG24" s="1700"/>
      <c r="AH24" s="1700"/>
      <c r="AI24" s="1700"/>
      <c r="AJ24" s="1700"/>
      <c r="AK24" s="1700"/>
      <c r="AL24" s="1700"/>
      <c r="AM24" s="1700"/>
      <c r="AN24" s="1700"/>
      <c r="AO24" s="1700"/>
      <c r="AP24" s="1700"/>
      <c r="AQ24" s="1700"/>
      <c r="AR24" s="1700"/>
      <c r="AS24" s="1700"/>
      <c r="AT24" s="1700"/>
      <c r="AU24" s="1700"/>
      <c r="AV24" s="1700"/>
      <c r="AW24" s="1700"/>
      <c r="AX24" s="1700"/>
      <c r="AY24" s="1700"/>
      <c r="AZ24" s="1700"/>
      <c r="BA24" s="1700"/>
      <c r="BB24" s="1700"/>
      <c r="BC24" s="1700"/>
      <c r="BD24" s="1700"/>
      <c r="BE24" s="1700"/>
      <c r="BF24" s="1700"/>
      <c r="BG24" s="1700"/>
      <c r="BH24" s="1700"/>
      <c r="BI24" s="1700"/>
      <c r="BJ24" s="1700"/>
      <c r="BK24" s="1700"/>
      <c r="BL24" s="1700"/>
      <c r="BM24" s="1700"/>
      <c r="BN24" s="1700"/>
      <c r="BO24" s="1700"/>
      <c r="BP24" s="1700"/>
      <c r="BQ24" s="1700"/>
      <c r="BR24" s="1700"/>
      <c r="BS24" s="1700"/>
      <c r="BT24" s="1700"/>
      <c r="BU24" s="1700"/>
      <c r="BV24" s="1700"/>
      <c r="BW24" s="1700"/>
      <c r="BX24" s="1700"/>
      <c r="BY24" s="1700"/>
      <c r="BZ24" s="1700"/>
      <c r="CA24" s="1700"/>
      <c r="CB24" s="1700"/>
      <c r="CC24" s="1700"/>
      <c r="CD24" s="1700"/>
      <c r="CE24" s="1700"/>
      <c r="CF24" s="1700"/>
      <c r="CG24" s="1700"/>
      <c r="CH24" s="1700"/>
      <c r="CI24" s="1700"/>
      <c r="CJ24" s="1700"/>
      <c r="CK24" s="1700"/>
      <c r="CL24" s="1700"/>
      <c r="CM24" s="1700"/>
      <c r="CN24" s="1700"/>
      <c r="CO24" s="1700"/>
      <c r="CP24" s="1700"/>
      <c r="CQ24" s="1700"/>
      <c r="CR24" s="1700"/>
      <c r="CS24" s="1700"/>
      <c r="CT24" s="1700"/>
      <c r="CU24" s="1700"/>
      <c r="CV24" s="1700"/>
      <c r="CW24" s="1700"/>
      <c r="CX24" s="1700"/>
      <c r="CY24" s="1700"/>
      <c r="CZ24" s="1700"/>
      <c r="DA24" s="1700"/>
      <c r="DB24" s="1700"/>
      <c r="DC24" s="1700"/>
      <c r="DD24" s="1700"/>
      <c r="DE24" s="1700"/>
      <c r="DF24" s="1700"/>
      <c r="DG24" s="1700"/>
      <c r="DH24" s="1700"/>
      <c r="DI24" s="1700"/>
      <c r="DJ24" s="1700"/>
      <c r="DK24" s="1700"/>
      <c r="DL24" s="1700"/>
      <c r="DM24" s="1700"/>
      <c r="DN24" s="1700"/>
      <c r="DO24" s="1700"/>
      <c r="DP24" s="1700"/>
      <c r="DQ24" s="1700"/>
      <c r="DR24" s="1700"/>
      <c r="DS24" s="1700"/>
      <c r="DT24" s="1700"/>
      <c r="DU24" s="1700"/>
      <c r="DV24" s="1700"/>
      <c r="DW24" s="1700"/>
      <c r="DX24" s="1700"/>
      <c r="DY24" s="1700"/>
      <c r="DZ24" s="1700"/>
      <c r="EA24" s="1700"/>
      <c r="EB24" s="1700"/>
      <c r="EC24" s="1700"/>
      <c r="ED24" s="1700"/>
      <c r="EE24" s="1700"/>
      <c r="EF24" s="1700"/>
      <c r="EG24" s="1700"/>
      <c r="EH24" s="1700"/>
      <c r="EI24" s="1700"/>
      <c r="EJ24" s="1700"/>
      <c r="EK24" s="1700"/>
      <c r="EL24" s="1700"/>
      <c r="EM24" s="1700"/>
      <c r="EN24" s="1700"/>
      <c r="EO24" s="1700"/>
      <c r="EP24" s="1700"/>
      <c r="EQ24" s="1700"/>
      <c r="ER24" s="1700"/>
      <c r="ES24" s="1700"/>
      <c r="ET24" s="1700"/>
      <c r="EU24" s="1700"/>
      <c r="EV24" s="1700"/>
      <c r="EW24" s="1700"/>
      <c r="EX24" s="1700"/>
      <c r="EY24" s="1700"/>
      <c r="EZ24" s="1700"/>
      <c r="FA24" s="1700"/>
      <c r="FB24" s="1700"/>
      <c r="FC24" s="1700"/>
      <c r="FD24" s="1700"/>
      <c r="FE24" s="1700"/>
      <c r="FF24" s="1700"/>
      <c r="FG24" s="1700"/>
      <c r="FH24" s="1700"/>
      <c r="FI24" s="1700"/>
      <c r="FJ24" s="1700"/>
      <c r="FK24" s="1700"/>
      <c r="FL24" s="1700"/>
      <c r="FM24" s="1700"/>
      <c r="FN24" s="1700"/>
      <c r="FO24" s="1700"/>
      <c r="FP24" s="1700"/>
      <c r="FQ24" s="1700"/>
      <c r="FR24" s="1700"/>
      <c r="FS24" s="1700"/>
      <c r="FT24" s="1700"/>
      <c r="FU24" s="1700"/>
      <c r="FV24" s="1700"/>
      <c r="FW24" s="1700"/>
      <c r="FX24" s="1700"/>
      <c r="FY24" s="1700"/>
      <c r="FZ24" s="1700"/>
      <c r="GA24" s="1700"/>
      <c r="GB24" s="1700"/>
      <c r="GC24" s="1700"/>
      <c r="GD24" s="1700"/>
      <c r="GE24" s="1700"/>
      <c r="GF24" s="1700"/>
      <c r="GG24" s="1700"/>
      <c r="GH24" s="1700"/>
      <c r="GI24" s="1700"/>
      <c r="GJ24" s="1700"/>
      <c r="GK24" s="1700"/>
      <c r="GL24" s="1700"/>
      <c r="GM24" s="1700"/>
      <c r="GN24" s="1700"/>
      <c r="GO24" s="1700"/>
      <c r="GP24" s="1700"/>
      <c r="GQ24" s="1700"/>
      <c r="GR24" s="1700"/>
      <c r="GS24" s="1700"/>
      <c r="GT24" s="1700"/>
      <c r="GU24" s="1700"/>
      <c r="GV24" s="1700"/>
      <c r="GW24" s="1700"/>
      <c r="GX24" s="1700"/>
      <c r="GY24" s="1700"/>
      <c r="GZ24" s="1700"/>
      <c r="HA24" s="1700"/>
      <c r="HB24" s="1700"/>
      <c r="HC24" s="1700"/>
      <c r="HD24" s="1700"/>
      <c r="HE24" s="1700"/>
      <c r="HF24" s="1700"/>
      <c r="HG24" s="1700"/>
      <c r="HH24" s="1700"/>
      <c r="HI24" s="1700"/>
      <c r="HJ24" s="1700"/>
      <c r="HK24" s="1700"/>
      <c r="HL24" s="1700"/>
      <c r="HM24" s="1700"/>
      <c r="HN24" s="1700"/>
      <c r="HO24" s="1700"/>
      <c r="HP24" s="1700"/>
      <c r="HQ24" s="1700"/>
      <c r="HR24" s="1700"/>
      <c r="HS24" s="1700"/>
      <c r="HT24" s="1700"/>
      <c r="HU24" s="1700"/>
      <c r="HV24" s="1700"/>
      <c r="HW24" s="1700"/>
      <c r="HX24" s="1700"/>
      <c r="HY24" s="1700"/>
      <c r="HZ24" s="1700"/>
      <c r="IA24" s="1700"/>
      <c r="IB24" s="1700"/>
      <c r="IC24" s="1700"/>
      <c r="ID24" s="1700"/>
      <c r="IE24" s="1700"/>
      <c r="IF24" s="1700"/>
      <c r="IG24" s="1700"/>
      <c r="IH24" s="1700"/>
      <c r="II24" s="1700"/>
    </row>
    <row r="25" spans="1:4" s="1240" customFormat="1" ht="16.5" customHeight="1" thickTop="1">
      <c r="A25" s="1676" t="s">
        <v>212</v>
      </c>
      <c r="B25" s="1703" t="s">
        <v>677</v>
      </c>
      <c r="C25" s="1678">
        <f>C27+C58</f>
        <v>3344000</v>
      </c>
      <c r="D25" s="1704">
        <f>D27+D58</f>
        <v>1907000</v>
      </c>
    </row>
    <row r="26" spans="1:4" ht="12" customHeight="1" thickBot="1">
      <c r="A26" s="1680"/>
      <c r="B26" s="1681" t="s">
        <v>521</v>
      </c>
      <c r="C26" s="1682"/>
      <c r="D26" s="1683"/>
    </row>
    <row r="27" spans="1:4" s="1708" customFormat="1" ht="21" customHeight="1" thickBot="1" thickTop="1">
      <c r="A27" s="1705">
        <v>600</v>
      </c>
      <c r="B27" s="1706" t="s">
        <v>137</v>
      </c>
      <c r="C27" s="1298">
        <f>C28+C44</f>
        <v>2525125</v>
      </c>
      <c r="D27" s="1707">
        <f>SUM(D28+D44)</f>
        <v>1037000</v>
      </c>
    </row>
    <row r="28" spans="1:4" s="1710" customFormat="1" ht="32.25" customHeight="1" thickTop="1">
      <c r="A28" s="1709">
        <v>60015</v>
      </c>
      <c r="B28" s="1687" t="s">
        <v>678</v>
      </c>
      <c r="C28" s="1688">
        <f>SUM(C29:C34)</f>
        <v>1790200</v>
      </c>
      <c r="D28" s="1132">
        <f>SUM(D29:D34)</f>
        <v>591500</v>
      </c>
    </row>
    <row r="29" spans="1:4" s="1712" customFormat="1" ht="12.75" customHeight="1">
      <c r="A29" s="1640">
        <v>4210</v>
      </c>
      <c r="B29" s="1711" t="s">
        <v>436</v>
      </c>
      <c r="C29" s="1247">
        <v>50000</v>
      </c>
      <c r="D29" s="1248">
        <v>10000</v>
      </c>
    </row>
    <row r="30" spans="1:4" s="1712" customFormat="1" ht="12.75" customHeight="1">
      <c r="A30" s="1640">
        <v>4260</v>
      </c>
      <c r="B30" s="1711" t="s">
        <v>456</v>
      </c>
      <c r="C30" s="1247">
        <v>30000</v>
      </c>
      <c r="D30" s="1248">
        <v>20000</v>
      </c>
    </row>
    <row r="31" spans="1:4" s="1713" customFormat="1" ht="12.75" customHeight="1">
      <c r="A31" s="1640">
        <v>4270</v>
      </c>
      <c r="B31" s="1711" t="s">
        <v>469</v>
      </c>
      <c r="C31" s="1247">
        <v>1396000</v>
      </c>
      <c r="D31" s="1248">
        <v>440000</v>
      </c>
    </row>
    <row r="32" spans="1:4" s="1713" customFormat="1" ht="12.75" customHeight="1">
      <c r="A32" s="1640">
        <v>4300</v>
      </c>
      <c r="B32" s="1711" t="s">
        <v>458</v>
      </c>
      <c r="C32" s="1247">
        <v>300000</v>
      </c>
      <c r="D32" s="1248">
        <v>103000</v>
      </c>
    </row>
    <row r="33" spans="1:4" s="1713" customFormat="1" ht="12.75" customHeight="1">
      <c r="A33" s="1640">
        <v>4430</v>
      </c>
      <c r="B33" s="1711" t="s">
        <v>462</v>
      </c>
      <c r="C33" s="1247">
        <v>10200</v>
      </c>
      <c r="D33" s="1248">
        <v>14500</v>
      </c>
    </row>
    <row r="34" spans="1:4" s="1713" customFormat="1" ht="12.75" customHeight="1">
      <c r="A34" s="1714">
        <v>4590</v>
      </c>
      <c r="B34" s="1715" t="s">
        <v>679</v>
      </c>
      <c r="C34" s="1716">
        <v>4000</v>
      </c>
      <c r="D34" s="1717">
        <v>4000</v>
      </c>
    </row>
    <row r="35" spans="1:4" s="1719" customFormat="1" ht="15" customHeight="1">
      <c r="A35" s="1643"/>
      <c r="B35" s="1718" t="s">
        <v>680</v>
      </c>
      <c r="C35" s="1195">
        <f>SUM(C36:C43)</f>
        <v>1790200</v>
      </c>
      <c r="D35" s="1243">
        <f>SUM(D36:D43)</f>
        <v>591500</v>
      </c>
    </row>
    <row r="36" spans="1:4" s="1244" customFormat="1" ht="12.75" customHeight="1">
      <c r="A36" s="1720"/>
      <c r="B36" s="1721" t="s">
        <v>681</v>
      </c>
      <c r="C36" s="1722">
        <v>860000</v>
      </c>
      <c r="D36" s="1723">
        <v>207000</v>
      </c>
    </row>
    <row r="37" spans="1:4" s="1244" customFormat="1" ht="12.75" customHeight="1">
      <c r="A37" s="1720"/>
      <c r="B37" s="1721" t="s">
        <v>682</v>
      </c>
      <c r="C37" s="1722">
        <v>61000</v>
      </c>
      <c r="D37" s="1723">
        <v>61000</v>
      </c>
    </row>
    <row r="38" spans="1:4" s="1244" customFormat="1" ht="12.75" customHeight="1">
      <c r="A38" s="1720"/>
      <c r="B38" s="1721" t="s">
        <v>683</v>
      </c>
      <c r="C38" s="1722">
        <v>120000</v>
      </c>
      <c r="D38" s="1723">
        <v>150000</v>
      </c>
    </row>
    <row r="39" spans="1:4" s="1244" customFormat="1" ht="12.75" customHeight="1">
      <c r="A39" s="1720"/>
      <c r="B39" s="1721" t="s">
        <v>684</v>
      </c>
      <c r="C39" s="1722">
        <v>290000</v>
      </c>
      <c r="D39" s="1723">
        <v>100000</v>
      </c>
    </row>
    <row r="40" spans="1:4" s="1244" customFormat="1" ht="12.75" customHeight="1">
      <c r="A40" s="1720"/>
      <c r="B40" s="1721" t="s">
        <v>685</v>
      </c>
      <c r="C40" s="1722">
        <v>440000</v>
      </c>
      <c r="D40" s="1723">
        <v>50000</v>
      </c>
    </row>
    <row r="41" spans="1:4" s="1244" customFormat="1" ht="12.75" customHeight="1">
      <c r="A41" s="1720"/>
      <c r="B41" s="1724" t="s">
        <v>686</v>
      </c>
      <c r="C41" s="1722">
        <v>5000</v>
      </c>
      <c r="D41" s="1723">
        <v>5000</v>
      </c>
    </row>
    <row r="42" spans="1:4" s="1244" customFormat="1" ht="12.75" customHeight="1">
      <c r="A42" s="1720"/>
      <c r="B42" s="1721" t="s">
        <v>687</v>
      </c>
      <c r="C42" s="1722">
        <v>10200</v>
      </c>
      <c r="D42" s="1723">
        <v>14500</v>
      </c>
    </row>
    <row r="43" spans="1:4" s="1244" customFormat="1" ht="24" customHeight="1">
      <c r="A43" s="1725"/>
      <c r="B43" s="1726" t="s">
        <v>688</v>
      </c>
      <c r="C43" s="1727">
        <v>4000</v>
      </c>
      <c r="D43" s="1728">
        <v>4000</v>
      </c>
    </row>
    <row r="44" spans="1:4" s="1732" customFormat="1" ht="17.25" customHeight="1">
      <c r="A44" s="1729">
        <v>60016</v>
      </c>
      <c r="B44" s="1730" t="s">
        <v>286</v>
      </c>
      <c r="C44" s="1697">
        <f>SUM(C45:C49)</f>
        <v>734925</v>
      </c>
      <c r="D44" s="1731">
        <f>SUM(D45:D49)</f>
        <v>445500</v>
      </c>
    </row>
    <row r="45" spans="1:4" s="1713" customFormat="1" ht="15" customHeight="1">
      <c r="A45" s="1640">
        <v>4210</v>
      </c>
      <c r="B45" s="1711" t="s">
        <v>436</v>
      </c>
      <c r="C45" s="1247">
        <v>6000</v>
      </c>
      <c r="D45" s="1248">
        <v>6000</v>
      </c>
    </row>
    <row r="46" spans="1:4" s="1713" customFormat="1" ht="15" customHeight="1">
      <c r="A46" s="1640">
        <v>4270</v>
      </c>
      <c r="B46" s="1711" t="s">
        <v>469</v>
      </c>
      <c r="C46" s="1247">
        <v>627725</v>
      </c>
      <c r="D46" s="1248">
        <v>339500</v>
      </c>
    </row>
    <row r="47" spans="1:4" s="1713" customFormat="1" ht="15" customHeight="1">
      <c r="A47" s="1640">
        <v>4300</v>
      </c>
      <c r="B47" s="1711" t="s">
        <v>458</v>
      </c>
      <c r="C47" s="1247">
        <v>55000</v>
      </c>
      <c r="D47" s="1248">
        <v>50000</v>
      </c>
    </row>
    <row r="48" spans="1:4" s="1713" customFormat="1" ht="15" customHeight="1">
      <c r="A48" s="1640">
        <v>4430</v>
      </c>
      <c r="B48" s="1711" t="s">
        <v>462</v>
      </c>
      <c r="C48" s="1247">
        <v>11200</v>
      </c>
      <c r="D48" s="1248">
        <v>15000</v>
      </c>
    </row>
    <row r="49" spans="1:4" s="1713" customFormat="1" ht="15" customHeight="1">
      <c r="A49" s="1640">
        <v>4590</v>
      </c>
      <c r="B49" s="1711" t="s">
        <v>679</v>
      </c>
      <c r="C49" s="1247">
        <v>35000</v>
      </c>
      <c r="D49" s="1248">
        <v>35000</v>
      </c>
    </row>
    <row r="50" spans="1:4" s="1244" customFormat="1" ht="15" customHeight="1">
      <c r="A50" s="1643"/>
      <c r="B50" s="1718" t="s">
        <v>680</v>
      </c>
      <c r="C50" s="1195">
        <f>SUM(C51:C57)</f>
        <v>734925</v>
      </c>
      <c r="D50" s="1243">
        <f>SUM(D51:D57)</f>
        <v>445500</v>
      </c>
    </row>
    <row r="51" spans="1:4" s="1244" customFormat="1" ht="15" customHeight="1">
      <c r="A51" s="1720"/>
      <c r="B51" s="1721" t="s">
        <v>681</v>
      </c>
      <c r="C51" s="1722">
        <v>455725</v>
      </c>
      <c r="D51" s="1723">
        <v>167500</v>
      </c>
    </row>
    <row r="52" spans="1:4" s="1244" customFormat="1" ht="15" customHeight="1">
      <c r="A52" s="1720"/>
      <c r="B52" s="1721" t="s">
        <v>682</v>
      </c>
      <c r="C52" s="1722">
        <v>94000</v>
      </c>
      <c r="D52" s="1723">
        <v>94000</v>
      </c>
    </row>
    <row r="53" spans="1:4" s="1244" customFormat="1" ht="15" customHeight="1">
      <c r="A53" s="1720"/>
      <c r="B53" s="1721" t="s">
        <v>689</v>
      </c>
      <c r="C53" s="1722">
        <v>55000</v>
      </c>
      <c r="D53" s="1723">
        <v>50000</v>
      </c>
    </row>
    <row r="54" spans="1:4" s="1244" customFormat="1" ht="15" customHeight="1">
      <c r="A54" s="1720"/>
      <c r="B54" s="1721" t="s">
        <v>690</v>
      </c>
      <c r="C54" s="1722">
        <v>78000</v>
      </c>
      <c r="D54" s="1723">
        <v>78000</v>
      </c>
    </row>
    <row r="55" spans="1:4" s="1244" customFormat="1" ht="23.25" customHeight="1">
      <c r="A55" s="1720"/>
      <c r="B55" s="1724" t="s">
        <v>691</v>
      </c>
      <c r="C55" s="1722">
        <v>6000</v>
      </c>
      <c r="D55" s="1723">
        <v>6000</v>
      </c>
    </row>
    <row r="56" spans="1:4" s="1244" customFormat="1" ht="15" customHeight="1">
      <c r="A56" s="1720"/>
      <c r="B56" s="1721" t="s">
        <v>692</v>
      </c>
      <c r="C56" s="1722">
        <v>11200</v>
      </c>
      <c r="D56" s="1723">
        <v>15000</v>
      </c>
    </row>
    <row r="57" spans="1:4" s="1244" customFormat="1" ht="27.75" customHeight="1" thickBot="1">
      <c r="A57" s="1720"/>
      <c r="B57" s="1724" t="s">
        <v>693</v>
      </c>
      <c r="C57" s="1722">
        <v>35000</v>
      </c>
      <c r="D57" s="1723">
        <v>35000</v>
      </c>
    </row>
    <row r="58" spans="1:4" s="1244" customFormat="1" ht="33.75" customHeight="1" thickBot="1" thickTop="1">
      <c r="A58" s="1733">
        <v>900</v>
      </c>
      <c r="B58" s="1734" t="s">
        <v>171</v>
      </c>
      <c r="C58" s="1298">
        <f>C59+C69+C72</f>
        <v>818875</v>
      </c>
      <c r="D58" s="1089">
        <f>D59+D69+D72</f>
        <v>870000</v>
      </c>
    </row>
    <row r="59" spans="1:4" s="1244" customFormat="1" ht="21.75" customHeight="1" thickTop="1">
      <c r="A59" s="1735">
        <v>90001</v>
      </c>
      <c r="B59" s="1736" t="s">
        <v>382</v>
      </c>
      <c r="C59" s="1737">
        <f>SUM(C60:C63)</f>
        <v>483875</v>
      </c>
      <c r="D59" s="1738">
        <f>SUM(D60:D63)</f>
        <v>780000</v>
      </c>
    </row>
    <row r="60" spans="1:4" s="1244" customFormat="1" ht="15" customHeight="1">
      <c r="A60" s="1739">
        <v>4300</v>
      </c>
      <c r="B60" s="1740" t="s">
        <v>458</v>
      </c>
      <c r="C60" s="1247">
        <v>45000</v>
      </c>
      <c r="D60" s="1248">
        <v>50000</v>
      </c>
    </row>
    <row r="61" spans="1:4" s="1244" customFormat="1" ht="15" customHeight="1">
      <c r="A61" s="1739">
        <v>4430</v>
      </c>
      <c r="B61" s="1740" t="s">
        <v>462</v>
      </c>
      <c r="C61" s="1247">
        <v>388875</v>
      </c>
      <c r="D61" s="1248">
        <v>427000</v>
      </c>
    </row>
    <row r="62" spans="1:4" s="1244" customFormat="1" ht="15" customHeight="1">
      <c r="A62" s="1739">
        <v>4580</v>
      </c>
      <c r="B62" s="1740" t="s">
        <v>694</v>
      </c>
      <c r="C62" s="1247">
        <v>50000</v>
      </c>
      <c r="D62" s="1248">
        <v>83000</v>
      </c>
    </row>
    <row r="63" spans="1:4" s="1244" customFormat="1" ht="15" customHeight="1">
      <c r="A63" s="1640">
        <v>6050</v>
      </c>
      <c r="B63" s="1741" t="s">
        <v>636</v>
      </c>
      <c r="C63" s="1247">
        <v>0</v>
      </c>
      <c r="D63" s="1248">
        <v>220000</v>
      </c>
    </row>
    <row r="64" spans="1:4" s="1244" customFormat="1" ht="15" customHeight="1">
      <c r="A64" s="1640"/>
      <c r="B64" s="1724" t="s">
        <v>680</v>
      </c>
      <c r="C64" s="1722">
        <f>SUM(C65:C68)</f>
        <v>483875</v>
      </c>
      <c r="D64" s="1723">
        <f>SUM(D65:D68)</f>
        <v>780000</v>
      </c>
    </row>
    <row r="65" spans="1:4" s="1244" customFormat="1" ht="15" customHeight="1">
      <c r="A65" s="1640"/>
      <c r="B65" s="1724" t="s">
        <v>695</v>
      </c>
      <c r="C65" s="1722">
        <v>388875</v>
      </c>
      <c r="D65" s="1723">
        <v>427000</v>
      </c>
    </row>
    <row r="66" spans="1:4" s="1244" customFormat="1" ht="15" customHeight="1">
      <c r="A66" s="1640"/>
      <c r="B66" s="1724" t="s">
        <v>696</v>
      </c>
      <c r="C66" s="1722">
        <v>50000</v>
      </c>
      <c r="D66" s="1723">
        <v>83000</v>
      </c>
    </row>
    <row r="67" spans="1:4" s="1244" customFormat="1" ht="15" customHeight="1">
      <c r="A67" s="1640"/>
      <c r="B67" s="1724" t="s">
        <v>697</v>
      </c>
      <c r="C67" s="1722">
        <v>45000</v>
      </c>
      <c r="D67" s="1723">
        <v>50000</v>
      </c>
    </row>
    <row r="68" spans="1:4" s="1244" customFormat="1" ht="15" customHeight="1">
      <c r="A68" s="1640"/>
      <c r="B68" s="1724" t="s">
        <v>698</v>
      </c>
      <c r="C68" s="1722">
        <v>0</v>
      </c>
      <c r="D68" s="1723">
        <v>220000</v>
      </c>
    </row>
    <row r="69" spans="1:4" s="1244" customFormat="1" ht="15" customHeight="1">
      <c r="A69" s="1729">
        <v>90003</v>
      </c>
      <c r="B69" s="1730" t="s">
        <v>383</v>
      </c>
      <c r="C69" s="1697">
        <f>C70</f>
        <v>245000</v>
      </c>
      <c r="D69" s="1466">
        <f>D70</f>
        <v>50000</v>
      </c>
    </row>
    <row r="70" spans="1:4" s="1244" customFormat="1" ht="15" customHeight="1">
      <c r="A70" s="1640">
        <v>4300</v>
      </c>
      <c r="B70" s="1641" t="s">
        <v>458</v>
      </c>
      <c r="C70" s="1247">
        <f>C71</f>
        <v>245000</v>
      </c>
      <c r="D70" s="1248">
        <f>D71</f>
        <v>50000</v>
      </c>
    </row>
    <row r="71" spans="1:4" s="1244" customFormat="1" ht="15" customHeight="1">
      <c r="A71" s="1720"/>
      <c r="B71" s="1724" t="s">
        <v>699</v>
      </c>
      <c r="C71" s="1722">
        <v>245000</v>
      </c>
      <c r="D71" s="1723">
        <v>50000</v>
      </c>
    </row>
    <row r="72" spans="1:4" s="1244" customFormat="1" ht="15" customHeight="1">
      <c r="A72" s="1729">
        <v>90004</v>
      </c>
      <c r="B72" s="1730" t="s">
        <v>384</v>
      </c>
      <c r="C72" s="1697">
        <f>C73</f>
        <v>90000</v>
      </c>
      <c r="D72" s="1466">
        <f>D73</f>
        <v>40000</v>
      </c>
    </row>
    <row r="73" spans="1:4" s="1244" customFormat="1" ht="15" customHeight="1">
      <c r="A73" s="1640">
        <v>4300</v>
      </c>
      <c r="B73" s="1641" t="s">
        <v>458</v>
      </c>
      <c r="C73" s="1247">
        <f>C74</f>
        <v>90000</v>
      </c>
      <c r="D73" s="1248">
        <f>D74</f>
        <v>40000</v>
      </c>
    </row>
    <row r="74" spans="1:4" s="1244" customFormat="1" ht="15" customHeight="1" thickBot="1">
      <c r="A74" s="1720"/>
      <c r="B74" s="1724" t="s">
        <v>700</v>
      </c>
      <c r="C74" s="1722">
        <v>90000</v>
      </c>
      <c r="D74" s="1723">
        <v>40000</v>
      </c>
    </row>
    <row r="75" spans="1:4" s="1745" customFormat="1" ht="28.5" customHeight="1" thickBot="1" thickTop="1">
      <c r="A75" s="1742" t="s">
        <v>219</v>
      </c>
      <c r="B75" s="1743" t="s">
        <v>701</v>
      </c>
      <c r="C75" s="1217">
        <f>C12+C13-C25</f>
        <v>0</v>
      </c>
      <c r="D75" s="1744">
        <f>D12+D13-D25</f>
        <v>0</v>
      </c>
    </row>
    <row r="76" ht="13.5" thickTop="1">
      <c r="B76" s="91"/>
    </row>
    <row r="77" ht="12.75">
      <c r="B77" s="9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6" sqref="E6"/>
    </sheetView>
  </sheetViews>
  <sheetFormatPr defaultColWidth="9.00390625" defaultRowHeight="12.75"/>
  <cols>
    <col min="1" max="1" width="6.625" style="920" customWidth="1"/>
    <col min="2" max="2" width="42.875" style="920" customWidth="1"/>
    <col min="3" max="4" width="14.75390625" style="920" customWidth="1"/>
    <col min="5" max="16384" width="9.125" style="920" customWidth="1"/>
  </cols>
  <sheetData>
    <row r="1" ht="12.75">
      <c r="C1" s="920" t="s">
        <v>702</v>
      </c>
    </row>
    <row r="2" spans="3:4" ht="12.75">
      <c r="C2" s="920" t="s">
        <v>118</v>
      </c>
      <c r="D2" s="1501"/>
    </row>
    <row r="3" spans="3:4" ht="12.75">
      <c r="C3" s="920" t="s">
        <v>119</v>
      </c>
      <c r="D3" s="1501"/>
    </row>
    <row r="4" spans="3:4" ht="12.75">
      <c r="C4" s="920" t="s">
        <v>120</v>
      </c>
      <c r="D4" s="1501"/>
    </row>
    <row r="5" ht="36" customHeight="1"/>
    <row r="6" spans="1:4" ht="38.25" customHeight="1">
      <c r="A6" s="1746" t="s">
        <v>703</v>
      </c>
      <c r="B6" s="1652"/>
      <c r="C6" s="1652"/>
      <c r="D6" s="1652"/>
    </row>
    <row r="7" spans="1:4" ht="37.5" customHeight="1">
      <c r="A7" s="1746"/>
      <c r="B7" s="1652"/>
      <c r="C7" s="1652"/>
      <c r="D7" s="1652"/>
    </row>
    <row r="8" spans="1:4" ht="18.75">
      <c r="A8" s="1116"/>
      <c r="B8" s="1747" t="s">
        <v>704</v>
      </c>
      <c r="C8" s="1652"/>
      <c r="D8" s="1652"/>
    </row>
    <row r="9" spans="1:4" ht="10.5" customHeight="1">
      <c r="A9" s="1116"/>
      <c r="B9" s="1748"/>
      <c r="C9" s="1652"/>
      <c r="D9" s="1652"/>
    </row>
    <row r="10" ht="13.5" thickBot="1">
      <c r="D10" s="916" t="s">
        <v>123</v>
      </c>
    </row>
    <row r="11" spans="1:4" ht="39" thickTop="1">
      <c r="A11" s="1749" t="s">
        <v>705</v>
      </c>
      <c r="B11" s="1663" t="s">
        <v>125</v>
      </c>
      <c r="C11" s="1750" t="s">
        <v>706</v>
      </c>
      <c r="D11" s="1751" t="s">
        <v>707</v>
      </c>
    </row>
    <row r="12" spans="1:4" ht="12.75">
      <c r="A12" s="1667">
        <v>1</v>
      </c>
      <c r="B12" s="1752">
        <v>2</v>
      </c>
      <c r="C12" s="1753">
        <v>3</v>
      </c>
      <c r="D12" s="1754">
        <v>4</v>
      </c>
    </row>
    <row r="13" spans="1:4" ht="24.75" customHeight="1" thickBot="1">
      <c r="A13" s="1755" t="s">
        <v>200</v>
      </c>
      <c r="B13" s="1756" t="s">
        <v>708</v>
      </c>
      <c r="C13" s="1757">
        <v>0</v>
      </c>
      <c r="D13" s="1758">
        <v>2500</v>
      </c>
    </row>
    <row r="14" spans="1:5" ht="27" customHeight="1" thickBot="1" thickTop="1">
      <c r="A14" s="1231" t="s">
        <v>207</v>
      </c>
      <c r="B14" s="1759" t="s">
        <v>666</v>
      </c>
      <c r="C14" s="1038">
        <f>SUM(C15:C17)</f>
        <v>22060</v>
      </c>
      <c r="D14" s="1040">
        <f>SUM(D15:D17)</f>
        <v>27130</v>
      </c>
      <c r="E14" s="1760"/>
    </row>
    <row r="15" spans="1:4" ht="18.75" customHeight="1" thickTop="1">
      <c r="A15" s="1761" t="s">
        <v>709</v>
      </c>
      <c r="B15" s="1762" t="s">
        <v>694</v>
      </c>
      <c r="C15" s="1247">
        <v>20</v>
      </c>
      <c r="D15" s="1248">
        <v>130</v>
      </c>
    </row>
    <row r="16" spans="1:4" ht="27.75" customHeight="1">
      <c r="A16" s="1761" t="s">
        <v>710</v>
      </c>
      <c r="B16" s="1741" t="s">
        <v>711</v>
      </c>
      <c r="C16" s="1247">
        <v>1460</v>
      </c>
      <c r="D16" s="1248">
        <v>2200</v>
      </c>
    </row>
    <row r="17" spans="1:4" ht="18.75" customHeight="1" thickBot="1">
      <c r="A17" s="1761" t="s">
        <v>675</v>
      </c>
      <c r="B17" s="1762" t="s">
        <v>676</v>
      </c>
      <c r="C17" s="1247">
        <v>20580</v>
      </c>
      <c r="D17" s="1248">
        <v>24800</v>
      </c>
    </row>
    <row r="18" spans="1:4" ht="27" customHeight="1" thickBot="1" thickTop="1">
      <c r="A18" s="1742" t="s">
        <v>212</v>
      </c>
      <c r="B18" s="1763" t="s">
        <v>677</v>
      </c>
      <c r="C18" s="1038">
        <f>SUM(C19:C22)</f>
        <v>19560</v>
      </c>
      <c r="D18" s="1040">
        <f>SUM(D19:D22)</f>
        <v>27020</v>
      </c>
    </row>
    <row r="19" spans="1:4" ht="18.75" customHeight="1" thickTop="1">
      <c r="A19" s="1640">
        <v>4210</v>
      </c>
      <c r="B19" s="1741" t="s">
        <v>436</v>
      </c>
      <c r="C19" s="1247">
        <v>10500</v>
      </c>
      <c r="D19" s="1248">
        <v>10910</v>
      </c>
    </row>
    <row r="20" spans="1:4" ht="18.75" customHeight="1">
      <c r="A20" s="1640">
        <v>4240</v>
      </c>
      <c r="B20" s="1741" t="s">
        <v>506</v>
      </c>
      <c r="C20" s="1247">
        <v>3200</v>
      </c>
      <c r="D20" s="1248">
        <v>9100</v>
      </c>
    </row>
    <row r="21" spans="1:4" ht="18.75" customHeight="1">
      <c r="A21" s="1640">
        <v>4270</v>
      </c>
      <c r="B21" s="1741" t="s">
        <v>469</v>
      </c>
      <c r="C21" s="1247">
        <v>2000</v>
      </c>
      <c r="D21" s="1248">
        <v>2000</v>
      </c>
    </row>
    <row r="22" spans="1:4" ht="18.75" customHeight="1" thickBot="1">
      <c r="A22" s="1640">
        <v>4300</v>
      </c>
      <c r="B22" s="1741" t="s">
        <v>458</v>
      </c>
      <c r="C22" s="1247">
        <v>3860</v>
      </c>
      <c r="D22" s="1248">
        <v>5010</v>
      </c>
    </row>
    <row r="23" spans="1:4" ht="38.25" customHeight="1" thickBot="1" thickTop="1">
      <c r="A23" s="1764" t="s">
        <v>219</v>
      </c>
      <c r="B23" s="1765" t="s">
        <v>712</v>
      </c>
      <c r="C23" s="1266">
        <f>C13+C14-C18</f>
        <v>2500</v>
      </c>
      <c r="D23" s="1766">
        <f>D13+D14-D18</f>
        <v>2610</v>
      </c>
    </row>
    <row r="24" ht="13.5" thickTop="1">
      <c r="B24" s="91"/>
    </row>
    <row r="25" ht="12.75">
      <c r="B25" s="91"/>
    </row>
    <row r="26" spans="3:4" ht="15">
      <c r="C26" s="1708"/>
      <c r="D26" s="170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7" sqref="E7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4.75390625" style="0" customWidth="1"/>
    <col min="5" max="5" width="9.625" style="0" customWidth="1"/>
  </cols>
  <sheetData>
    <row r="1" spans="1:4" ht="1.5" customHeight="1">
      <c r="A1" s="920"/>
      <c r="B1" s="920"/>
      <c r="C1" s="920"/>
      <c r="D1" s="920"/>
    </row>
    <row r="2" spans="1:3" ht="12.75">
      <c r="A2" s="920"/>
      <c r="B2" s="920"/>
      <c r="C2" s="1042" t="s">
        <v>713</v>
      </c>
    </row>
    <row r="3" spans="1:3" ht="12.75">
      <c r="A3" s="920"/>
      <c r="B3" s="920"/>
      <c r="C3" s="919" t="s">
        <v>714</v>
      </c>
    </row>
    <row r="4" spans="1:3" ht="12.75">
      <c r="A4" s="920"/>
      <c r="B4" s="920"/>
      <c r="C4" s="919" t="s">
        <v>715</v>
      </c>
    </row>
    <row r="5" spans="1:3" ht="12.75">
      <c r="A5" s="920"/>
      <c r="B5" s="920"/>
      <c r="C5" s="919" t="s">
        <v>716</v>
      </c>
    </row>
    <row r="6" spans="1:4" ht="19.5" customHeight="1">
      <c r="A6" s="920"/>
      <c r="B6" s="920"/>
      <c r="C6" s="1045"/>
      <c r="D6" s="920"/>
    </row>
    <row r="7" spans="1:4" ht="38.25" customHeight="1">
      <c r="A7" s="1746" t="s">
        <v>717</v>
      </c>
      <c r="B7" s="1652"/>
      <c r="C7" s="1652"/>
      <c r="D7" s="1652"/>
    </row>
    <row r="8" spans="1:4" ht="27.75" customHeight="1">
      <c r="A8" s="1746"/>
      <c r="B8" s="1652"/>
      <c r="C8" s="1652"/>
      <c r="D8" s="1652"/>
    </row>
    <row r="9" spans="1:4" ht="18.75">
      <c r="A9" s="1116"/>
      <c r="B9" s="1747" t="s">
        <v>704</v>
      </c>
      <c r="C9" s="1652"/>
      <c r="D9" s="1652"/>
    </row>
    <row r="10" spans="1:4" ht="17.25" customHeight="1" thickBot="1">
      <c r="A10" s="1116"/>
      <c r="B10" s="1748"/>
      <c r="C10" s="1652"/>
      <c r="D10" s="916" t="s">
        <v>123</v>
      </c>
    </row>
    <row r="11" spans="1:4" ht="13.5" hidden="1" thickBot="1">
      <c r="A11" s="920"/>
      <c r="B11" s="920"/>
      <c r="C11" s="920"/>
      <c r="D11" s="916" t="s">
        <v>123</v>
      </c>
    </row>
    <row r="12" spans="1:4" s="920" customFormat="1" ht="39" thickTop="1">
      <c r="A12" s="1749" t="s">
        <v>705</v>
      </c>
      <c r="B12" s="1663" t="s">
        <v>125</v>
      </c>
      <c r="C12" s="1750" t="s">
        <v>706</v>
      </c>
      <c r="D12" s="1751" t="s">
        <v>707</v>
      </c>
    </row>
    <row r="13" spans="1:4" ht="12.75">
      <c r="A13" s="1667">
        <v>1</v>
      </c>
      <c r="B13" s="1752">
        <v>2</v>
      </c>
      <c r="C13" s="1753">
        <v>3</v>
      </c>
      <c r="D13" s="1754">
        <v>4</v>
      </c>
    </row>
    <row r="14" spans="1:4" ht="22.5" customHeight="1" thickBot="1">
      <c r="A14" s="1767" t="s">
        <v>200</v>
      </c>
      <c r="B14" s="1768" t="s">
        <v>708</v>
      </c>
      <c r="C14" s="1769">
        <v>0</v>
      </c>
      <c r="D14" s="1770">
        <v>18400</v>
      </c>
    </row>
    <row r="15" spans="1:5" s="920" customFormat="1" ht="27" customHeight="1" thickBot="1" thickTop="1">
      <c r="A15" s="1231" t="s">
        <v>207</v>
      </c>
      <c r="B15" s="1759" t="s">
        <v>666</v>
      </c>
      <c r="C15" s="1038">
        <f>SUM(C16:C20)</f>
        <v>420885</v>
      </c>
      <c r="D15" s="1040">
        <f>SUM(D16:D20)</f>
        <v>296100</v>
      </c>
      <c r="E15" s="1760"/>
    </row>
    <row r="16" spans="1:4" s="1159" customFormat="1" ht="18" customHeight="1" thickTop="1">
      <c r="A16" s="1761" t="s">
        <v>673</v>
      </c>
      <c r="B16" s="1762" t="s">
        <v>674</v>
      </c>
      <c r="C16" s="1247">
        <v>70600</v>
      </c>
      <c r="D16" s="1248">
        <v>50000</v>
      </c>
    </row>
    <row r="17" spans="1:4" s="1159" customFormat="1" ht="18" customHeight="1">
      <c r="A17" s="1771" t="s">
        <v>718</v>
      </c>
      <c r="B17" s="1772" t="s">
        <v>719</v>
      </c>
      <c r="C17" s="1773">
        <v>279900</v>
      </c>
      <c r="D17" s="1774">
        <v>212800</v>
      </c>
    </row>
    <row r="18" spans="1:4" s="1159" customFormat="1" ht="18" customHeight="1">
      <c r="A18" s="1771" t="s">
        <v>709</v>
      </c>
      <c r="B18" s="1775" t="s">
        <v>694</v>
      </c>
      <c r="C18" s="1773">
        <v>230</v>
      </c>
      <c r="D18" s="1774">
        <v>400</v>
      </c>
    </row>
    <row r="19" spans="1:4" s="1159" customFormat="1" ht="28.5" customHeight="1">
      <c r="A19" s="1771" t="s">
        <v>710</v>
      </c>
      <c r="B19" s="1776" t="s">
        <v>711</v>
      </c>
      <c r="C19" s="1773">
        <v>22525</v>
      </c>
      <c r="D19" s="1774">
        <v>14600</v>
      </c>
    </row>
    <row r="20" spans="1:4" s="920" customFormat="1" ht="18.75" customHeight="1" thickBot="1">
      <c r="A20" s="1761" t="s">
        <v>675</v>
      </c>
      <c r="B20" s="1762" t="s">
        <v>676</v>
      </c>
      <c r="C20" s="1247">
        <v>47630</v>
      </c>
      <c r="D20" s="1248">
        <v>18300</v>
      </c>
    </row>
    <row r="21" spans="1:4" s="920" customFormat="1" ht="27" customHeight="1" thickBot="1" thickTop="1">
      <c r="A21" s="1742" t="s">
        <v>212</v>
      </c>
      <c r="B21" s="1763" t="s">
        <v>677</v>
      </c>
      <c r="C21" s="1038">
        <f>SUM(C22:C36)</f>
        <v>402485</v>
      </c>
      <c r="D21" s="1040">
        <f>SUM(D22:D36)</f>
        <v>301100</v>
      </c>
    </row>
    <row r="22" spans="1:4" s="1159" customFormat="1" ht="26.25" thickTop="1">
      <c r="A22" s="1640">
        <v>3020</v>
      </c>
      <c r="B22" s="1741" t="s">
        <v>720</v>
      </c>
      <c r="C22" s="1247">
        <v>300</v>
      </c>
      <c r="D22" s="1248">
        <v>3400</v>
      </c>
    </row>
    <row r="23" spans="1:4" s="1159" customFormat="1" ht="18" customHeight="1">
      <c r="A23" s="1640">
        <v>4110</v>
      </c>
      <c r="B23" s="1741" t="s">
        <v>432</v>
      </c>
      <c r="C23" s="1247">
        <v>21000</v>
      </c>
      <c r="D23" s="1248">
        <v>12800</v>
      </c>
    </row>
    <row r="24" spans="1:4" s="1159" customFormat="1" ht="18" customHeight="1">
      <c r="A24" s="1640">
        <v>4120</v>
      </c>
      <c r="B24" s="1741" t="s">
        <v>626</v>
      </c>
      <c r="C24" s="1247">
        <v>3000</v>
      </c>
      <c r="D24" s="1248">
        <v>1700</v>
      </c>
    </row>
    <row r="25" spans="1:4" s="1159" customFormat="1" ht="18" customHeight="1">
      <c r="A25" s="1640">
        <v>4170</v>
      </c>
      <c r="B25" s="1741" t="s">
        <v>721</v>
      </c>
      <c r="C25" s="1247">
        <v>123100</v>
      </c>
      <c r="D25" s="1248">
        <v>71000</v>
      </c>
    </row>
    <row r="26" spans="1:4" s="1159" customFormat="1" ht="18" customHeight="1">
      <c r="A26" s="1640">
        <v>4210</v>
      </c>
      <c r="B26" s="1741" t="s">
        <v>436</v>
      </c>
      <c r="C26" s="1247">
        <v>69920</v>
      </c>
      <c r="D26" s="1248">
        <v>42700</v>
      </c>
    </row>
    <row r="27" spans="1:4" s="1159" customFormat="1" ht="18" customHeight="1">
      <c r="A27" s="1640">
        <v>4220</v>
      </c>
      <c r="B27" s="1741" t="s">
        <v>722</v>
      </c>
      <c r="C27" s="1247">
        <v>119425</v>
      </c>
      <c r="D27" s="1248">
        <v>99100</v>
      </c>
    </row>
    <row r="28" spans="1:4" s="1159" customFormat="1" ht="17.25" customHeight="1">
      <c r="A28" s="1640">
        <v>4240</v>
      </c>
      <c r="B28" s="1741" t="s">
        <v>506</v>
      </c>
      <c r="C28" s="1247">
        <v>14500</v>
      </c>
      <c r="D28" s="1248">
        <v>13100</v>
      </c>
    </row>
    <row r="29" spans="1:4" s="1159" customFormat="1" ht="18" customHeight="1">
      <c r="A29" s="1640">
        <v>4260</v>
      </c>
      <c r="B29" s="1741" t="s">
        <v>456</v>
      </c>
      <c r="C29" s="1247">
        <v>6800</v>
      </c>
      <c r="D29" s="1248">
        <v>12300</v>
      </c>
    </row>
    <row r="30" spans="1:4" s="1159" customFormat="1" ht="18" customHeight="1">
      <c r="A30" s="1640">
        <v>4270</v>
      </c>
      <c r="B30" s="1741" t="s">
        <v>469</v>
      </c>
      <c r="C30" s="1247">
        <v>11600</v>
      </c>
      <c r="D30" s="1248">
        <v>12000</v>
      </c>
    </row>
    <row r="31" spans="1:4" s="1159" customFormat="1" ht="18" customHeight="1">
      <c r="A31" s="1640">
        <v>4280</v>
      </c>
      <c r="B31" s="1741" t="s">
        <v>723</v>
      </c>
      <c r="C31" s="1247">
        <v>0</v>
      </c>
      <c r="D31" s="1248">
        <v>300</v>
      </c>
    </row>
    <row r="32" spans="1:4" s="1159" customFormat="1" ht="18" customHeight="1">
      <c r="A32" s="1640">
        <v>4300</v>
      </c>
      <c r="B32" s="1741" t="s">
        <v>458</v>
      </c>
      <c r="C32" s="1247">
        <v>17690</v>
      </c>
      <c r="D32" s="1248">
        <v>25600</v>
      </c>
    </row>
    <row r="33" spans="1:4" s="1159" customFormat="1" ht="18" customHeight="1">
      <c r="A33" s="1640">
        <v>4350</v>
      </c>
      <c r="B33" s="1741" t="s">
        <v>724</v>
      </c>
      <c r="C33" s="1247">
        <v>0</v>
      </c>
      <c r="D33" s="1248">
        <v>2500</v>
      </c>
    </row>
    <row r="34" spans="1:4" s="1159" customFormat="1" ht="18" customHeight="1">
      <c r="A34" s="1640">
        <v>4410</v>
      </c>
      <c r="B34" s="1741" t="s">
        <v>460</v>
      </c>
      <c r="C34" s="1247">
        <v>3450</v>
      </c>
      <c r="D34" s="1248">
        <v>3400</v>
      </c>
    </row>
    <row r="35" spans="1:4" s="1159" customFormat="1" ht="18" customHeight="1">
      <c r="A35" s="1640">
        <v>4430</v>
      </c>
      <c r="B35" s="1741" t="s">
        <v>462</v>
      </c>
      <c r="C35" s="1247">
        <v>1200</v>
      </c>
      <c r="D35" s="1248">
        <v>1200</v>
      </c>
    </row>
    <row r="36" spans="1:4" s="1159" customFormat="1" ht="18" customHeight="1" thickBot="1">
      <c r="A36" s="1640">
        <v>6050</v>
      </c>
      <c r="B36" s="1741" t="s">
        <v>636</v>
      </c>
      <c r="C36" s="1247">
        <v>10500</v>
      </c>
      <c r="D36" s="1248">
        <v>0</v>
      </c>
    </row>
    <row r="37" spans="1:4" ht="36" customHeight="1" thickBot="1" thickTop="1">
      <c r="A37" s="1231" t="s">
        <v>219</v>
      </c>
      <c r="B37" s="1765" t="s">
        <v>712</v>
      </c>
      <c r="C37" s="1038">
        <f>C14+C15-C21</f>
        <v>18400</v>
      </c>
      <c r="D37" s="1040">
        <f>D14+D15-D21</f>
        <v>13400</v>
      </c>
    </row>
    <row r="38" ht="13.5" thickTop="1">
      <c r="B38" s="91"/>
    </row>
    <row r="39" ht="12.75">
      <c r="B39" s="9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9" sqref="E9"/>
    </sheetView>
  </sheetViews>
  <sheetFormatPr defaultColWidth="9.00390625" defaultRowHeight="12.75"/>
  <cols>
    <col min="1" max="1" width="6.625" style="920" customWidth="1"/>
    <col min="2" max="2" width="44.25390625" style="920" customWidth="1"/>
    <col min="3" max="4" width="14.75390625" style="920" customWidth="1"/>
    <col min="5" max="16384" width="9.125" style="920" customWidth="1"/>
  </cols>
  <sheetData>
    <row r="1" spans="3:4" ht="12.75">
      <c r="C1" s="1045" t="s">
        <v>725</v>
      </c>
      <c r="D1" s="1045"/>
    </row>
    <row r="2" spans="3:4" ht="12.75">
      <c r="C2" s="919" t="s">
        <v>726</v>
      </c>
      <c r="D2" s="1045"/>
    </row>
    <row r="3" spans="2:4" ht="15">
      <c r="B3" s="1708"/>
      <c r="C3" s="919" t="s">
        <v>727</v>
      </c>
      <c r="D3" s="1045"/>
    </row>
    <row r="4" spans="3:4" ht="12.75">
      <c r="C4" s="919" t="s">
        <v>728</v>
      </c>
      <c r="D4" s="1045"/>
    </row>
    <row r="6" ht="2.25" customHeight="1"/>
    <row r="7" spans="1:4" s="1777" customFormat="1" ht="45" customHeight="1">
      <c r="A7" s="1746" t="s">
        <v>717</v>
      </c>
      <c r="B7" s="1614"/>
      <c r="C7" s="1614"/>
      <c r="D7" s="1614"/>
    </row>
    <row r="8" spans="1:4" s="1777" customFormat="1" ht="30.75" customHeight="1">
      <c r="A8" s="1746"/>
      <c r="B8" s="1614"/>
      <c r="C8" s="1614"/>
      <c r="D8" s="1614"/>
    </row>
    <row r="9" spans="1:4" ht="25.5" customHeight="1">
      <c r="A9" s="1116"/>
      <c r="B9" s="1747" t="s">
        <v>729</v>
      </c>
      <c r="C9" s="1652"/>
      <c r="D9" s="1652"/>
    </row>
    <row r="10" spans="1:4" ht="9.75" customHeight="1">
      <c r="A10" s="1116"/>
      <c r="B10" s="1748"/>
      <c r="C10" s="1652"/>
      <c r="D10" s="1652"/>
    </row>
    <row r="11" ht="13.5" thickBot="1">
      <c r="D11" s="916" t="s">
        <v>123</v>
      </c>
    </row>
    <row r="12" spans="1:4" ht="39" thickTop="1">
      <c r="A12" s="1749" t="s">
        <v>705</v>
      </c>
      <c r="B12" s="1663" t="s">
        <v>125</v>
      </c>
      <c r="C12" s="1750" t="s">
        <v>706</v>
      </c>
      <c r="D12" s="1751" t="s">
        <v>707</v>
      </c>
    </row>
    <row r="13" spans="1:4" ht="12" customHeight="1">
      <c r="A13" s="1667">
        <v>1</v>
      </c>
      <c r="B13" s="1752">
        <v>2</v>
      </c>
      <c r="C13" s="1753">
        <v>3</v>
      </c>
      <c r="D13" s="1754">
        <v>4</v>
      </c>
    </row>
    <row r="14" spans="1:4" s="1504" customFormat="1" ht="24.75" customHeight="1" thickBot="1">
      <c r="A14" s="1767" t="s">
        <v>200</v>
      </c>
      <c r="B14" s="1768" t="s">
        <v>708</v>
      </c>
      <c r="C14" s="1769">
        <v>0</v>
      </c>
      <c r="D14" s="1770">
        <v>3300</v>
      </c>
    </row>
    <row r="15" spans="1:5" ht="27" customHeight="1" thickBot="1" thickTop="1">
      <c r="A15" s="1231" t="s">
        <v>207</v>
      </c>
      <c r="B15" s="1759" t="s">
        <v>666</v>
      </c>
      <c r="C15" s="1038">
        <f>SUM(C16:C17)</f>
        <v>339700</v>
      </c>
      <c r="D15" s="1040">
        <f>SUM(D16:D17)</f>
        <v>354400</v>
      </c>
      <c r="E15" s="1760"/>
    </row>
    <row r="16" spans="1:4" ht="17.25" customHeight="1" thickTop="1">
      <c r="A16" s="1761" t="s">
        <v>718</v>
      </c>
      <c r="B16" s="1762" t="s">
        <v>719</v>
      </c>
      <c r="C16" s="1247">
        <v>332300</v>
      </c>
      <c r="D16" s="1248">
        <v>352400</v>
      </c>
    </row>
    <row r="17" spans="1:4" ht="26.25" thickBot="1">
      <c r="A17" s="1761" t="s">
        <v>710</v>
      </c>
      <c r="B17" s="1741" t="s">
        <v>711</v>
      </c>
      <c r="C17" s="1247">
        <v>7400</v>
      </c>
      <c r="D17" s="1248">
        <v>2000</v>
      </c>
    </row>
    <row r="18" spans="1:4" ht="27" customHeight="1" thickBot="1" thickTop="1">
      <c r="A18" s="1742" t="s">
        <v>212</v>
      </c>
      <c r="B18" s="1763" t="s">
        <v>677</v>
      </c>
      <c r="C18" s="1038">
        <f>SUM(C19:C25)</f>
        <v>336400</v>
      </c>
      <c r="D18" s="1040">
        <f>SUM(D19:D25)</f>
        <v>353500</v>
      </c>
    </row>
    <row r="19" spans="1:4" ht="17.25" customHeight="1" thickTop="1">
      <c r="A19" s="1640">
        <v>3110</v>
      </c>
      <c r="B19" s="1762" t="s">
        <v>449</v>
      </c>
      <c r="C19" s="1247">
        <v>500</v>
      </c>
      <c r="D19" s="1248">
        <v>500</v>
      </c>
    </row>
    <row r="20" spans="1:4" ht="17.25" customHeight="1">
      <c r="A20" s="1640">
        <v>4210</v>
      </c>
      <c r="B20" s="1741" t="s">
        <v>436</v>
      </c>
      <c r="C20" s="1247">
        <v>4800</v>
      </c>
      <c r="D20" s="1248">
        <v>4500</v>
      </c>
    </row>
    <row r="21" spans="1:4" ht="17.25" customHeight="1">
      <c r="A21" s="1640">
        <v>4220</v>
      </c>
      <c r="B21" s="1741" t="s">
        <v>722</v>
      </c>
      <c r="C21" s="1247">
        <v>265600</v>
      </c>
      <c r="D21" s="1248">
        <v>347200</v>
      </c>
    </row>
    <row r="22" spans="1:4" ht="17.25" customHeight="1">
      <c r="A22" s="1640">
        <v>4240</v>
      </c>
      <c r="B22" s="1741" t="s">
        <v>506</v>
      </c>
      <c r="C22" s="1247">
        <v>1000</v>
      </c>
      <c r="D22" s="1248">
        <v>300</v>
      </c>
    </row>
    <row r="23" spans="1:4" ht="17.25" customHeight="1">
      <c r="A23" s="1640">
        <v>4270</v>
      </c>
      <c r="B23" s="1741" t="s">
        <v>469</v>
      </c>
      <c r="C23" s="1247">
        <v>500</v>
      </c>
      <c r="D23" s="1248">
        <v>0</v>
      </c>
    </row>
    <row r="24" spans="1:4" ht="17.25" customHeight="1">
      <c r="A24" s="1640">
        <v>4300</v>
      </c>
      <c r="B24" s="1741" t="s">
        <v>458</v>
      </c>
      <c r="C24" s="1247">
        <v>4000</v>
      </c>
      <c r="D24" s="1248">
        <v>1000</v>
      </c>
    </row>
    <row r="25" spans="1:4" ht="17.25" customHeight="1" thickBot="1">
      <c r="A25" s="1640">
        <v>6050</v>
      </c>
      <c r="B25" s="1741" t="s">
        <v>636</v>
      </c>
      <c r="C25" s="1247">
        <v>60000</v>
      </c>
      <c r="D25" s="1248">
        <v>0</v>
      </c>
    </row>
    <row r="26" spans="1:4" s="1504" customFormat="1" ht="33" thickBot="1" thickTop="1">
      <c r="A26" s="1231" t="s">
        <v>219</v>
      </c>
      <c r="B26" s="1765" t="s">
        <v>712</v>
      </c>
      <c r="C26" s="1038">
        <f>C14+C15-C18</f>
        <v>3300</v>
      </c>
      <c r="D26" s="1040">
        <f>D14+D15-D18</f>
        <v>4200</v>
      </c>
    </row>
    <row r="27" ht="13.5" thickTop="1">
      <c r="B27" s="91"/>
    </row>
    <row r="28" ht="12.75">
      <c r="B28" s="9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3">
      <selection activeCell="C6" sqref="C6"/>
    </sheetView>
  </sheetViews>
  <sheetFormatPr defaultColWidth="9.00390625" defaultRowHeight="12.75"/>
  <cols>
    <col min="1" max="1" width="3.75390625" style="346" customWidth="1"/>
    <col min="2" max="2" width="35.875" style="94" customWidth="1"/>
    <col min="3" max="3" width="12.375" style="94" customWidth="1"/>
    <col min="4" max="4" width="5.00390625" style="95" hidden="1" customWidth="1"/>
    <col min="5" max="5" width="6.375" style="94" hidden="1" customWidth="1"/>
    <col min="6" max="6" width="0.12890625" style="94" hidden="1" customWidth="1"/>
    <col min="7" max="7" width="5.75390625" style="96" customWidth="1"/>
    <col min="8" max="8" width="12.25390625" style="94" customWidth="1"/>
    <col min="9" max="9" width="6.25390625" style="95" hidden="1" customWidth="1"/>
    <col min="10" max="10" width="6.125" style="95" hidden="1" customWidth="1"/>
    <col min="11" max="11" width="4.875" style="97" customWidth="1"/>
    <col min="12" max="12" width="7.875" style="94" hidden="1" customWidth="1"/>
    <col min="13" max="13" width="11.875" style="94" customWidth="1"/>
    <col min="14" max="14" width="0.2421875" style="95" hidden="1" customWidth="1"/>
    <col min="15" max="15" width="5.875" style="99" hidden="1" customWidth="1"/>
    <col min="16" max="16" width="4.75390625" style="96" customWidth="1"/>
    <col min="17" max="16384" width="10.00390625" style="94" customWidth="1"/>
  </cols>
  <sheetData>
    <row r="1" spans="1:12" ht="1.5" customHeight="1" hidden="1">
      <c r="A1" s="92"/>
      <c r="B1" s="93"/>
      <c r="L1" s="98"/>
    </row>
    <row r="2" spans="1:12" ht="0.75" customHeight="1" hidden="1">
      <c r="A2" s="100"/>
      <c r="B2" s="98"/>
      <c r="L2" s="98"/>
    </row>
    <row r="3" spans="1:16" ht="10.5" customHeight="1">
      <c r="A3" s="100"/>
      <c r="B3" s="98"/>
      <c r="H3" s="101"/>
      <c r="I3" s="102"/>
      <c r="J3" s="102"/>
      <c r="K3" s="103" t="s">
        <v>182</v>
      </c>
      <c r="L3" s="104"/>
      <c r="M3" s="105"/>
      <c r="N3" s="102"/>
      <c r="O3" s="106" t="s">
        <v>183</v>
      </c>
      <c r="P3" s="103"/>
    </row>
    <row r="4" spans="1:16" ht="10.5" customHeight="1">
      <c r="A4" s="100"/>
      <c r="B4" s="98"/>
      <c r="H4" s="101"/>
      <c r="I4" s="102"/>
      <c r="J4" s="102"/>
      <c r="K4" s="103" t="s">
        <v>118</v>
      </c>
      <c r="L4" s="104"/>
      <c r="M4" s="105"/>
      <c r="N4" s="102"/>
      <c r="O4" s="106"/>
      <c r="P4" s="103"/>
    </row>
    <row r="5" spans="1:16" ht="10.5" customHeight="1">
      <c r="A5" s="100"/>
      <c r="B5" s="98"/>
      <c r="H5" s="101"/>
      <c r="I5" s="102"/>
      <c r="J5" s="102"/>
      <c r="K5" s="107" t="s">
        <v>119</v>
      </c>
      <c r="L5" s="104"/>
      <c r="M5" s="105"/>
      <c r="N5" s="102"/>
      <c r="O5" s="106"/>
      <c r="P5" s="103"/>
    </row>
    <row r="6" spans="1:12" ht="10.5" customHeight="1">
      <c r="A6" s="100"/>
      <c r="B6" s="98"/>
      <c r="H6" s="108"/>
      <c r="K6" s="103" t="s">
        <v>120</v>
      </c>
      <c r="L6" s="98"/>
    </row>
    <row r="7" spans="1:16" s="119" customFormat="1" ht="29.25" customHeight="1">
      <c r="A7" s="109" t="s">
        <v>184</v>
      </c>
      <c r="B7" s="110"/>
      <c r="C7" s="110"/>
      <c r="D7" s="111"/>
      <c r="E7" s="110"/>
      <c r="F7" s="110"/>
      <c r="G7" s="112"/>
      <c r="H7" s="110"/>
      <c r="I7" s="111"/>
      <c r="J7" s="111"/>
      <c r="K7" s="113"/>
      <c r="L7" s="114"/>
      <c r="M7" s="115"/>
      <c r="N7" s="116"/>
      <c r="O7" s="117"/>
      <c r="P7" s="118"/>
    </row>
    <row r="8" spans="1:16" ht="21.75" customHeight="1" thickBot="1">
      <c r="A8" s="120" t="s">
        <v>185</v>
      </c>
      <c r="C8" s="121"/>
      <c r="D8" s="122"/>
      <c r="E8" s="123"/>
      <c r="F8" s="123"/>
      <c r="G8" s="124"/>
      <c r="H8" s="121"/>
      <c r="I8" s="125"/>
      <c r="J8" s="125"/>
      <c r="K8" s="126"/>
      <c r="L8" s="127"/>
      <c r="M8" s="127" t="s">
        <v>123</v>
      </c>
      <c r="N8" s="128"/>
      <c r="O8" s="129"/>
      <c r="P8" s="130"/>
    </row>
    <row r="9" spans="1:16" s="146" customFormat="1" ht="21" customHeight="1" thickBot="1" thickTop="1">
      <c r="A9" s="131"/>
      <c r="B9" s="132"/>
      <c r="C9" s="133" t="s">
        <v>186</v>
      </c>
      <c r="D9" s="134"/>
      <c r="E9" s="135"/>
      <c r="F9" s="136"/>
      <c r="G9" s="137"/>
      <c r="H9" s="138" t="s">
        <v>187</v>
      </c>
      <c r="I9" s="139"/>
      <c r="J9" s="140"/>
      <c r="K9" s="141"/>
      <c r="L9" s="142" t="s">
        <v>188</v>
      </c>
      <c r="M9" s="142" t="s">
        <v>188</v>
      </c>
      <c r="N9" s="143"/>
      <c r="O9" s="144"/>
      <c r="P9" s="145"/>
    </row>
    <row r="10" spans="1:16" s="160" customFormat="1" ht="29.25" customHeight="1" thickBot="1" thickTop="1">
      <c r="A10" s="147" t="s">
        <v>189</v>
      </c>
      <c r="B10" s="148" t="s">
        <v>125</v>
      </c>
      <c r="C10" s="149" t="s">
        <v>190</v>
      </c>
      <c r="D10" s="150" t="s">
        <v>191</v>
      </c>
      <c r="E10" s="151" t="s">
        <v>192</v>
      </c>
      <c r="F10" s="152" t="s">
        <v>193</v>
      </c>
      <c r="G10" s="153" t="s">
        <v>194</v>
      </c>
      <c r="H10" s="154" t="s">
        <v>190</v>
      </c>
      <c r="I10" s="155" t="s">
        <v>195</v>
      </c>
      <c r="J10" s="156" t="s">
        <v>193</v>
      </c>
      <c r="K10" s="157" t="s">
        <v>194</v>
      </c>
      <c r="L10" s="158" t="s">
        <v>196</v>
      </c>
      <c r="M10" s="154" t="s">
        <v>190</v>
      </c>
      <c r="N10" s="159" t="s">
        <v>197</v>
      </c>
      <c r="O10" s="156" t="s">
        <v>193</v>
      </c>
      <c r="P10" s="157" t="s">
        <v>194</v>
      </c>
    </row>
    <row r="11" spans="1:17" s="172" customFormat="1" ht="10.5" customHeight="1" thickBot="1" thickTop="1">
      <c r="A11" s="161">
        <v>1</v>
      </c>
      <c r="B11" s="162">
        <v>2</v>
      </c>
      <c r="C11" s="163">
        <v>3</v>
      </c>
      <c r="D11" s="163">
        <v>5</v>
      </c>
      <c r="E11" s="164">
        <v>6</v>
      </c>
      <c r="F11" s="165">
        <v>5</v>
      </c>
      <c r="G11" s="166">
        <v>4</v>
      </c>
      <c r="H11" s="167">
        <v>5</v>
      </c>
      <c r="I11" s="164">
        <v>9</v>
      </c>
      <c r="J11" s="168">
        <v>9</v>
      </c>
      <c r="K11" s="169">
        <v>6</v>
      </c>
      <c r="L11" s="163">
        <v>11</v>
      </c>
      <c r="M11" s="163">
        <v>7</v>
      </c>
      <c r="N11" s="170">
        <v>12</v>
      </c>
      <c r="O11" s="168">
        <v>13</v>
      </c>
      <c r="P11" s="169">
        <v>8</v>
      </c>
      <c r="Q11" s="171"/>
    </row>
    <row r="12" spans="1:16" s="185" customFormat="1" ht="27" customHeight="1" thickBot="1" thickTop="1">
      <c r="A12" s="173" t="s">
        <v>198</v>
      </c>
      <c r="B12" s="174" t="s">
        <v>199</v>
      </c>
      <c r="C12" s="175">
        <f aca="true" t="shared" si="0" ref="C12:C35">H12+M12</f>
        <v>137220732</v>
      </c>
      <c r="D12" s="176"/>
      <c r="E12" s="177"/>
      <c r="F12" s="178" t="e">
        <f>C12/#REF!*100</f>
        <v>#REF!</v>
      </c>
      <c r="G12" s="179">
        <f>K12+P12</f>
        <v>51.38802886863847</v>
      </c>
      <c r="H12" s="175">
        <f>H13+H19+H23+H29+H32</f>
        <v>118022157</v>
      </c>
      <c r="I12" s="180"/>
      <c r="J12" s="178" t="e">
        <f>H12/#REF!*100</f>
        <v>#REF!</v>
      </c>
      <c r="K12" s="181">
        <f>H12/$C$41*100</f>
        <v>44.198321366300405</v>
      </c>
      <c r="L12" s="182" t="e">
        <f>L13+L19+L23+#REF!</f>
        <v>#REF!</v>
      </c>
      <c r="M12" s="175">
        <f>M13+M19+M23+M29+M32</f>
        <v>19198575</v>
      </c>
      <c r="N12" s="183"/>
      <c r="O12" s="184" t="e">
        <f>M12/L12*100</f>
        <v>#REF!</v>
      </c>
      <c r="P12" s="179">
        <f>M12/$C$41*100</f>
        <v>7.189707502338064</v>
      </c>
    </row>
    <row r="13" spans="1:16" s="197" customFormat="1" ht="18" customHeight="1" thickTop="1">
      <c r="A13" s="186" t="s">
        <v>200</v>
      </c>
      <c r="B13" s="187" t="s">
        <v>201</v>
      </c>
      <c r="C13" s="188">
        <f t="shared" si="0"/>
        <v>33992520</v>
      </c>
      <c r="D13" s="189"/>
      <c r="E13" s="190"/>
      <c r="F13" s="191" t="e">
        <f>C13/#REF!*100</f>
        <v>#REF!</v>
      </c>
      <c r="G13" s="181">
        <f>K13+P13</f>
        <v>12.729917510407763</v>
      </c>
      <c r="H13" s="188">
        <f>SUM(H14:H18)</f>
        <v>33992520</v>
      </c>
      <c r="I13" s="192"/>
      <c r="J13" s="193" t="e">
        <f>H13/#REF!*100</f>
        <v>#REF!</v>
      </c>
      <c r="K13" s="181">
        <f>H13/$C$41*100</f>
        <v>12.729917510407763</v>
      </c>
      <c r="L13" s="194">
        <f>SUM(L14:L17)</f>
        <v>0</v>
      </c>
      <c r="M13" s="195"/>
      <c r="N13" s="196"/>
      <c r="O13" s="193"/>
      <c r="P13" s="181"/>
    </row>
    <row r="14" spans="1:16" s="206" customFormat="1" ht="14.25" customHeight="1">
      <c r="A14" s="198">
        <v>1</v>
      </c>
      <c r="B14" s="199" t="s">
        <v>202</v>
      </c>
      <c r="C14" s="200">
        <f t="shared" si="0"/>
        <v>31132100</v>
      </c>
      <c r="D14" s="201"/>
      <c r="E14" s="202"/>
      <c r="F14" s="201" t="e">
        <f>C14/#REF!*100</f>
        <v>#REF!</v>
      </c>
      <c r="G14" s="203"/>
      <c r="H14" s="204">
        <f>24453000+6679100</f>
        <v>31132100</v>
      </c>
      <c r="I14" s="201"/>
      <c r="J14" s="201" t="e">
        <f>H14/#REF!*100</f>
        <v>#REF!</v>
      </c>
      <c r="K14" s="203"/>
      <c r="L14" s="202"/>
      <c r="M14" s="204"/>
      <c r="N14" s="201"/>
      <c r="O14" s="201"/>
      <c r="P14" s="205"/>
    </row>
    <row r="15" spans="1:16" s="206" customFormat="1" ht="17.25" customHeight="1">
      <c r="A15" s="198">
        <v>2</v>
      </c>
      <c r="B15" s="199" t="s">
        <v>203</v>
      </c>
      <c r="C15" s="200">
        <f t="shared" si="0"/>
        <v>480420</v>
      </c>
      <c r="D15" s="201"/>
      <c r="E15" s="202"/>
      <c r="F15" s="201" t="e">
        <f>C15/#REF!*100</f>
        <v>#REF!</v>
      </c>
      <c r="G15" s="203"/>
      <c r="H15" s="204">
        <f>17390+35430+427360+240</f>
        <v>480420</v>
      </c>
      <c r="I15" s="201"/>
      <c r="J15" s="201" t="e">
        <f>H15/#REF!*100</f>
        <v>#REF!</v>
      </c>
      <c r="K15" s="203"/>
      <c r="L15" s="202"/>
      <c r="M15" s="204"/>
      <c r="N15" s="201"/>
      <c r="O15" s="201"/>
      <c r="P15" s="205"/>
    </row>
    <row r="16" spans="1:16" s="206" customFormat="1" ht="14.25" customHeight="1">
      <c r="A16" s="198">
        <v>3</v>
      </c>
      <c r="B16" s="199" t="s">
        <v>204</v>
      </c>
      <c r="C16" s="200">
        <f t="shared" si="0"/>
        <v>1540000</v>
      </c>
      <c r="D16" s="201"/>
      <c r="E16" s="202"/>
      <c r="F16" s="201" t="e">
        <f>C16/#REF!*100</f>
        <v>#REF!</v>
      </c>
      <c r="G16" s="203"/>
      <c r="H16" s="204">
        <f>930000+610000</f>
        <v>1540000</v>
      </c>
      <c r="I16" s="201"/>
      <c r="J16" s="201" t="e">
        <f>H16/#REF!*100</f>
        <v>#REF!</v>
      </c>
      <c r="K16" s="203"/>
      <c r="L16" s="202"/>
      <c r="M16" s="204"/>
      <c r="N16" s="201"/>
      <c r="O16" s="201"/>
      <c r="P16" s="205"/>
    </row>
    <row r="17" spans="1:16" s="206" customFormat="1" ht="15" customHeight="1">
      <c r="A17" s="198">
        <v>4</v>
      </c>
      <c r="B17" s="199" t="s">
        <v>205</v>
      </c>
      <c r="C17" s="200">
        <f t="shared" si="0"/>
        <v>720000</v>
      </c>
      <c r="D17" s="201"/>
      <c r="E17" s="202"/>
      <c r="F17" s="201" t="e">
        <f>C17/#REF!*100</f>
        <v>#REF!</v>
      </c>
      <c r="G17" s="203"/>
      <c r="H17" s="204">
        <f>520000+200000</f>
        <v>720000</v>
      </c>
      <c r="I17" s="201"/>
      <c r="J17" s="201" t="e">
        <f>H17/#REF!*100</f>
        <v>#REF!</v>
      </c>
      <c r="K17" s="203"/>
      <c r="L17" s="202"/>
      <c r="M17" s="204"/>
      <c r="N17" s="201"/>
      <c r="O17" s="201"/>
      <c r="P17" s="205"/>
    </row>
    <row r="18" spans="1:16" s="206" customFormat="1" ht="16.5" customHeight="1">
      <c r="A18" s="207">
        <v>5</v>
      </c>
      <c r="B18" s="199" t="s">
        <v>206</v>
      </c>
      <c r="C18" s="208">
        <f t="shared" si="0"/>
        <v>120000</v>
      </c>
      <c r="D18" s="201"/>
      <c r="E18" s="202"/>
      <c r="F18" s="201" t="e">
        <f>C18/#REF!*100</f>
        <v>#REF!</v>
      </c>
      <c r="G18" s="209"/>
      <c r="H18" s="210">
        <v>120000</v>
      </c>
      <c r="I18" s="201"/>
      <c r="J18" s="201" t="e">
        <f>H18/#REF!*100</f>
        <v>#REF!</v>
      </c>
      <c r="K18" s="209"/>
      <c r="L18" s="202"/>
      <c r="M18" s="210"/>
      <c r="N18" s="201"/>
      <c r="O18" s="201"/>
      <c r="P18" s="211"/>
    </row>
    <row r="19" spans="1:16" s="197" customFormat="1" ht="25.5" customHeight="1">
      <c r="A19" s="212" t="s">
        <v>207</v>
      </c>
      <c r="B19" s="213" t="s">
        <v>208</v>
      </c>
      <c r="C19" s="214">
        <f>H19+M19</f>
        <v>3720000</v>
      </c>
      <c r="D19" s="215"/>
      <c r="E19" s="216"/>
      <c r="F19" s="217" t="e">
        <f>C19/#REF!*100</f>
        <v>#REF!</v>
      </c>
      <c r="G19" s="218">
        <f>K19+P19</f>
        <v>1.3931092234031746</v>
      </c>
      <c r="H19" s="214">
        <f>SUM(H20:H22)</f>
        <v>3720000</v>
      </c>
      <c r="I19" s="219"/>
      <c r="J19" s="220" t="e">
        <f>H19/#REF!*100</f>
        <v>#REF!</v>
      </c>
      <c r="K19" s="218">
        <f>H19/$C$41*100</f>
        <v>1.3931092234031746</v>
      </c>
      <c r="L19" s="221">
        <f>SUM(L20:L21)</f>
        <v>0</v>
      </c>
      <c r="M19" s="222"/>
      <c r="N19" s="223"/>
      <c r="O19" s="224"/>
      <c r="P19" s="225"/>
    </row>
    <row r="20" spans="1:16" s="206" customFormat="1" ht="12.75" customHeight="1">
      <c r="A20" s="198">
        <v>1</v>
      </c>
      <c r="B20" s="199" t="s">
        <v>209</v>
      </c>
      <c r="C20" s="226">
        <f t="shared" si="0"/>
        <v>350000</v>
      </c>
      <c r="D20" s="227"/>
      <c r="E20" s="228"/>
      <c r="F20" s="229" t="e">
        <f>C20/#REF!*100</f>
        <v>#REF!</v>
      </c>
      <c r="G20" s="203"/>
      <c r="H20" s="226">
        <v>350000</v>
      </c>
      <c r="I20" s="230"/>
      <c r="J20" s="231" t="e">
        <f>H20/#REF!*100</f>
        <v>#REF!</v>
      </c>
      <c r="K20" s="203"/>
      <c r="L20" s="232"/>
      <c r="M20" s="233"/>
      <c r="N20" s="234"/>
      <c r="O20" s="231"/>
      <c r="P20" s="205"/>
    </row>
    <row r="21" spans="1:16" s="206" customFormat="1" ht="12.75" customHeight="1">
      <c r="A21" s="198">
        <v>2</v>
      </c>
      <c r="B21" s="199" t="s">
        <v>210</v>
      </c>
      <c r="C21" s="226">
        <f t="shared" si="0"/>
        <v>620000</v>
      </c>
      <c r="D21" s="227"/>
      <c r="E21" s="228"/>
      <c r="F21" s="229" t="e">
        <f>C21/#REF!*100</f>
        <v>#REF!</v>
      </c>
      <c r="G21" s="203"/>
      <c r="H21" s="226">
        <v>620000</v>
      </c>
      <c r="I21" s="230"/>
      <c r="J21" s="231" t="e">
        <f>H21/#REF!*100</f>
        <v>#REF!</v>
      </c>
      <c r="K21" s="203"/>
      <c r="L21" s="232"/>
      <c r="M21" s="233"/>
      <c r="N21" s="234"/>
      <c r="O21" s="231"/>
      <c r="P21" s="205"/>
    </row>
    <row r="22" spans="1:16" s="206" customFormat="1" ht="15" customHeight="1">
      <c r="A22" s="198">
        <v>3</v>
      </c>
      <c r="B22" s="199" t="s">
        <v>211</v>
      </c>
      <c r="C22" s="226">
        <f t="shared" si="0"/>
        <v>2750000</v>
      </c>
      <c r="D22" s="227"/>
      <c r="E22" s="228"/>
      <c r="F22" s="229"/>
      <c r="G22" s="203"/>
      <c r="H22" s="226">
        <f>250000+2500000</f>
        <v>2750000</v>
      </c>
      <c r="I22" s="230"/>
      <c r="J22" s="231"/>
      <c r="K22" s="203"/>
      <c r="L22" s="232"/>
      <c r="M22" s="233"/>
      <c r="N22" s="234"/>
      <c r="O22" s="231"/>
      <c r="P22" s="205"/>
    </row>
    <row r="23" spans="1:17" s="238" customFormat="1" ht="16.5" customHeight="1">
      <c r="A23" s="212" t="s">
        <v>212</v>
      </c>
      <c r="B23" s="213" t="s">
        <v>213</v>
      </c>
      <c r="C23" s="214">
        <f>H23+M23</f>
        <v>15887000</v>
      </c>
      <c r="D23" s="215"/>
      <c r="E23" s="216"/>
      <c r="F23" s="217" t="e">
        <f>C23/#REF!*100</f>
        <v>#REF!</v>
      </c>
      <c r="G23" s="218">
        <f>K23+P23</f>
        <v>5.9495500624210305</v>
      </c>
      <c r="H23" s="214">
        <f>SUM(H24:H28)</f>
        <v>15887000</v>
      </c>
      <c r="I23" s="235"/>
      <c r="J23" s="224" t="e">
        <f>H23/#REF!*100</f>
        <v>#REF!</v>
      </c>
      <c r="K23" s="218">
        <f>H23/$C$41*100</f>
        <v>5.9495500624210305</v>
      </c>
      <c r="L23" s="236">
        <f>SUM(L24:L28)</f>
        <v>1000</v>
      </c>
      <c r="M23" s="237"/>
      <c r="N23" s="223"/>
      <c r="O23" s="224">
        <f>M23/L23*100</f>
        <v>0</v>
      </c>
      <c r="P23" s="218"/>
      <c r="Q23" s="197"/>
    </row>
    <row r="24" spans="1:16" s="206" customFormat="1" ht="15.75" customHeight="1">
      <c r="A24" s="198">
        <v>1</v>
      </c>
      <c r="B24" s="199" t="s">
        <v>214</v>
      </c>
      <c r="C24" s="226">
        <f t="shared" si="0"/>
        <v>7900000</v>
      </c>
      <c r="D24" s="227"/>
      <c r="E24" s="228"/>
      <c r="F24" s="229" t="e">
        <f>C24/#REF!*100</f>
        <v>#REF!</v>
      </c>
      <c r="G24" s="239"/>
      <c r="H24" s="240">
        <v>7900000</v>
      </c>
      <c r="I24" s="241"/>
      <c r="J24" s="242" t="e">
        <f>H24/#REF!*100</f>
        <v>#REF!</v>
      </c>
      <c r="K24" s="239"/>
      <c r="L24" s="243"/>
      <c r="M24" s="244"/>
      <c r="N24" s="245"/>
      <c r="O24" s="242"/>
      <c r="P24" s="246"/>
    </row>
    <row r="25" spans="1:16" s="247" customFormat="1" ht="12.75" customHeight="1">
      <c r="A25" s="198">
        <v>2</v>
      </c>
      <c r="B25" s="199" t="s">
        <v>215</v>
      </c>
      <c r="C25" s="226">
        <f t="shared" si="0"/>
        <v>4677000</v>
      </c>
      <c r="D25" s="227"/>
      <c r="E25" s="228"/>
      <c r="F25" s="229" t="e">
        <f>C25/#REF!*100</f>
        <v>#REF!</v>
      </c>
      <c r="G25" s="203"/>
      <c r="H25" s="226">
        <v>4677000</v>
      </c>
      <c r="I25" s="230"/>
      <c r="J25" s="231" t="e">
        <f>H25/#REF!*100</f>
        <v>#REF!</v>
      </c>
      <c r="K25" s="203"/>
      <c r="L25" s="232"/>
      <c r="M25" s="233"/>
      <c r="N25" s="234"/>
      <c r="O25" s="231"/>
      <c r="P25" s="205"/>
    </row>
    <row r="26" spans="1:16" s="247" customFormat="1" ht="14.25" customHeight="1">
      <c r="A26" s="198">
        <v>3</v>
      </c>
      <c r="B26" s="199" t="s">
        <v>216</v>
      </c>
      <c r="C26" s="226">
        <f t="shared" si="0"/>
        <v>2000000</v>
      </c>
      <c r="D26" s="227"/>
      <c r="E26" s="228"/>
      <c r="F26" s="229" t="e">
        <f>C26/#REF!*100</f>
        <v>#REF!</v>
      </c>
      <c r="G26" s="203"/>
      <c r="H26" s="226">
        <v>2000000</v>
      </c>
      <c r="I26" s="230"/>
      <c r="J26" s="231" t="e">
        <f>H26/#REF!*100</f>
        <v>#REF!</v>
      </c>
      <c r="K26" s="203"/>
      <c r="L26" s="232"/>
      <c r="M26" s="233"/>
      <c r="N26" s="234"/>
      <c r="O26" s="231"/>
      <c r="P26" s="205"/>
    </row>
    <row r="27" spans="1:16" s="247" customFormat="1" ht="12" customHeight="1">
      <c r="A27" s="198">
        <v>4</v>
      </c>
      <c r="B27" s="199" t="s">
        <v>217</v>
      </c>
      <c r="C27" s="226">
        <f t="shared" si="0"/>
        <v>750000</v>
      </c>
      <c r="D27" s="227"/>
      <c r="E27" s="228"/>
      <c r="F27" s="229" t="e">
        <f>C27/#REF!*100</f>
        <v>#REF!</v>
      </c>
      <c r="G27" s="203"/>
      <c r="H27" s="226">
        <v>750000</v>
      </c>
      <c r="I27" s="230"/>
      <c r="J27" s="231" t="e">
        <f>H27/#REF!*100</f>
        <v>#REF!</v>
      </c>
      <c r="K27" s="203"/>
      <c r="L27" s="232"/>
      <c r="M27" s="233"/>
      <c r="N27" s="234"/>
      <c r="O27" s="231"/>
      <c r="P27" s="205"/>
    </row>
    <row r="28" spans="1:17" s="247" customFormat="1" ht="12.75" customHeight="1">
      <c r="A28" s="207">
        <v>5</v>
      </c>
      <c r="B28" s="248" t="s">
        <v>218</v>
      </c>
      <c r="C28" s="249">
        <f t="shared" si="0"/>
        <v>560000</v>
      </c>
      <c r="D28" s="250"/>
      <c r="E28" s="251"/>
      <c r="F28" s="229" t="e">
        <f>C28/#REF!*100</f>
        <v>#REF!</v>
      </c>
      <c r="G28" s="209"/>
      <c r="H28" s="249">
        <f>100000+460000</f>
        <v>560000</v>
      </c>
      <c r="I28" s="252"/>
      <c r="J28" s="253" t="e">
        <f>H28/#REF!*100</f>
        <v>#REF!</v>
      </c>
      <c r="K28" s="209"/>
      <c r="L28" s="254">
        <v>1000</v>
      </c>
      <c r="M28" s="255"/>
      <c r="N28" s="256"/>
      <c r="O28" s="253">
        <f>M28/L28*100</f>
        <v>0</v>
      </c>
      <c r="P28" s="209"/>
      <c r="Q28" s="206"/>
    </row>
    <row r="29" spans="1:16" s="238" customFormat="1" ht="21.75" customHeight="1">
      <c r="A29" s="212" t="s">
        <v>219</v>
      </c>
      <c r="B29" s="257" t="s">
        <v>220</v>
      </c>
      <c r="C29" s="258">
        <f t="shared" si="0"/>
        <v>71745992</v>
      </c>
      <c r="D29" s="215"/>
      <c r="E29" s="216"/>
      <c r="F29" s="217" t="e">
        <f>C29/#REF!*100</f>
        <v>#REF!</v>
      </c>
      <c r="G29" s="218">
        <f>K29+P29</f>
        <v>26.86828042941139</v>
      </c>
      <c r="H29" s="259">
        <f>SUM(H30:H31)</f>
        <v>56007217</v>
      </c>
      <c r="I29" s="260"/>
      <c r="J29" s="261" t="e">
        <f>H29/#REF!*100</f>
        <v>#REF!</v>
      </c>
      <c r="K29" s="218">
        <f>H29/$C$41*100</f>
        <v>20.97423940318362</v>
      </c>
      <c r="L29" s="262" t="e">
        <f>L31+#REF!</f>
        <v>#REF!</v>
      </c>
      <c r="M29" s="237">
        <f>SUM(M30:M31)</f>
        <v>15738775</v>
      </c>
      <c r="N29" s="263"/>
      <c r="O29" s="224" t="e">
        <f>M29/L29*100</f>
        <v>#REF!</v>
      </c>
      <c r="P29" s="218">
        <f>M29/$C$41*100</f>
        <v>5.894041026227768</v>
      </c>
    </row>
    <row r="30" spans="1:16" s="270" customFormat="1" ht="16.5" customHeight="1">
      <c r="A30" s="198">
        <v>1</v>
      </c>
      <c r="B30" s="199" t="s">
        <v>221</v>
      </c>
      <c r="C30" s="264">
        <f t="shared" si="0"/>
        <v>68685992</v>
      </c>
      <c r="D30" s="265"/>
      <c r="E30" s="266"/>
      <c r="F30" s="267"/>
      <c r="G30" s="239"/>
      <c r="H30" s="240">
        <v>53447217</v>
      </c>
      <c r="I30" s="268"/>
      <c r="J30" s="267"/>
      <c r="K30" s="239"/>
      <c r="L30" s="269"/>
      <c r="M30" s="244">
        <v>15238775</v>
      </c>
      <c r="N30" s="245"/>
      <c r="O30" s="242" t="e">
        <f>#REF!/#REF!*100</f>
        <v>#REF!</v>
      </c>
      <c r="P30" s="239"/>
    </row>
    <row r="31" spans="1:16" s="206" customFormat="1" ht="14.25" customHeight="1">
      <c r="A31" s="198">
        <v>2</v>
      </c>
      <c r="B31" s="199" t="s">
        <v>222</v>
      </c>
      <c r="C31" s="271">
        <f t="shared" si="0"/>
        <v>3060000</v>
      </c>
      <c r="D31" s="227"/>
      <c r="E31" s="228"/>
      <c r="F31" s="229"/>
      <c r="G31" s="203"/>
      <c r="H31" s="226">
        <v>2560000</v>
      </c>
      <c r="I31" s="272"/>
      <c r="J31" s="229"/>
      <c r="K31" s="203"/>
      <c r="L31" s="273"/>
      <c r="M31" s="233">
        <v>500000</v>
      </c>
      <c r="N31" s="234"/>
      <c r="O31" s="231" t="e">
        <f>M29/L29*100</f>
        <v>#REF!</v>
      </c>
      <c r="P31" s="203"/>
    </row>
    <row r="32" spans="1:17" s="278" customFormat="1" ht="17.25" customHeight="1" thickBot="1">
      <c r="A32" s="274" t="s">
        <v>223</v>
      </c>
      <c r="B32" s="275" t="s">
        <v>224</v>
      </c>
      <c r="C32" s="214">
        <f t="shared" si="0"/>
        <v>11875220</v>
      </c>
      <c r="D32" s="215"/>
      <c r="E32" s="216"/>
      <c r="F32" s="217" t="e">
        <f>C32/#REF!*100</f>
        <v>#REF!</v>
      </c>
      <c r="G32" s="218">
        <v>4.5</v>
      </c>
      <c r="H32" s="214">
        <v>8415420</v>
      </c>
      <c r="I32" s="276"/>
      <c r="J32" s="217" t="e">
        <f>H32/#REF!*100</f>
        <v>#REF!</v>
      </c>
      <c r="K32" s="218">
        <f>H32/$C$41*100</f>
        <v>3.151505166884823</v>
      </c>
      <c r="L32" s="262">
        <v>223</v>
      </c>
      <c r="M32" s="237">
        <v>3459800</v>
      </c>
      <c r="N32" s="263"/>
      <c r="O32" s="224">
        <f>M32/L32*100</f>
        <v>1551479.8206278028</v>
      </c>
      <c r="P32" s="218">
        <f>M32/$C$41*100</f>
        <v>1.2956664761102965</v>
      </c>
      <c r="Q32" s="277"/>
    </row>
    <row r="33" spans="1:16" s="291" customFormat="1" ht="25.5" customHeight="1" thickBot="1" thickTop="1">
      <c r="A33" s="279" t="s">
        <v>225</v>
      </c>
      <c r="B33" s="280" t="s">
        <v>226</v>
      </c>
      <c r="C33" s="281">
        <f t="shared" si="0"/>
        <v>75640044</v>
      </c>
      <c r="D33" s="282"/>
      <c r="E33" s="283"/>
      <c r="F33" s="284" t="e">
        <f>C33/#REF!*100</f>
        <v>#REF!</v>
      </c>
      <c r="G33" s="179">
        <f>K33+P33</f>
        <v>28.326570686833854</v>
      </c>
      <c r="H33" s="175">
        <f>SUM(H34:H35)</f>
        <v>33621192</v>
      </c>
      <c r="I33" s="285"/>
      <c r="J33" s="284" t="e">
        <f>H33/#REF!*100</f>
        <v>#REF!</v>
      </c>
      <c r="K33" s="286">
        <f>H33/$C$41*100</f>
        <v>12.590858246507802</v>
      </c>
      <c r="L33" s="287" t="e">
        <f>#REF!+#REF!+L35</f>
        <v>#REF!</v>
      </c>
      <c r="M33" s="288">
        <f>SUM(M34:M35)</f>
        <v>42018852</v>
      </c>
      <c r="N33" s="289"/>
      <c r="O33" s="290" t="e">
        <f>M33/L33*100</f>
        <v>#REF!</v>
      </c>
      <c r="P33" s="179">
        <f>M33/$C$41*100</f>
        <v>15.735712440326054</v>
      </c>
    </row>
    <row r="34" spans="1:16" s="206" customFormat="1" ht="15" customHeight="1" thickTop="1">
      <c r="A34" s="198">
        <v>1</v>
      </c>
      <c r="B34" s="199" t="s">
        <v>227</v>
      </c>
      <c r="C34" s="292">
        <f t="shared" si="0"/>
        <v>70792089</v>
      </c>
      <c r="D34" s="227"/>
      <c r="E34" s="228"/>
      <c r="F34" s="293" t="e">
        <f>C34/#REF!*100</f>
        <v>#REF!</v>
      </c>
      <c r="G34" s="203"/>
      <c r="H34" s="226">
        <v>32691315</v>
      </c>
      <c r="I34" s="272"/>
      <c r="J34" s="229" t="e">
        <f>H34/#REF!*100</f>
        <v>#REF!</v>
      </c>
      <c r="K34" s="203"/>
      <c r="L34" s="273">
        <v>19412</v>
      </c>
      <c r="M34" s="294">
        <v>38100774</v>
      </c>
      <c r="N34" s="234"/>
      <c r="O34" s="231" t="e">
        <f>#REF!/L34*100</f>
        <v>#REF!</v>
      </c>
      <c r="P34" s="203"/>
    </row>
    <row r="35" spans="1:16" s="247" customFormat="1" ht="14.25" customHeight="1" thickBot="1">
      <c r="A35" s="198">
        <v>2</v>
      </c>
      <c r="B35" s="199" t="s">
        <v>228</v>
      </c>
      <c r="C35" s="292">
        <f t="shared" si="0"/>
        <v>4847955</v>
      </c>
      <c r="D35" s="227"/>
      <c r="E35" s="228"/>
      <c r="F35" s="293" t="e">
        <f>C35/#REF!*100</f>
        <v>#REF!</v>
      </c>
      <c r="G35" s="203"/>
      <c r="H35" s="226">
        <v>929877</v>
      </c>
      <c r="I35" s="272"/>
      <c r="J35" s="229" t="e">
        <f>H35/#REF!*100</f>
        <v>#REF!</v>
      </c>
      <c r="K35" s="203"/>
      <c r="L35" s="273">
        <v>19412</v>
      </c>
      <c r="M35" s="294">
        <v>3918078</v>
      </c>
      <c r="N35" s="234"/>
      <c r="O35" s="231" t="e">
        <f>#REF!/L35*100</f>
        <v>#REF!</v>
      </c>
      <c r="P35" s="203"/>
    </row>
    <row r="36" spans="1:16" s="304" customFormat="1" ht="30" customHeight="1" thickBot="1" thickTop="1">
      <c r="A36" s="295" t="s">
        <v>229</v>
      </c>
      <c r="B36" s="296" t="s">
        <v>230</v>
      </c>
      <c r="C36" s="297">
        <f>H36+M36</f>
        <v>17180367</v>
      </c>
      <c r="D36" s="298"/>
      <c r="E36" s="299"/>
      <c r="F36" s="300"/>
      <c r="G36" s="179">
        <f>K36+P36</f>
        <v>6.433905303535356</v>
      </c>
      <c r="H36" s="175">
        <v>2142152</v>
      </c>
      <c r="I36" s="299"/>
      <c r="J36" s="300"/>
      <c r="K36" s="286">
        <f>H36/$C$41*100</f>
        <v>0.8022182013794508</v>
      </c>
      <c r="L36" s="301">
        <v>8270.5</v>
      </c>
      <c r="M36" s="288">
        <v>15038215</v>
      </c>
      <c r="N36" s="302"/>
      <c r="O36" s="303"/>
      <c r="P36" s="179">
        <f>M36/$C$41*100</f>
        <v>5.631687102155905</v>
      </c>
    </row>
    <row r="37" spans="1:16" s="291" customFormat="1" ht="21.75" customHeight="1" thickBot="1" thickTop="1">
      <c r="A37" s="305" t="s">
        <v>231</v>
      </c>
      <c r="B37" s="306" t="s">
        <v>232</v>
      </c>
      <c r="C37" s="297">
        <f>SUM(C38:C40)</f>
        <v>36987453</v>
      </c>
      <c r="D37" s="307"/>
      <c r="E37" s="299"/>
      <c r="F37" s="184"/>
      <c r="G37" s="179">
        <f>K37+P37</f>
        <v>13.943828962797678</v>
      </c>
      <c r="H37" s="308">
        <f>SUM(H38:H40)</f>
        <v>31092353</v>
      </c>
      <c r="I37" s="309"/>
      <c r="J37" s="184"/>
      <c r="K37" s="286">
        <f>H37/$C$41*100</f>
        <v>11.643828962797677</v>
      </c>
      <c r="L37" s="301"/>
      <c r="M37" s="308">
        <f>SUM(M38:M40)</f>
        <v>5895100</v>
      </c>
      <c r="N37" s="289"/>
      <c r="O37" s="290"/>
      <c r="P37" s="179">
        <v>2.3</v>
      </c>
    </row>
    <row r="38" spans="1:16" s="206" customFormat="1" ht="24" customHeight="1" thickTop="1">
      <c r="A38" s="310">
        <v>1</v>
      </c>
      <c r="B38" s="311" t="s">
        <v>233</v>
      </c>
      <c r="C38" s="292">
        <f>H38+M38</f>
        <v>3801928</v>
      </c>
      <c r="D38" s="227"/>
      <c r="E38" s="228"/>
      <c r="F38" s="229"/>
      <c r="G38" s="203"/>
      <c r="H38" s="226">
        <f>3242000+16668+543260</f>
        <v>3801928</v>
      </c>
      <c r="I38" s="272"/>
      <c r="J38" s="229"/>
      <c r="K38" s="203"/>
      <c r="L38" s="273"/>
      <c r="M38" s="226"/>
      <c r="N38" s="234"/>
      <c r="O38" s="231"/>
      <c r="P38" s="203"/>
    </row>
    <row r="39" spans="1:16" s="206" customFormat="1" ht="13.5" customHeight="1">
      <c r="A39" s="312">
        <v>2</v>
      </c>
      <c r="B39" s="313" t="s">
        <v>234</v>
      </c>
      <c r="C39" s="292">
        <f>H39+M39</f>
        <v>33177025</v>
      </c>
      <c r="D39" s="314"/>
      <c r="E39" s="228"/>
      <c r="F39" s="315"/>
      <c r="G39" s="203"/>
      <c r="H39" s="316">
        <v>27290425</v>
      </c>
      <c r="I39" s="228"/>
      <c r="J39" s="315"/>
      <c r="K39" s="203"/>
      <c r="L39" s="273">
        <v>8270.5</v>
      </c>
      <c r="M39" s="317">
        <v>5886600</v>
      </c>
      <c r="N39" s="318"/>
      <c r="O39" s="319"/>
      <c r="P39" s="203"/>
    </row>
    <row r="40" spans="1:16" s="206" customFormat="1" ht="26.25" customHeight="1" thickBot="1">
      <c r="A40" s="312">
        <v>3</v>
      </c>
      <c r="B40" s="313" t="s">
        <v>235</v>
      </c>
      <c r="C40" s="292">
        <f>H40+M40</f>
        <v>8500</v>
      </c>
      <c r="D40" s="314"/>
      <c r="E40" s="228"/>
      <c r="F40" s="315"/>
      <c r="G40" s="203"/>
      <c r="H40" s="316"/>
      <c r="I40" s="228"/>
      <c r="J40" s="315"/>
      <c r="K40" s="203"/>
      <c r="L40" s="273">
        <v>8270.5</v>
      </c>
      <c r="M40" s="317">
        <v>8500</v>
      </c>
      <c r="N40" s="318"/>
      <c r="O40" s="319"/>
      <c r="P40" s="203"/>
    </row>
    <row r="41" spans="1:17" s="291" customFormat="1" ht="25.5" customHeight="1" thickBot="1" thickTop="1">
      <c r="A41" s="320" t="s">
        <v>236</v>
      </c>
      <c r="B41" s="321"/>
      <c r="C41" s="281">
        <f>H41+M41</f>
        <v>267028596</v>
      </c>
      <c r="D41" s="322"/>
      <c r="E41" s="323"/>
      <c r="F41" s="324" t="e">
        <f>C41/#REF!*100</f>
        <v>#REF!</v>
      </c>
      <c r="G41" s="325">
        <v>100</v>
      </c>
      <c r="H41" s="326">
        <f>H37+H36+H33+H12</f>
        <v>184877854</v>
      </c>
      <c r="I41" s="322"/>
      <c r="J41" s="324" t="e">
        <f>H41/#REF!*100</f>
        <v>#REF!</v>
      </c>
      <c r="K41" s="327">
        <f>K37+K36+K33+K12</f>
        <v>69.23522677698534</v>
      </c>
      <c r="L41" s="328" t="e">
        <f>#REF!+#REF!+#REF!</f>
        <v>#REF!</v>
      </c>
      <c r="M41" s="326">
        <f>M37+M36+M33+M12</f>
        <v>82150742</v>
      </c>
      <c r="N41" s="329"/>
      <c r="O41" s="330" t="e">
        <f>M41/L41*100</f>
        <v>#REF!</v>
      </c>
      <c r="P41" s="325">
        <v>30.8</v>
      </c>
      <c r="Q41" s="331"/>
    </row>
    <row r="42" spans="1:16" s="160" customFormat="1" ht="21.75" customHeight="1" thickTop="1">
      <c r="A42" s="332"/>
      <c r="B42" s="91"/>
      <c r="D42" s="333"/>
      <c r="E42" s="333"/>
      <c r="F42" s="333"/>
      <c r="G42" s="334"/>
      <c r="H42" s="333"/>
      <c r="I42" s="333"/>
      <c r="J42" s="333"/>
      <c r="K42" s="335"/>
      <c r="L42" s="333"/>
      <c r="M42" s="333"/>
      <c r="N42" s="333"/>
      <c r="O42" s="336"/>
      <c r="P42" s="337"/>
    </row>
    <row r="43" spans="1:16" s="344" customFormat="1" ht="16.5">
      <c r="A43" s="338"/>
      <c r="B43" s="91"/>
      <c r="C43" s="339"/>
      <c r="D43" s="340"/>
      <c r="E43" s="339"/>
      <c r="F43" s="339"/>
      <c r="G43" s="341"/>
      <c r="H43" s="339"/>
      <c r="I43" s="340"/>
      <c r="J43" s="340"/>
      <c r="K43" s="342"/>
      <c r="L43" s="339"/>
      <c r="M43" s="339"/>
      <c r="N43" s="340"/>
      <c r="O43" s="343"/>
      <c r="P43" s="341"/>
    </row>
    <row r="44" spans="1:16" ht="12.75">
      <c r="A44" s="345"/>
      <c r="B44" s="339"/>
      <c r="C44" s="339"/>
      <c r="D44" s="340"/>
      <c r="E44" s="339"/>
      <c r="F44" s="339"/>
      <c r="G44" s="341"/>
      <c r="H44" s="339"/>
      <c r="I44" s="340"/>
      <c r="J44" s="340"/>
      <c r="K44" s="342"/>
      <c r="L44" s="339"/>
      <c r="M44" s="339"/>
      <c r="N44" s="340"/>
      <c r="O44" s="343"/>
      <c r="P44" s="341"/>
    </row>
    <row r="46" ht="12.75">
      <c r="C46" s="347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5" sqref="F5"/>
    </sheetView>
  </sheetViews>
  <sheetFormatPr defaultColWidth="9.00390625" defaultRowHeight="12.75"/>
  <cols>
    <col min="1" max="1" width="7.875" style="920" customWidth="1"/>
    <col min="2" max="2" width="43.00390625" style="920" customWidth="1"/>
    <col min="3" max="4" width="14.75390625" style="920" customWidth="1"/>
    <col min="5" max="5" width="12.75390625" style="920" customWidth="1"/>
    <col min="6" max="16384" width="9.125" style="920" customWidth="1"/>
  </cols>
  <sheetData>
    <row r="1" ht="12.75">
      <c r="C1" s="1649" t="s">
        <v>730</v>
      </c>
    </row>
    <row r="2" ht="12.75">
      <c r="C2" s="919" t="s">
        <v>731</v>
      </c>
    </row>
    <row r="3" ht="12.75">
      <c r="C3" s="919" t="s">
        <v>732</v>
      </c>
    </row>
    <row r="4" ht="12.75">
      <c r="C4" s="919" t="s">
        <v>733</v>
      </c>
    </row>
    <row r="5" ht="36.75" customHeight="1"/>
    <row r="6" spans="1:5" ht="18" customHeight="1">
      <c r="A6" s="2227" t="s">
        <v>734</v>
      </c>
      <c r="B6" s="2228"/>
      <c r="C6" s="2228"/>
      <c r="D6" s="2228"/>
      <c r="E6" s="2228"/>
    </row>
    <row r="7" spans="1:5" ht="18" customHeight="1">
      <c r="A7" s="2227" t="s">
        <v>735</v>
      </c>
      <c r="B7" s="2228"/>
      <c r="C7" s="2228"/>
      <c r="D7" s="2228"/>
      <c r="E7" s="2228"/>
    </row>
    <row r="8" spans="1:5" ht="18" customHeight="1">
      <c r="A8" s="1175"/>
      <c r="B8" s="1614"/>
      <c r="C8" s="1779"/>
      <c r="D8" s="1777"/>
      <c r="E8" s="1779"/>
    </row>
    <row r="9" spans="1:5" ht="18" customHeight="1" thickBot="1">
      <c r="A9" s="921"/>
      <c r="B9" s="1652"/>
      <c r="C9" s="1780"/>
      <c r="D9" s="916" t="s">
        <v>123</v>
      </c>
      <c r="E9" s="1780"/>
    </row>
    <row r="10" spans="1:4" s="1666" customFormat="1" ht="50.25" customHeight="1" thickTop="1">
      <c r="A10" s="1662" t="s">
        <v>662</v>
      </c>
      <c r="B10" s="1663" t="s">
        <v>125</v>
      </c>
      <c r="C10" s="1664" t="s">
        <v>663</v>
      </c>
      <c r="D10" s="1665" t="s">
        <v>664</v>
      </c>
    </row>
    <row r="11" spans="1:4" s="1671" customFormat="1" ht="10.5" customHeight="1">
      <c r="A11" s="1667">
        <v>1</v>
      </c>
      <c r="B11" s="1668">
        <v>2</v>
      </c>
      <c r="C11" s="1781">
        <v>3</v>
      </c>
      <c r="D11" s="1670">
        <v>4</v>
      </c>
    </row>
    <row r="12" spans="1:4" s="1615" customFormat="1" ht="23.25" customHeight="1" thickBot="1">
      <c r="A12" s="1782" t="s">
        <v>200</v>
      </c>
      <c r="B12" s="1783" t="s">
        <v>665</v>
      </c>
      <c r="C12" s="1258">
        <v>0</v>
      </c>
      <c r="D12" s="1253">
        <v>0</v>
      </c>
    </row>
    <row r="13" spans="1:4" s="1788" customFormat="1" ht="26.25" customHeight="1" thickBot="1" thickTop="1">
      <c r="A13" s="1784" t="s">
        <v>736</v>
      </c>
      <c r="B13" s="1785" t="s">
        <v>666</v>
      </c>
      <c r="C13" s="1786">
        <f>SUM(C14)</f>
        <v>22000</v>
      </c>
      <c r="D13" s="1787">
        <f>D14</f>
        <v>25000</v>
      </c>
    </row>
    <row r="14" spans="1:4" ht="22.5" customHeight="1" thickBot="1" thickTop="1">
      <c r="A14" s="1733">
        <v>852</v>
      </c>
      <c r="B14" s="1789" t="s">
        <v>254</v>
      </c>
      <c r="C14" s="1790">
        <f>SUM(C15)</f>
        <v>22000</v>
      </c>
      <c r="D14" s="1064">
        <f>D15</f>
        <v>25000</v>
      </c>
    </row>
    <row r="15" spans="1:4" ht="25.5" customHeight="1" thickTop="1">
      <c r="A15" s="1791">
        <v>85226</v>
      </c>
      <c r="B15" s="1792" t="s">
        <v>737</v>
      </c>
      <c r="C15" s="1793">
        <f>SUM(C16:C17)</f>
        <v>22000</v>
      </c>
      <c r="D15" s="1794">
        <f>SUM(D16:D17)</f>
        <v>25000</v>
      </c>
    </row>
    <row r="16" spans="1:4" s="1221" customFormat="1" ht="27" customHeight="1">
      <c r="A16" s="1795" t="s">
        <v>710</v>
      </c>
      <c r="B16" s="1796" t="s">
        <v>711</v>
      </c>
      <c r="C16" s="1797">
        <v>10000</v>
      </c>
      <c r="D16" s="1639">
        <v>13000</v>
      </c>
    </row>
    <row r="17" spans="1:4" s="1221" customFormat="1" ht="17.25" customHeight="1" thickBot="1">
      <c r="A17" s="1795" t="s">
        <v>675</v>
      </c>
      <c r="B17" s="1796" t="s">
        <v>676</v>
      </c>
      <c r="C17" s="1797">
        <v>12000</v>
      </c>
      <c r="D17" s="1642">
        <v>12000</v>
      </c>
    </row>
    <row r="18" spans="1:4" s="1788" customFormat="1" ht="26.25" customHeight="1" thickBot="1" thickTop="1">
      <c r="A18" s="1784" t="s">
        <v>738</v>
      </c>
      <c r="B18" s="1785" t="s">
        <v>739</v>
      </c>
      <c r="C18" s="1786">
        <f>SUM(C19)</f>
        <v>22000</v>
      </c>
      <c r="D18" s="1787">
        <f>D19</f>
        <v>22000</v>
      </c>
    </row>
    <row r="19" spans="1:4" ht="22.5" customHeight="1" thickBot="1" thickTop="1">
      <c r="A19" s="1733">
        <v>852</v>
      </c>
      <c r="B19" s="1789" t="s">
        <v>254</v>
      </c>
      <c r="C19" s="1790">
        <f>SUM(C20)</f>
        <v>22000</v>
      </c>
      <c r="D19" s="1064">
        <f>D20</f>
        <v>22000</v>
      </c>
    </row>
    <row r="20" spans="1:4" ht="25.5" customHeight="1" thickTop="1">
      <c r="A20" s="1791">
        <v>85226</v>
      </c>
      <c r="B20" s="1792" t="s">
        <v>737</v>
      </c>
      <c r="C20" s="1793">
        <f>SUM(C21:C23)</f>
        <v>22000</v>
      </c>
      <c r="D20" s="1798">
        <f>SUM(D21:D23)</f>
        <v>22000</v>
      </c>
    </row>
    <row r="21" spans="1:4" ht="17.25" customHeight="1">
      <c r="A21" s="1795" t="s">
        <v>435</v>
      </c>
      <c r="B21" s="1796" t="s">
        <v>436</v>
      </c>
      <c r="C21" s="1797">
        <v>11000</v>
      </c>
      <c r="D21" s="1642">
        <v>11000</v>
      </c>
    </row>
    <row r="22" spans="1:4" s="1221" customFormat="1" ht="17.25" customHeight="1">
      <c r="A22" s="1795" t="s">
        <v>457</v>
      </c>
      <c r="B22" s="1799" t="s">
        <v>458</v>
      </c>
      <c r="C22" s="1797">
        <v>10000</v>
      </c>
      <c r="D22" s="1642">
        <v>10000</v>
      </c>
    </row>
    <row r="23" spans="1:4" s="1221" customFormat="1" ht="17.25" customHeight="1" thickBot="1">
      <c r="A23" s="1800" t="s">
        <v>459</v>
      </c>
      <c r="B23" s="1801" t="s">
        <v>460</v>
      </c>
      <c r="C23" s="1802">
        <v>1000</v>
      </c>
      <c r="D23" s="1803">
        <v>1000</v>
      </c>
    </row>
    <row r="24" spans="1:4" s="1745" customFormat="1" ht="28.5" customHeight="1" thickBot="1" thickTop="1">
      <c r="A24" s="1742" t="s">
        <v>219</v>
      </c>
      <c r="B24" s="1743" t="s">
        <v>701</v>
      </c>
      <c r="C24" s="1217">
        <f>C12+C13-C18</f>
        <v>0</v>
      </c>
      <c r="D24" s="1218">
        <f>D12+D13-D18</f>
        <v>3000</v>
      </c>
    </row>
    <row r="25" ht="13.5" thickTop="1">
      <c r="B25" s="91"/>
    </row>
    <row r="26" ht="12.75">
      <c r="B26" s="91"/>
    </row>
  </sheetData>
  <mergeCells count="2">
    <mergeCell ref="A6:E6"/>
    <mergeCell ref="A7:E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5" sqref="B5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3" width="14.75390625" style="8" customWidth="1"/>
    <col min="4" max="4" width="14.125" style="8" customWidth="1"/>
    <col min="5" max="16384" width="9.125" style="8" customWidth="1"/>
  </cols>
  <sheetData>
    <row r="1" spans="1:4" ht="13.5" customHeight="1">
      <c r="A1" s="1045"/>
      <c r="B1" s="1045"/>
      <c r="C1" s="1045" t="s">
        <v>740</v>
      </c>
      <c r="D1" s="1045"/>
    </row>
    <row r="2" spans="1:4" ht="13.5" customHeight="1">
      <c r="A2" s="1045"/>
      <c r="B2" s="1045"/>
      <c r="C2" s="919" t="s">
        <v>118</v>
      </c>
      <c r="D2" s="940"/>
    </row>
    <row r="3" spans="1:4" ht="13.5" customHeight="1">
      <c r="A3" s="1045"/>
      <c r="B3" s="1045"/>
      <c r="C3" s="919" t="s">
        <v>119</v>
      </c>
      <c r="D3" s="940"/>
    </row>
    <row r="4" spans="1:4" ht="13.5" customHeight="1">
      <c r="A4" s="1045"/>
      <c r="B4" s="1045"/>
      <c r="C4" s="919" t="s">
        <v>120</v>
      </c>
      <c r="D4" s="940"/>
    </row>
    <row r="5" spans="1:4" ht="43.5" customHeight="1">
      <c r="A5" s="1045"/>
      <c r="B5" s="1045"/>
      <c r="C5" s="1045"/>
      <c r="D5" s="1045"/>
    </row>
    <row r="6" spans="1:3" ht="18.75">
      <c r="A6" s="1804" t="s">
        <v>741</v>
      </c>
      <c r="B6" s="1804"/>
      <c r="C6" s="1648"/>
    </row>
    <row r="7" spans="2:5" ht="20.25" customHeight="1">
      <c r="B7" s="1041" t="s">
        <v>742</v>
      </c>
      <c r="C7" s="1805"/>
      <c r="D7" s="1805"/>
      <c r="E7" s="1805"/>
    </row>
    <row r="8" spans="1:4" ht="12.75">
      <c r="A8" s="1045"/>
      <c r="B8" s="1045"/>
      <c r="C8" s="1045"/>
      <c r="D8" s="1045"/>
    </row>
    <row r="9" spans="1:4" ht="13.5" thickBot="1">
      <c r="A9" s="1045"/>
      <c r="B9" s="1045"/>
      <c r="C9" s="1045"/>
      <c r="D9" s="1050" t="s">
        <v>743</v>
      </c>
    </row>
    <row r="10" spans="1:4" ht="43.5" customHeight="1" thickTop="1">
      <c r="A10" s="1806" t="s">
        <v>189</v>
      </c>
      <c r="B10" s="1663" t="s">
        <v>125</v>
      </c>
      <c r="C10" s="1750" t="s">
        <v>744</v>
      </c>
      <c r="D10" s="1807" t="s">
        <v>745</v>
      </c>
    </row>
    <row r="11" spans="1:4" s="1182" customFormat="1" ht="12" customHeight="1" thickBot="1">
      <c r="A11" s="1808">
        <v>1</v>
      </c>
      <c r="B11" s="1809">
        <v>2</v>
      </c>
      <c r="C11" s="1810">
        <v>3</v>
      </c>
      <c r="D11" s="1811">
        <v>4</v>
      </c>
    </row>
    <row r="12" spans="1:4" ht="27" customHeight="1" thickBot="1" thickTop="1">
      <c r="A12" s="1812" t="s">
        <v>200</v>
      </c>
      <c r="B12" s="1759" t="s">
        <v>746</v>
      </c>
      <c r="C12" s="1813">
        <f>SUM(C13:C15)</f>
        <v>2849309</v>
      </c>
      <c r="D12" s="1744">
        <f>SUM(D13:D15)</f>
        <v>1809102</v>
      </c>
    </row>
    <row r="13" spans="1:4" s="1448" customFormat="1" ht="25.5" customHeight="1" thickTop="1">
      <c r="A13" s="1814" t="s">
        <v>647</v>
      </c>
      <c r="B13" s="1711" t="s">
        <v>747</v>
      </c>
      <c r="C13" s="1523">
        <v>1500000</v>
      </c>
      <c r="D13" s="1248">
        <v>850000</v>
      </c>
    </row>
    <row r="14" spans="1:4" s="1448" customFormat="1" ht="25.5" customHeight="1">
      <c r="A14" s="1815" t="s">
        <v>649</v>
      </c>
      <c r="B14" s="1633" t="s">
        <v>748</v>
      </c>
      <c r="C14" s="1816">
        <v>120000</v>
      </c>
      <c r="D14" s="1817">
        <v>8000</v>
      </c>
    </row>
    <row r="15" spans="1:4" s="1448" customFormat="1" ht="30" customHeight="1" thickBot="1">
      <c r="A15" s="1814" t="s">
        <v>651</v>
      </c>
      <c r="B15" s="1641" t="s">
        <v>749</v>
      </c>
      <c r="C15" s="1523">
        <v>1229309</v>
      </c>
      <c r="D15" s="1248">
        <v>951102</v>
      </c>
    </row>
    <row r="16" spans="1:4" ht="27" customHeight="1" thickBot="1" thickTop="1">
      <c r="A16" s="1812" t="s">
        <v>207</v>
      </c>
      <c r="B16" s="1759" t="s">
        <v>750</v>
      </c>
      <c r="C16" s="1813">
        <f>SUM(C17:C19)</f>
        <v>1857207</v>
      </c>
      <c r="D16" s="1744">
        <f>SUM(D17:D19)</f>
        <v>1388778</v>
      </c>
    </row>
    <row r="17" spans="1:4" s="1448" customFormat="1" ht="25.5" customHeight="1" thickTop="1">
      <c r="A17" s="1814" t="s">
        <v>647</v>
      </c>
      <c r="B17" s="1711" t="s">
        <v>747</v>
      </c>
      <c r="C17" s="1523">
        <v>1149000</v>
      </c>
      <c r="D17" s="1248">
        <v>850000</v>
      </c>
    </row>
    <row r="18" spans="1:4" s="1448" customFormat="1" ht="25.5" customHeight="1">
      <c r="A18" s="1818" t="s">
        <v>649</v>
      </c>
      <c r="B18" s="1819" t="s">
        <v>748</v>
      </c>
      <c r="C18" s="1634">
        <v>120000</v>
      </c>
      <c r="D18" s="1817">
        <v>8000</v>
      </c>
    </row>
    <row r="19" spans="1:4" s="1448" customFormat="1" ht="30" customHeight="1" thickBot="1">
      <c r="A19" s="1820" t="s">
        <v>651</v>
      </c>
      <c r="B19" s="1821" t="s">
        <v>749</v>
      </c>
      <c r="C19" s="1822">
        <v>588207</v>
      </c>
      <c r="D19" s="1823">
        <v>530778</v>
      </c>
    </row>
    <row r="20" spans="1:4" ht="36.75" customHeight="1" thickBot="1" thickTop="1">
      <c r="A20" s="1812" t="s">
        <v>212</v>
      </c>
      <c r="B20" s="1824" t="s">
        <v>751</v>
      </c>
      <c r="C20" s="1813">
        <f aca="true" t="shared" si="0" ref="C20:D23">C12-C16</f>
        <v>992102</v>
      </c>
      <c r="D20" s="1744">
        <f t="shared" si="0"/>
        <v>420324</v>
      </c>
    </row>
    <row r="21" spans="1:4" s="1448" customFormat="1" ht="25.5" customHeight="1" thickTop="1">
      <c r="A21" s="1814" t="s">
        <v>647</v>
      </c>
      <c r="B21" s="1711" t="s">
        <v>747</v>
      </c>
      <c r="C21" s="1523">
        <f t="shared" si="0"/>
        <v>351000</v>
      </c>
      <c r="D21" s="1248">
        <f t="shared" si="0"/>
        <v>0</v>
      </c>
    </row>
    <row r="22" spans="1:4" s="1448" customFormat="1" ht="25.5" customHeight="1">
      <c r="A22" s="1818" t="s">
        <v>649</v>
      </c>
      <c r="B22" s="1819" t="s">
        <v>748</v>
      </c>
      <c r="C22" s="1634">
        <f t="shared" si="0"/>
        <v>0</v>
      </c>
      <c r="D22" s="1817">
        <f t="shared" si="0"/>
        <v>0</v>
      </c>
    </row>
    <row r="23" spans="1:4" s="1448" customFormat="1" ht="30" customHeight="1" thickBot="1">
      <c r="A23" s="1820" t="s">
        <v>651</v>
      </c>
      <c r="B23" s="1821" t="s">
        <v>749</v>
      </c>
      <c r="C23" s="1822">
        <f t="shared" si="0"/>
        <v>641102</v>
      </c>
      <c r="D23" s="1823">
        <f t="shared" si="0"/>
        <v>420324</v>
      </c>
    </row>
    <row r="24" spans="1:3" ht="19.5" thickTop="1">
      <c r="A24" s="1804"/>
      <c r="B24" s="91"/>
      <c r="C24" s="1648"/>
    </row>
    <row r="25" ht="12.75">
      <c r="B25" s="91"/>
    </row>
    <row r="26" spans="3:4" ht="12.75">
      <c r="C26" s="1825"/>
      <c r="D26" s="1825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7" sqref="E7"/>
    </sheetView>
  </sheetViews>
  <sheetFormatPr defaultColWidth="9.00390625" defaultRowHeight="12.75"/>
  <cols>
    <col min="1" max="1" width="3.875" style="1826" customWidth="1"/>
    <col min="2" max="2" width="7.25390625" style="1827" customWidth="1"/>
    <col min="3" max="3" width="57.125" style="1541" customWidth="1"/>
    <col min="4" max="4" width="13.25390625" style="1542" customWidth="1"/>
    <col min="5" max="5" width="13.00390625" style="1828" customWidth="1"/>
    <col min="6" max="6" width="10.875" style="1541" customWidth="1"/>
    <col min="7" max="7" width="11.75390625" style="1541" customWidth="1"/>
    <col min="8" max="8" width="14.375" style="1541" customWidth="1"/>
    <col min="9" max="16384" width="9.125" style="1541" customWidth="1"/>
  </cols>
  <sheetData>
    <row r="1" ht="12.75">
      <c r="D1" s="1304" t="s">
        <v>752</v>
      </c>
    </row>
    <row r="2" ht="12.75">
      <c r="D2" s="919" t="s">
        <v>118</v>
      </c>
    </row>
    <row r="3" spans="1:6" s="77" customFormat="1" ht="12.75" customHeight="1">
      <c r="A3" s="1612"/>
      <c r="B3" s="1829"/>
      <c r="D3" s="919" t="s">
        <v>119</v>
      </c>
      <c r="E3" s="1830"/>
      <c r="F3" s="1042"/>
    </row>
    <row r="4" spans="1:5" s="77" customFormat="1" ht="14.25" customHeight="1">
      <c r="A4" s="1612"/>
      <c r="B4" s="1829"/>
      <c r="D4" s="919" t="s">
        <v>120</v>
      </c>
      <c r="E4" s="1830"/>
    </row>
    <row r="5" spans="1:5" s="1545" customFormat="1" ht="17.25" customHeight="1">
      <c r="A5" s="1831"/>
      <c r="B5" s="1832"/>
      <c r="C5" s="1614" t="s">
        <v>753</v>
      </c>
      <c r="E5" s="1833"/>
    </row>
    <row r="6" spans="1:5" s="1545" customFormat="1" ht="16.5">
      <c r="A6" s="1831"/>
      <c r="B6" s="1832"/>
      <c r="C6" s="1614" t="s">
        <v>754</v>
      </c>
      <c r="E6" s="1833"/>
    </row>
    <row r="7" spans="1:5" s="1545" customFormat="1" ht="15.75" customHeight="1">
      <c r="A7" s="1831"/>
      <c r="B7" s="1832"/>
      <c r="C7" s="1614" t="s">
        <v>755</v>
      </c>
      <c r="D7" s="1544"/>
      <c r="E7" s="1833"/>
    </row>
    <row r="8" spans="1:5" s="1545" customFormat="1" ht="15.75" customHeight="1">
      <c r="A8" s="1831"/>
      <c r="B8" s="1832"/>
      <c r="C8" s="1614" t="s">
        <v>756</v>
      </c>
      <c r="D8" s="1544"/>
      <c r="E8" s="1833"/>
    </row>
    <row r="9" spans="1:5" ht="10.5" customHeight="1" thickBot="1">
      <c r="A9" s="1826" t="s">
        <v>757</v>
      </c>
      <c r="C9" s="1655"/>
      <c r="E9" s="1834" t="s">
        <v>123</v>
      </c>
    </row>
    <row r="10" ht="8.25" customHeight="1" hidden="1">
      <c r="B10" s="1835"/>
    </row>
    <row r="11" spans="1:5" s="1839" customFormat="1" ht="38.25" customHeight="1" thickBot="1" thickTop="1">
      <c r="A11" s="1836" t="s">
        <v>189</v>
      </c>
      <c r="B11" s="1837" t="s">
        <v>758</v>
      </c>
      <c r="C11" s="1663" t="s">
        <v>125</v>
      </c>
      <c r="D11" s="1664" t="s">
        <v>663</v>
      </c>
      <c r="E11" s="1838" t="s">
        <v>759</v>
      </c>
    </row>
    <row r="12" spans="1:5" s="1560" customFormat="1" ht="12.75" customHeight="1" thickBot="1" thickTop="1">
      <c r="A12" s="1840">
        <v>1</v>
      </c>
      <c r="B12" s="1841" t="s">
        <v>760</v>
      </c>
      <c r="C12" s="1842">
        <v>3</v>
      </c>
      <c r="D12" s="1842">
        <v>4</v>
      </c>
      <c r="E12" s="1843">
        <v>5</v>
      </c>
    </row>
    <row r="13" spans="1:5" s="69" customFormat="1" ht="27.75" customHeight="1" thickBot="1" thickTop="1">
      <c r="A13" s="1844" t="s">
        <v>200</v>
      </c>
      <c r="B13" s="1845" t="s">
        <v>761</v>
      </c>
      <c r="C13" s="1562" t="s">
        <v>666</v>
      </c>
      <c r="D13" s="1582">
        <f>SUM(D14:D16)</f>
        <v>1500000</v>
      </c>
      <c r="E13" s="1564">
        <f>SUM(E14:E16)</f>
        <v>850000</v>
      </c>
    </row>
    <row r="14" spans="1:5" s="77" customFormat="1" ht="20.25" customHeight="1" thickTop="1">
      <c r="A14" s="1846"/>
      <c r="B14" s="1847" t="s">
        <v>762</v>
      </c>
      <c r="C14" s="1848" t="s">
        <v>763</v>
      </c>
      <c r="D14" s="1849">
        <v>204946</v>
      </c>
      <c r="E14" s="1580">
        <v>351000</v>
      </c>
    </row>
    <row r="15" spans="1:5" s="77" customFormat="1" ht="29.25" customHeight="1">
      <c r="A15" s="1601"/>
      <c r="B15" s="1850" t="s">
        <v>671</v>
      </c>
      <c r="C15" s="1851" t="s">
        <v>764</v>
      </c>
      <c r="D15" s="1852">
        <v>1245054</v>
      </c>
      <c r="E15" s="1853">
        <v>490000</v>
      </c>
    </row>
    <row r="16" spans="1:5" s="77" customFormat="1" ht="17.25" customHeight="1" thickBot="1">
      <c r="A16" s="1601"/>
      <c r="B16" s="1854" t="s">
        <v>673</v>
      </c>
      <c r="C16" s="1855" t="s">
        <v>674</v>
      </c>
      <c r="D16" s="1852">
        <v>50000</v>
      </c>
      <c r="E16" s="1853">
        <v>9000</v>
      </c>
    </row>
    <row r="17" spans="1:5" s="69" customFormat="1" ht="25.5" customHeight="1" thickBot="1" thickTop="1">
      <c r="A17" s="1856" t="s">
        <v>207</v>
      </c>
      <c r="B17" s="1845" t="s">
        <v>761</v>
      </c>
      <c r="C17" s="1562" t="s">
        <v>677</v>
      </c>
      <c r="D17" s="1582">
        <f>D18+D22+D24+D30</f>
        <v>1149000</v>
      </c>
      <c r="E17" s="1564">
        <f>E18+E22+E24+E30</f>
        <v>850000</v>
      </c>
    </row>
    <row r="18" spans="1:5" s="1571" customFormat="1" ht="18.75" customHeight="1" thickTop="1">
      <c r="A18" s="1585" t="s">
        <v>647</v>
      </c>
      <c r="B18" s="1857"/>
      <c r="C18" s="1858" t="s">
        <v>765</v>
      </c>
      <c r="D18" s="1587">
        <f>SUM(D19:D21)</f>
        <v>213400</v>
      </c>
      <c r="E18" s="1570">
        <f>SUM(E19:E21)</f>
        <v>56000</v>
      </c>
    </row>
    <row r="19" spans="1:5" s="1571" customFormat="1" ht="27.75" customHeight="1">
      <c r="A19" s="1566"/>
      <c r="B19" s="1859">
        <v>2450</v>
      </c>
      <c r="C19" s="1594" t="s">
        <v>766</v>
      </c>
      <c r="D19" s="1590">
        <v>101600</v>
      </c>
      <c r="E19" s="1860">
        <v>25000</v>
      </c>
    </row>
    <row r="20" spans="1:5" s="77" customFormat="1" ht="15" customHeight="1">
      <c r="A20" s="70"/>
      <c r="B20" s="1850" t="s">
        <v>435</v>
      </c>
      <c r="C20" s="1855" t="s">
        <v>436</v>
      </c>
      <c r="D20" s="1861">
        <v>78000</v>
      </c>
      <c r="E20" s="1862">
        <v>18400</v>
      </c>
    </row>
    <row r="21" spans="1:5" s="77" customFormat="1" ht="15.75" customHeight="1">
      <c r="A21" s="70"/>
      <c r="B21" s="1863" t="s">
        <v>457</v>
      </c>
      <c r="C21" s="1848" t="s">
        <v>458</v>
      </c>
      <c r="D21" s="1590">
        <v>33800</v>
      </c>
      <c r="E21" s="1860">
        <v>12600</v>
      </c>
    </row>
    <row r="22" spans="1:5" s="1571" customFormat="1" ht="27.75" customHeight="1">
      <c r="A22" s="1592" t="s">
        <v>649</v>
      </c>
      <c r="B22" s="1597"/>
      <c r="C22" s="1864" t="s">
        <v>767</v>
      </c>
      <c r="D22" s="1865">
        <f>SUM(D23:D23)</f>
        <v>264000</v>
      </c>
      <c r="E22" s="1599">
        <f>SUM(E23:E23)</f>
        <v>178000</v>
      </c>
    </row>
    <row r="23" spans="1:5" s="77" customFormat="1" ht="15.75" customHeight="1">
      <c r="A23" s="1866"/>
      <c r="B23" s="1863" t="s">
        <v>457</v>
      </c>
      <c r="C23" s="1855" t="s">
        <v>458</v>
      </c>
      <c r="D23" s="1867">
        <v>264000</v>
      </c>
      <c r="E23" s="1868">
        <v>178000</v>
      </c>
    </row>
    <row r="24" spans="1:5" s="1571" customFormat="1" ht="20.25" customHeight="1">
      <c r="A24" s="1592" t="s">
        <v>651</v>
      </c>
      <c r="B24" s="1597"/>
      <c r="C24" s="1869" t="s">
        <v>768</v>
      </c>
      <c r="D24" s="1865">
        <f>SUM(D26:D29)</f>
        <v>437600</v>
      </c>
      <c r="E24" s="1599">
        <f>SUM(E25:E29)</f>
        <v>476000</v>
      </c>
    </row>
    <row r="25" spans="1:5" s="1571" customFormat="1" ht="29.25" customHeight="1">
      <c r="A25" s="1592"/>
      <c r="B25" s="1859">
        <v>2450</v>
      </c>
      <c r="C25" s="1594" t="s">
        <v>766</v>
      </c>
      <c r="D25" s="1861">
        <v>0</v>
      </c>
      <c r="E25" s="1862">
        <v>50000</v>
      </c>
    </row>
    <row r="26" spans="1:5" s="1571" customFormat="1" ht="15" customHeight="1">
      <c r="A26" s="1592"/>
      <c r="B26" s="1850" t="s">
        <v>435</v>
      </c>
      <c r="C26" s="1855" t="s">
        <v>436</v>
      </c>
      <c r="D26" s="1861">
        <v>49600</v>
      </c>
      <c r="E26" s="1862">
        <v>26000</v>
      </c>
    </row>
    <row r="27" spans="1:5" s="1571" customFormat="1" ht="15.75" customHeight="1">
      <c r="A27" s="1592"/>
      <c r="B27" s="1850" t="s">
        <v>457</v>
      </c>
      <c r="C27" s="1851" t="s">
        <v>458</v>
      </c>
      <c r="D27" s="1861">
        <v>268118</v>
      </c>
      <c r="E27" s="1862">
        <v>320000</v>
      </c>
    </row>
    <row r="28" spans="1:5" s="1571" customFormat="1" ht="15.75" customHeight="1">
      <c r="A28" s="1592"/>
      <c r="B28" s="1850" t="s">
        <v>769</v>
      </c>
      <c r="C28" s="1851" t="s">
        <v>770</v>
      </c>
      <c r="D28" s="1861">
        <v>60000</v>
      </c>
      <c r="E28" s="1862">
        <v>30000</v>
      </c>
    </row>
    <row r="29" spans="1:5" s="1571" customFormat="1" ht="40.5" customHeight="1">
      <c r="A29" s="1592"/>
      <c r="B29" s="1850" t="s">
        <v>771</v>
      </c>
      <c r="C29" s="1870" t="s">
        <v>772</v>
      </c>
      <c r="D29" s="1861">
        <v>59882</v>
      </c>
      <c r="E29" s="1862">
        <v>50000</v>
      </c>
    </row>
    <row r="30" spans="1:5" s="1571" customFormat="1" ht="21" customHeight="1">
      <c r="A30" s="1592" t="s">
        <v>655</v>
      </c>
      <c r="B30" s="1597"/>
      <c r="C30" s="1869" t="s">
        <v>773</v>
      </c>
      <c r="D30" s="1865">
        <f>SUM(D31:D33)</f>
        <v>234000</v>
      </c>
      <c r="E30" s="1599">
        <f>SUM(E31:E33)</f>
        <v>140000</v>
      </c>
    </row>
    <row r="31" spans="1:5" s="1571" customFormat="1" ht="27" customHeight="1">
      <c r="A31" s="1592"/>
      <c r="B31" s="1859">
        <v>2450</v>
      </c>
      <c r="C31" s="1594" t="s">
        <v>774</v>
      </c>
      <c r="D31" s="1861">
        <v>70000</v>
      </c>
      <c r="E31" s="1862">
        <v>0</v>
      </c>
    </row>
    <row r="32" spans="1:5" s="77" customFormat="1" ht="16.5" customHeight="1">
      <c r="A32" s="1871"/>
      <c r="B32" s="1850" t="s">
        <v>457</v>
      </c>
      <c r="C32" s="1851" t="s">
        <v>458</v>
      </c>
      <c r="D32" s="1861">
        <v>54000</v>
      </c>
      <c r="E32" s="1862">
        <v>20000</v>
      </c>
    </row>
    <row r="33" spans="1:5" s="77" customFormat="1" ht="39.75" customHeight="1" thickBot="1">
      <c r="A33" s="1872"/>
      <c r="B33" s="1873" t="s">
        <v>771</v>
      </c>
      <c r="C33" s="1578" t="s">
        <v>775</v>
      </c>
      <c r="D33" s="1590">
        <v>110000</v>
      </c>
      <c r="E33" s="1860">
        <v>120000</v>
      </c>
    </row>
    <row r="34" spans="1:5" s="69" customFormat="1" ht="28.5" customHeight="1" thickBot="1" thickTop="1">
      <c r="A34" s="1844" t="s">
        <v>212</v>
      </c>
      <c r="B34" s="1874" t="s">
        <v>776</v>
      </c>
      <c r="C34" s="887"/>
      <c r="D34" s="1582">
        <f>D13-D17</f>
        <v>351000</v>
      </c>
      <c r="E34" s="1875">
        <f>E13-E17</f>
        <v>0</v>
      </c>
    </row>
    <row r="35" spans="1:5" s="77" customFormat="1" ht="13.5" thickTop="1">
      <c r="A35" s="1612"/>
      <c r="B35" s="91"/>
      <c r="D35" s="1611"/>
      <c r="E35" s="1830"/>
    </row>
    <row r="36" spans="1:5" s="77" customFormat="1" ht="12.75">
      <c r="A36" s="1612"/>
      <c r="B36" s="91"/>
      <c r="D36" s="1611"/>
      <c r="E36" s="1830"/>
    </row>
    <row r="37" spans="1:5" s="77" customFormat="1" ht="12.75">
      <c r="A37" s="1612"/>
      <c r="B37" s="1829"/>
      <c r="D37" s="1611"/>
      <c r="E37" s="1830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920" customWidth="1"/>
    <col min="2" max="2" width="7.75390625" style="920" customWidth="1"/>
    <col min="3" max="3" width="59.00390625" style="920" customWidth="1"/>
    <col min="4" max="4" width="12.375" style="920" customWidth="1"/>
    <col min="5" max="5" width="11.875" style="920" customWidth="1"/>
    <col min="6" max="6" width="10.375" style="920" customWidth="1"/>
    <col min="7" max="16384" width="9.125" style="920" customWidth="1"/>
  </cols>
  <sheetData>
    <row r="1" ht="12.75">
      <c r="D1" s="1876" t="s">
        <v>777</v>
      </c>
    </row>
    <row r="2" ht="12.75">
      <c r="D2" s="919" t="s">
        <v>118</v>
      </c>
    </row>
    <row r="3" ht="12.75">
      <c r="D3" s="919" t="s">
        <v>119</v>
      </c>
    </row>
    <row r="4" ht="12.75">
      <c r="D4" s="919" t="s">
        <v>120</v>
      </c>
    </row>
    <row r="5" ht="12.75">
      <c r="D5" s="3"/>
    </row>
    <row r="6" spans="3:5" s="1777" customFormat="1" ht="16.5">
      <c r="C6" s="1656" t="s">
        <v>778</v>
      </c>
      <c r="D6" s="1656"/>
      <c r="E6" s="1656"/>
    </row>
    <row r="7" spans="3:5" s="1777" customFormat="1" ht="16.5">
      <c r="C7" s="1656" t="s">
        <v>779</v>
      </c>
      <c r="D7" s="1656"/>
      <c r="E7" s="1656"/>
    </row>
    <row r="8" spans="3:5" s="1777" customFormat="1" ht="16.5">
      <c r="C8" s="1656" t="s">
        <v>780</v>
      </c>
      <c r="D8" s="1656"/>
      <c r="E8" s="1656"/>
    </row>
    <row r="9" spans="3:5" s="1777" customFormat="1" ht="15.75" customHeight="1">
      <c r="C9" s="1656" t="s">
        <v>781</v>
      </c>
      <c r="D9" s="1656"/>
      <c r="E9" s="1656"/>
    </row>
    <row r="10" spans="4:5" ht="11.25" customHeight="1" thickBot="1">
      <c r="D10" s="1877"/>
      <c r="E10" s="1878" t="s">
        <v>782</v>
      </c>
    </row>
    <row r="11" spans="1:5" s="1045" customFormat="1" ht="40.5" customHeight="1" thickTop="1">
      <c r="A11" s="1879" t="s">
        <v>189</v>
      </c>
      <c r="B11" s="1837" t="s">
        <v>758</v>
      </c>
      <c r="C11" s="1663" t="s">
        <v>125</v>
      </c>
      <c r="D11" s="1750" t="s">
        <v>783</v>
      </c>
      <c r="E11" s="1807" t="s">
        <v>745</v>
      </c>
    </row>
    <row r="12" spans="1:5" s="940" customFormat="1" ht="9.75" customHeight="1" thickBot="1">
      <c r="A12" s="1880">
        <v>1</v>
      </c>
      <c r="B12" s="1881">
        <v>2</v>
      </c>
      <c r="C12" s="1881">
        <v>3</v>
      </c>
      <c r="D12" s="1882">
        <v>4</v>
      </c>
      <c r="E12" s="1883">
        <v>5</v>
      </c>
    </row>
    <row r="13" spans="1:5" s="1045" customFormat="1" ht="39" customHeight="1" thickBot="1" thickTop="1">
      <c r="A13" s="1884" t="s">
        <v>200</v>
      </c>
      <c r="B13" s="1885" t="s">
        <v>761</v>
      </c>
      <c r="C13" s="1886" t="s">
        <v>784</v>
      </c>
      <c r="D13" s="1038">
        <f>D14+D15</f>
        <v>120000</v>
      </c>
      <c r="E13" s="1064">
        <f>E14+E15</f>
        <v>8000</v>
      </c>
    </row>
    <row r="14" spans="1:5" s="1045" customFormat="1" ht="24" customHeight="1" thickTop="1">
      <c r="A14" s="1887" t="s">
        <v>647</v>
      </c>
      <c r="B14" s="1888">
        <v>9570</v>
      </c>
      <c r="C14" s="1848" t="s">
        <v>763</v>
      </c>
      <c r="D14" s="1247">
        <v>73504</v>
      </c>
      <c r="E14" s="1642">
        <v>0</v>
      </c>
    </row>
    <row r="15" spans="1:5" s="1045" customFormat="1" ht="29.25" customHeight="1" thickBot="1">
      <c r="A15" s="1889" t="s">
        <v>649</v>
      </c>
      <c r="B15" s="1850" t="s">
        <v>671</v>
      </c>
      <c r="C15" s="1851" t="s">
        <v>764</v>
      </c>
      <c r="D15" s="1638">
        <v>46496</v>
      </c>
      <c r="E15" s="1639">
        <v>8000</v>
      </c>
    </row>
    <row r="16" spans="1:5" s="1045" customFormat="1" ht="39" customHeight="1" thickBot="1" thickTop="1">
      <c r="A16" s="1884" t="s">
        <v>207</v>
      </c>
      <c r="B16" s="1885" t="s">
        <v>761</v>
      </c>
      <c r="C16" s="1890" t="s">
        <v>785</v>
      </c>
      <c r="D16" s="1038">
        <f>D17+D19+D21+D24</f>
        <v>120000</v>
      </c>
      <c r="E16" s="1064">
        <f>E17+E19+E21+E24</f>
        <v>8000</v>
      </c>
    </row>
    <row r="17" spans="1:5" s="1045" customFormat="1" ht="24" customHeight="1" thickTop="1">
      <c r="A17" s="1891" t="s">
        <v>647</v>
      </c>
      <c r="B17" s="1892"/>
      <c r="C17" s="1893" t="s">
        <v>765</v>
      </c>
      <c r="D17" s="1894">
        <f>D18</f>
        <v>5000</v>
      </c>
      <c r="E17" s="1895">
        <f>E18</f>
        <v>0</v>
      </c>
    </row>
    <row r="18" spans="1:5" s="1045" customFormat="1" ht="28.5" customHeight="1">
      <c r="A18" s="1896"/>
      <c r="B18" s="1897" t="s">
        <v>786</v>
      </c>
      <c r="C18" s="1594" t="s">
        <v>766</v>
      </c>
      <c r="D18" s="1247">
        <v>5000</v>
      </c>
      <c r="E18" s="1642">
        <v>0</v>
      </c>
    </row>
    <row r="19" spans="1:5" s="1045" customFormat="1" ht="33" customHeight="1">
      <c r="A19" s="1898" t="s">
        <v>649</v>
      </c>
      <c r="B19" s="1897"/>
      <c r="C19" s="1864" t="s">
        <v>767</v>
      </c>
      <c r="D19" s="1899">
        <f>D20</f>
        <v>0</v>
      </c>
      <c r="E19" s="1900">
        <f>E20</f>
        <v>8000</v>
      </c>
    </row>
    <row r="20" spans="1:5" s="1045" customFormat="1" ht="33" customHeight="1">
      <c r="A20" s="1896"/>
      <c r="B20" s="1897"/>
      <c r="C20" s="1594" t="s">
        <v>766</v>
      </c>
      <c r="D20" s="1247">
        <v>0</v>
      </c>
      <c r="E20" s="1642">
        <v>8000</v>
      </c>
    </row>
    <row r="21" spans="1:5" s="1045" customFormat="1" ht="24" customHeight="1">
      <c r="A21" s="1898" t="s">
        <v>651</v>
      </c>
      <c r="B21" s="1633"/>
      <c r="C21" s="1597" t="s">
        <v>773</v>
      </c>
      <c r="D21" s="1899">
        <f>D22+D23</f>
        <v>55000</v>
      </c>
      <c r="E21" s="1900">
        <f>E22+E23</f>
        <v>0</v>
      </c>
    </row>
    <row r="22" spans="1:5" s="1045" customFormat="1" ht="21" customHeight="1">
      <c r="A22" s="1901"/>
      <c r="B22" s="1850" t="s">
        <v>457</v>
      </c>
      <c r="C22" s="1851" t="s">
        <v>458</v>
      </c>
      <c r="D22" s="1634">
        <v>5000</v>
      </c>
      <c r="E22" s="1902">
        <v>0</v>
      </c>
    </row>
    <row r="23" spans="1:5" s="1045" customFormat="1" ht="44.25" customHeight="1">
      <c r="A23" s="1901"/>
      <c r="B23" s="1850" t="s">
        <v>771</v>
      </c>
      <c r="C23" s="1578" t="s">
        <v>775</v>
      </c>
      <c r="D23" s="1634">
        <v>50000</v>
      </c>
      <c r="E23" s="1902">
        <v>0</v>
      </c>
    </row>
    <row r="24" spans="1:5" s="1045" customFormat="1" ht="24" customHeight="1">
      <c r="A24" s="1898" t="s">
        <v>655</v>
      </c>
      <c r="B24" s="1633"/>
      <c r="C24" s="1597" t="s">
        <v>787</v>
      </c>
      <c r="D24" s="1899">
        <f>D25</f>
        <v>60000</v>
      </c>
      <c r="E24" s="1900">
        <f>E25</f>
        <v>0</v>
      </c>
    </row>
    <row r="25" spans="1:5" s="1045" customFormat="1" ht="21" customHeight="1" thickBot="1">
      <c r="A25" s="1889"/>
      <c r="B25" s="1863" t="s">
        <v>457</v>
      </c>
      <c r="C25" s="1578" t="s">
        <v>458</v>
      </c>
      <c r="D25" s="1638">
        <v>60000</v>
      </c>
      <c r="E25" s="1639">
        <v>0</v>
      </c>
    </row>
    <row r="26" spans="1:5" s="1045" customFormat="1" ht="39" customHeight="1" thickBot="1" thickTop="1">
      <c r="A26" s="1884" t="s">
        <v>212</v>
      </c>
      <c r="B26" s="1903" t="s">
        <v>776</v>
      </c>
      <c r="C26" s="1904"/>
      <c r="D26" s="1038">
        <f>D13-D16</f>
        <v>0</v>
      </c>
      <c r="E26" s="1064">
        <f>E13-E16</f>
        <v>0</v>
      </c>
    </row>
    <row r="27" s="1045" customFormat="1" ht="13.5" thickTop="1">
      <c r="B27" s="91"/>
    </row>
    <row r="28" s="1045" customFormat="1" ht="12.75">
      <c r="B28" s="91"/>
    </row>
    <row r="29" s="1045" customFormat="1" ht="12.75"/>
    <row r="30" s="1045" customFormat="1" ht="12.75"/>
    <row r="31" s="1045" customFormat="1" ht="12.75"/>
    <row r="32" s="1045" customFormat="1" ht="12.75"/>
    <row r="33" s="1045" customFormat="1" ht="12.75"/>
    <row r="34" s="1045" customFormat="1" ht="12.75"/>
    <row r="35" s="1045" customFormat="1" ht="12.75"/>
    <row r="36" s="1045" customFormat="1" ht="12.75"/>
    <row r="37" s="1045" customFormat="1" ht="12.75"/>
    <row r="38" s="1045" customFormat="1" ht="12.75"/>
    <row r="39" s="1045" customFormat="1" ht="12.75"/>
    <row r="40" s="1045" customFormat="1" ht="12.75"/>
    <row r="41" s="1045" customFormat="1" ht="12.75"/>
    <row r="42" s="1045" customFormat="1" ht="12.75"/>
    <row r="43" s="1045" customFormat="1" ht="12.75"/>
    <row r="44" s="1045" customFormat="1" ht="12.75"/>
    <row r="45" s="1045" customFormat="1" ht="12.75"/>
    <row r="46" s="1045" customFormat="1" ht="12.75"/>
    <row r="47" s="1045" customFormat="1" ht="12.75"/>
    <row r="48" s="1045" customFormat="1" ht="12.75"/>
    <row r="49" s="1045" customFormat="1" ht="12.75"/>
    <row r="50" s="1045" customFormat="1" ht="12.75"/>
    <row r="51" s="1045" customFormat="1" ht="12.75"/>
    <row r="52" s="1045" customFormat="1" ht="12.75"/>
    <row r="53" s="1045" customFormat="1" ht="12.75"/>
    <row r="54" s="1045" customFormat="1" ht="12.75"/>
    <row r="55" s="1045" customFormat="1" ht="12.75"/>
    <row r="56" s="1045" customFormat="1" ht="12.75"/>
    <row r="57" s="1045" customFormat="1" ht="12.75"/>
    <row r="58" s="1045" customFormat="1" ht="12.75"/>
    <row r="59" s="1045" customFormat="1" ht="12.75"/>
    <row r="60" s="1045" customFormat="1" ht="12.75"/>
    <row r="61" s="1045" customFormat="1" ht="12.75"/>
    <row r="62" s="1045" customFormat="1" ht="12.75"/>
    <row r="63" s="1045" customFormat="1" ht="12.75"/>
    <row r="64" s="1045" customFormat="1" ht="12.75"/>
    <row r="65" s="1045" customFormat="1" ht="12.75"/>
    <row r="66" s="1045" customFormat="1" ht="12.75"/>
    <row r="67" s="1045" customFormat="1" ht="12.75"/>
    <row r="68" s="1045" customFormat="1" ht="12.75"/>
    <row r="69" s="1045" customFormat="1" ht="12.75"/>
    <row r="70" s="1045" customFormat="1" ht="12.75"/>
    <row r="71" s="1045" customFormat="1" ht="12.75"/>
    <row r="72" s="1045" customFormat="1" ht="12.75"/>
    <row r="73" s="1045" customFormat="1" ht="12.75"/>
    <row r="74" s="1045" customFormat="1" ht="12.75"/>
    <row r="75" s="1045" customFormat="1" ht="12.75"/>
    <row r="76" s="1045" customFormat="1" ht="12.75"/>
    <row r="77" s="1045" customFormat="1" ht="12.75"/>
    <row r="78" s="1045" customFormat="1" ht="12.75"/>
    <row r="79" s="1045" customFormat="1" ht="12.75"/>
    <row r="80" s="1045" customFormat="1" ht="12.75"/>
    <row r="81" s="1045" customFormat="1" ht="12.75"/>
    <row r="82" s="1045" customFormat="1" ht="12.75"/>
    <row r="83" s="1045" customFormat="1" ht="12.75"/>
    <row r="84" s="1045" customFormat="1" ht="12.75"/>
    <row r="85" s="1045" customFormat="1" ht="12.75"/>
    <row r="86" s="1045" customFormat="1" ht="12.75"/>
    <row r="87" s="1045" customFormat="1" ht="12.75"/>
    <row r="88" s="1045" customFormat="1" ht="12.75"/>
    <row r="89" s="1045" customFormat="1" ht="12.75"/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F11" sqref="F11"/>
    </sheetView>
  </sheetViews>
  <sheetFormatPr defaultColWidth="9.00390625" defaultRowHeight="12.75"/>
  <cols>
    <col min="1" max="1" width="7.75390625" style="1905" customWidth="1"/>
    <col min="2" max="2" width="44.625" style="1045" customWidth="1"/>
    <col min="3" max="4" width="14.75390625" style="1906" customWidth="1"/>
    <col min="5" max="5" width="14.25390625" style="1906" customWidth="1"/>
    <col min="6" max="16384" width="10.00390625" style="1045" customWidth="1"/>
  </cols>
  <sheetData>
    <row r="1" spans="3:5" ht="12.75" customHeight="1">
      <c r="C1" s="920" t="s">
        <v>788</v>
      </c>
      <c r="D1" s="920"/>
      <c r="E1" s="1045"/>
    </row>
    <row r="2" spans="3:5" ht="12.75" customHeight="1">
      <c r="C2" s="919" t="s">
        <v>789</v>
      </c>
      <c r="D2" s="920"/>
      <c r="E2" s="1045"/>
    </row>
    <row r="3" spans="2:5" ht="12.75" customHeight="1">
      <c r="B3" s="1042"/>
      <c r="C3" s="919" t="s">
        <v>790</v>
      </c>
      <c r="D3" s="920"/>
      <c r="E3" s="1045"/>
    </row>
    <row r="4" spans="3:5" ht="12.75" customHeight="1">
      <c r="C4" s="919" t="s">
        <v>791</v>
      </c>
      <c r="D4" s="920"/>
      <c r="E4" s="1045"/>
    </row>
    <row r="5" ht="12.75" customHeight="1" hidden="1"/>
    <row r="6" ht="32.25" customHeight="1"/>
    <row r="7" spans="1:5" s="1745" customFormat="1" ht="17.25" customHeight="1">
      <c r="A7" s="1907"/>
      <c r="B7" s="1908" t="s">
        <v>792</v>
      </c>
      <c r="C7" s="1909"/>
      <c r="D7" s="1909"/>
      <c r="E7" s="1909"/>
    </row>
    <row r="8" spans="1:5" s="1745" customFormat="1" ht="17.25" customHeight="1">
      <c r="A8" s="1907"/>
      <c r="B8" s="1778" t="s">
        <v>793</v>
      </c>
      <c r="C8" s="1909"/>
      <c r="D8" s="1909"/>
      <c r="E8" s="1909"/>
    </row>
    <row r="9" spans="1:5" s="1745" customFormat="1" ht="17.25" customHeight="1">
      <c r="A9" s="1907"/>
      <c r="B9" s="1778" t="s">
        <v>794</v>
      </c>
      <c r="C9" s="1909"/>
      <c r="D9" s="1909"/>
      <c r="E9" s="1909"/>
    </row>
    <row r="10" spans="1:5" s="1745" customFormat="1" ht="17.25" customHeight="1">
      <c r="A10" s="1907"/>
      <c r="B10" s="1778" t="s">
        <v>795</v>
      </c>
      <c r="C10" s="1909"/>
      <c r="D10" s="1909"/>
      <c r="E10" s="1909"/>
    </row>
    <row r="11" spans="1:5" s="1745" customFormat="1" ht="17.25" customHeight="1">
      <c r="A11" s="1907"/>
      <c r="B11" s="1173"/>
      <c r="C11" s="1909"/>
      <c r="D11" s="1909"/>
      <c r="E11" s="1909"/>
    </row>
    <row r="12" spans="1:5" ht="22.5" customHeight="1" thickBot="1">
      <c r="A12" s="1910"/>
      <c r="B12" s="1249"/>
      <c r="C12" s="1911"/>
      <c r="D12" s="1912" t="s">
        <v>123</v>
      </c>
      <c r="E12" s="1912"/>
    </row>
    <row r="13" spans="1:4" s="1914" customFormat="1" ht="42.75" customHeight="1" thickTop="1">
      <c r="A13" s="1913" t="s">
        <v>796</v>
      </c>
      <c r="B13" s="1663" t="s">
        <v>125</v>
      </c>
      <c r="C13" s="1664" t="s">
        <v>663</v>
      </c>
      <c r="D13" s="1838" t="s">
        <v>707</v>
      </c>
    </row>
    <row r="14" spans="1:4" s="1919" customFormat="1" ht="12.75" customHeight="1">
      <c r="A14" s="1915">
        <v>1</v>
      </c>
      <c r="B14" s="1916">
        <v>2</v>
      </c>
      <c r="C14" s="1917">
        <v>3</v>
      </c>
      <c r="D14" s="1918">
        <v>4</v>
      </c>
    </row>
    <row r="15" spans="1:4" s="1923" customFormat="1" ht="21" customHeight="1">
      <c r="A15" s="1729">
        <v>710</v>
      </c>
      <c r="B15" s="1673" t="s">
        <v>143</v>
      </c>
      <c r="C15" s="1921"/>
      <c r="D15" s="1922"/>
    </row>
    <row r="16" spans="1:4" s="1928" customFormat="1" ht="30" customHeight="1" thickBot="1">
      <c r="A16" s="1924">
        <v>71030</v>
      </c>
      <c r="B16" s="1925" t="s">
        <v>797</v>
      </c>
      <c r="C16" s="1926"/>
      <c r="D16" s="1927"/>
    </row>
    <row r="17" spans="1:4" s="1908" customFormat="1" ht="35.25" customHeight="1" thickBot="1" thickTop="1">
      <c r="A17" s="1084" t="s">
        <v>200</v>
      </c>
      <c r="B17" s="1743" t="s">
        <v>798</v>
      </c>
      <c r="C17" s="1929">
        <f>C18+C19-C20</f>
        <v>864309</v>
      </c>
      <c r="D17" s="1930">
        <f>D18+D19-D20</f>
        <v>641102</v>
      </c>
    </row>
    <row r="18" spans="1:7" ht="15.75" customHeight="1" thickTop="1">
      <c r="A18" s="1640"/>
      <c r="B18" s="1641" t="s">
        <v>799</v>
      </c>
      <c r="C18" s="1931">
        <v>819947</v>
      </c>
      <c r="D18" s="1932">
        <v>623102</v>
      </c>
      <c r="E18" s="1045"/>
      <c r="G18" s="1112"/>
    </row>
    <row r="19" spans="1:5" ht="15.75" customHeight="1">
      <c r="A19" s="1640"/>
      <c r="B19" s="1641" t="s">
        <v>800</v>
      </c>
      <c r="C19" s="1931">
        <v>64903</v>
      </c>
      <c r="D19" s="1932">
        <v>20000</v>
      </c>
      <c r="E19" s="1045"/>
    </row>
    <row r="20" spans="1:5" ht="15.75" customHeight="1" thickBot="1">
      <c r="A20" s="1640"/>
      <c r="B20" s="1641" t="s">
        <v>801</v>
      </c>
      <c r="C20" s="1931">
        <v>20541</v>
      </c>
      <c r="D20" s="1932">
        <v>2000</v>
      </c>
      <c r="E20" s="1045"/>
    </row>
    <row r="21" spans="1:4" s="1908" customFormat="1" ht="21" customHeight="1" thickBot="1" thickTop="1">
      <c r="A21" s="1084" t="s">
        <v>207</v>
      </c>
      <c r="B21" s="1743" t="s">
        <v>802</v>
      </c>
      <c r="C21" s="1929">
        <f>SUM(C22:C24)</f>
        <v>365000</v>
      </c>
      <c r="D21" s="1930">
        <f>SUM(D22:D24)</f>
        <v>310000</v>
      </c>
    </row>
    <row r="22" spans="1:4" s="1928" customFormat="1" ht="32.25" customHeight="1" hidden="1">
      <c r="A22" s="1761" t="s">
        <v>671</v>
      </c>
      <c r="B22" s="1594" t="s">
        <v>764</v>
      </c>
      <c r="C22" s="1931">
        <v>0</v>
      </c>
      <c r="D22" s="1932">
        <v>0</v>
      </c>
    </row>
    <row r="23" spans="1:5" ht="19.5" customHeight="1" thickTop="1">
      <c r="A23" s="1761" t="s">
        <v>718</v>
      </c>
      <c r="B23" s="1641" t="s">
        <v>719</v>
      </c>
      <c r="C23" s="1931">
        <v>345000</v>
      </c>
      <c r="D23" s="1932">
        <v>290000</v>
      </c>
      <c r="E23" s="1045"/>
    </row>
    <row r="24" spans="1:5" ht="19.5" customHeight="1" thickBot="1">
      <c r="A24" s="1761" t="s">
        <v>709</v>
      </c>
      <c r="B24" s="1641" t="s">
        <v>694</v>
      </c>
      <c r="C24" s="1931">
        <v>20000</v>
      </c>
      <c r="D24" s="1932">
        <v>20000</v>
      </c>
      <c r="E24" s="1045"/>
    </row>
    <row r="25" spans="1:4" s="1933" customFormat="1" ht="21.75" customHeight="1" thickBot="1" thickTop="1">
      <c r="A25" s="1084" t="s">
        <v>212</v>
      </c>
      <c r="B25" s="1743" t="s">
        <v>666</v>
      </c>
      <c r="C25" s="1929">
        <f>SUM(C21+C17)</f>
        <v>1229309</v>
      </c>
      <c r="D25" s="1930">
        <f>SUM(D21+D17)</f>
        <v>951102</v>
      </c>
    </row>
    <row r="26" spans="1:4" s="1745" customFormat="1" ht="21.75" customHeight="1" thickBot="1" thickTop="1">
      <c r="A26" s="1084" t="s">
        <v>219</v>
      </c>
      <c r="B26" s="1743" t="s">
        <v>739</v>
      </c>
      <c r="C26" s="1929">
        <f>SUM(C27+C34)</f>
        <v>588207</v>
      </c>
      <c r="D26" s="1930">
        <f>SUM(D27+D34)</f>
        <v>530778</v>
      </c>
    </row>
    <row r="27" spans="1:4" s="946" customFormat="1" ht="18" customHeight="1" thickTop="1">
      <c r="A27" s="1934"/>
      <c r="B27" s="1184" t="s">
        <v>803</v>
      </c>
      <c r="C27" s="1200">
        <f>SUM(C28:C33)</f>
        <v>554521</v>
      </c>
      <c r="D27" s="1935">
        <f>SUM(D28:D33)</f>
        <v>530778</v>
      </c>
    </row>
    <row r="28" spans="1:5" ht="19.5" customHeight="1">
      <c r="A28" s="1640">
        <v>2960</v>
      </c>
      <c r="B28" s="1641" t="s">
        <v>804</v>
      </c>
      <c r="C28" s="1931">
        <f>20%*C21</f>
        <v>73000</v>
      </c>
      <c r="D28" s="1932">
        <f>D21*20%</f>
        <v>62000</v>
      </c>
      <c r="E28" s="1045"/>
    </row>
    <row r="29" spans="1:5" ht="19.5" customHeight="1">
      <c r="A29" s="1640">
        <v>4110</v>
      </c>
      <c r="B29" s="1641" t="s">
        <v>432</v>
      </c>
      <c r="C29" s="1931">
        <v>2000</v>
      </c>
      <c r="D29" s="1932">
        <v>1000</v>
      </c>
      <c r="E29" s="1045"/>
    </row>
    <row r="30" spans="1:5" ht="19.5" customHeight="1">
      <c r="A30" s="1640">
        <v>4120</v>
      </c>
      <c r="B30" s="1641" t="s">
        <v>626</v>
      </c>
      <c r="C30" s="1931">
        <v>500</v>
      </c>
      <c r="D30" s="1932">
        <v>1000</v>
      </c>
      <c r="E30" s="1045"/>
    </row>
    <row r="31" spans="1:5" ht="19.5" customHeight="1">
      <c r="A31" s="1640">
        <v>4210</v>
      </c>
      <c r="B31" s="1641" t="s">
        <v>805</v>
      </c>
      <c r="C31" s="1931">
        <v>2007</v>
      </c>
      <c r="D31" s="1932">
        <v>3000</v>
      </c>
      <c r="E31" s="1045"/>
    </row>
    <row r="32" spans="1:5" ht="19.5" customHeight="1">
      <c r="A32" s="1640">
        <v>4300</v>
      </c>
      <c r="B32" s="1641" t="s">
        <v>806</v>
      </c>
      <c r="C32" s="1931">
        <f>368880+11442+59780+11712+5000</f>
        <v>456814</v>
      </c>
      <c r="D32" s="1932">
        <f>413778+42000</f>
        <v>455778</v>
      </c>
      <c r="E32" s="1045"/>
    </row>
    <row r="33" spans="1:5" ht="19.5" customHeight="1">
      <c r="A33" s="1640">
        <v>4170</v>
      </c>
      <c r="B33" s="1641" t="s">
        <v>721</v>
      </c>
      <c r="C33" s="1931">
        <f>7200+12000+1000</f>
        <v>20200</v>
      </c>
      <c r="D33" s="1932">
        <v>8000</v>
      </c>
      <c r="E33" s="1045"/>
    </row>
    <row r="34" spans="1:4" s="1712" customFormat="1" ht="18" customHeight="1">
      <c r="A34" s="1934"/>
      <c r="B34" s="1184" t="s">
        <v>807</v>
      </c>
      <c r="C34" s="1200">
        <f>C35</f>
        <v>33686</v>
      </c>
      <c r="D34" s="1935">
        <f>D35</f>
        <v>0</v>
      </c>
    </row>
    <row r="35" spans="1:4" s="953" customFormat="1" ht="33.75" customHeight="1" thickBot="1">
      <c r="A35" s="1936">
        <v>6120</v>
      </c>
      <c r="B35" s="969" t="s">
        <v>808</v>
      </c>
      <c r="C35" s="1937">
        <v>33686</v>
      </c>
      <c r="D35" s="1938">
        <v>0</v>
      </c>
    </row>
    <row r="36" spans="1:4" s="953" customFormat="1" ht="36.75" customHeight="1" thickBot="1" thickTop="1">
      <c r="A36" s="1084" t="s">
        <v>223</v>
      </c>
      <c r="B36" s="1939" t="s">
        <v>809</v>
      </c>
      <c r="C36" s="1940">
        <f>C25-C26</f>
        <v>641102</v>
      </c>
      <c r="D36" s="1941">
        <f>D25-D26</f>
        <v>420324</v>
      </c>
    </row>
    <row r="37" spans="2:5" ht="16.5" thickTop="1">
      <c r="B37" s="91"/>
      <c r="E37" s="1942"/>
    </row>
    <row r="38" spans="2:5" ht="15.75">
      <c r="B38" s="91"/>
      <c r="E38" s="1942"/>
    </row>
    <row r="39" ht="15.75">
      <c r="E39" s="1942"/>
    </row>
    <row r="40" ht="15.75">
      <c r="E40" s="1942"/>
    </row>
    <row r="41" ht="15.75">
      <c r="E41" s="1942"/>
    </row>
    <row r="42" ht="15.75">
      <c r="E42" s="1942"/>
    </row>
    <row r="43" ht="15.75">
      <c r="E43" s="1942"/>
    </row>
    <row r="44" ht="15.75">
      <c r="E44" s="1942"/>
    </row>
    <row r="45" ht="15.75">
      <c r="E45" s="1942"/>
    </row>
    <row r="46" ht="15.75">
      <c r="E46" s="1942"/>
    </row>
    <row r="47" ht="15.75">
      <c r="E47" s="1942"/>
    </row>
    <row r="48" ht="15.75">
      <c r="E48" s="1942"/>
    </row>
    <row r="49" ht="15.75">
      <c r="E49" s="1942"/>
    </row>
    <row r="50" ht="15.75">
      <c r="E50" s="1942"/>
    </row>
    <row r="51" ht="15.75">
      <c r="E51" s="1942"/>
    </row>
    <row r="52" ht="15.75">
      <c r="E52" s="1942"/>
    </row>
    <row r="53" ht="15.75">
      <c r="E53" s="1942"/>
    </row>
    <row r="54" ht="15.75">
      <c r="E54" s="1942"/>
    </row>
    <row r="55" ht="15.75">
      <c r="E55" s="1942"/>
    </row>
    <row r="56" ht="15.75">
      <c r="E56" s="1942"/>
    </row>
    <row r="57" ht="15.75">
      <c r="E57" s="1942"/>
    </row>
    <row r="58" ht="15.75">
      <c r="E58" s="1942"/>
    </row>
    <row r="59" ht="15.75">
      <c r="E59" s="1942"/>
    </row>
    <row r="60" ht="15.75">
      <c r="E60" s="1942"/>
    </row>
    <row r="61" ht="15.75">
      <c r="E61" s="1942"/>
    </row>
    <row r="62" ht="15.75">
      <c r="E62" s="1942"/>
    </row>
    <row r="63" ht="15.75">
      <c r="E63" s="1942"/>
    </row>
    <row r="64" ht="15.75">
      <c r="E64" s="1942"/>
    </row>
    <row r="65" ht="15.75">
      <c r="E65" s="1942"/>
    </row>
    <row r="66" ht="15.75">
      <c r="E66" s="1942"/>
    </row>
    <row r="67" ht="15.75">
      <c r="E67" s="1942"/>
    </row>
    <row r="68" ht="15.75">
      <c r="E68" s="1942"/>
    </row>
    <row r="69" ht="15.75">
      <c r="E69" s="1942"/>
    </row>
    <row r="70" ht="15.75">
      <c r="E70" s="1942"/>
    </row>
    <row r="71" ht="15.75">
      <c r="E71" s="1942"/>
    </row>
    <row r="72" ht="15.75">
      <c r="E72" s="1942"/>
    </row>
    <row r="73" ht="15.75">
      <c r="E73" s="1942"/>
    </row>
    <row r="74" ht="15.75">
      <c r="E74" s="1942"/>
    </row>
    <row r="75" ht="15.75">
      <c r="E75" s="1942"/>
    </row>
    <row r="76" ht="15.75">
      <c r="E76" s="1942"/>
    </row>
    <row r="77" ht="15.75">
      <c r="E77" s="1942"/>
    </row>
    <row r="78" ht="15.75">
      <c r="E78" s="1942"/>
    </row>
    <row r="79" ht="15.75">
      <c r="E79" s="1942"/>
    </row>
    <row r="80" ht="15.75">
      <c r="E80" s="1942"/>
    </row>
    <row r="81" ht="15.75">
      <c r="E81" s="1942"/>
    </row>
    <row r="82" ht="15.75">
      <c r="E82" s="1942"/>
    </row>
    <row r="83" ht="15.75">
      <c r="E83" s="1942"/>
    </row>
    <row r="84" ht="15.75">
      <c r="E84" s="1942"/>
    </row>
    <row r="85" ht="15.75">
      <c r="E85" s="1942"/>
    </row>
    <row r="86" ht="15.75">
      <c r="E86" s="1942"/>
    </row>
    <row r="87" ht="15.75">
      <c r="E87" s="1942"/>
    </row>
    <row r="88" ht="15.75">
      <c r="E88" s="1942"/>
    </row>
    <row r="89" ht="15.75">
      <c r="E89" s="1942"/>
    </row>
    <row r="90" ht="15.75">
      <c r="E90" s="1942"/>
    </row>
    <row r="91" ht="15.75">
      <c r="E91" s="1942"/>
    </row>
    <row r="92" ht="15.75">
      <c r="E92" s="1942"/>
    </row>
    <row r="93" ht="15.75">
      <c r="E93" s="1942"/>
    </row>
    <row r="94" ht="15.75">
      <c r="E94" s="1942"/>
    </row>
    <row r="95" ht="15.75">
      <c r="E95" s="1942"/>
    </row>
    <row r="96" ht="15.75">
      <c r="E96" s="1942"/>
    </row>
    <row r="97" ht="15.75">
      <c r="E97" s="1942"/>
    </row>
    <row r="98" ht="15.75">
      <c r="E98" s="1942"/>
    </row>
    <row r="99" ht="15.75">
      <c r="E99" s="1942"/>
    </row>
    <row r="100" ht="15.75">
      <c r="E100" s="1942"/>
    </row>
    <row r="101" ht="15.75">
      <c r="E101" s="1942"/>
    </row>
    <row r="102" ht="15.75">
      <c r="E102" s="1942"/>
    </row>
    <row r="103" ht="15.75">
      <c r="E103" s="1942"/>
    </row>
    <row r="104" ht="15.75">
      <c r="E104" s="1942"/>
    </row>
    <row r="105" ht="15.75">
      <c r="E105" s="1942"/>
    </row>
    <row r="106" ht="15.75">
      <c r="E106" s="1942"/>
    </row>
    <row r="107" ht="15.75">
      <c r="E107" s="1942"/>
    </row>
    <row r="108" ht="15.75">
      <c r="E108" s="1942"/>
    </row>
    <row r="109" ht="15.75">
      <c r="E109" s="1942"/>
    </row>
    <row r="110" ht="15.75">
      <c r="E110" s="1942"/>
    </row>
    <row r="111" ht="15.75">
      <c r="E111" s="1942"/>
    </row>
    <row r="112" ht="15.75">
      <c r="E112" s="1942"/>
    </row>
    <row r="113" ht="15.75">
      <c r="E113" s="1942"/>
    </row>
    <row r="114" ht="15.75">
      <c r="E114" s="1942"/>
    </row>
    <row r="115" ht="15.75">
      <c r="E115" s="1942"/>
    </row>
    <row r="116" ht="15.75">
      <c r="E116" s="1942"/>
    </row>
    <row r="117" ht="15.75">
      <c r="E117" s="1942"/>
    </row>
    <row r="118" ht="15.75">
      <c r="E118" s="1942"/>
    </row>
    <row r="119" ht="15.75">
      <c r="E119" s="1942"/>
    </row>
    <row r="120" ht="15.75">
      <c r="E120" s="1942"/>
    </row>
    <row r="121" ht="15.75">
      <c r="E121" s="1942"/>
    </row>
    <row r="122" ht="15.75">
      <c r="E122" s="1942"/>
    </row>
    <row r="123" ht="15.75">
      <c r="E123" s="1942"/>
    </row>
    <row r="124" ht="15.75">
      <c r="E124" s="1942"/>
    </row>
    <row r="125" ht="15.75">
      <c r="E125" s="1942"/>
    </row>
    <row r="126" ht="15.75">
      <c r="E126" s="1942"/>
    </row>
    <row r="127" ht="15.75">
      <c r="E127" s="1942"/>
    </row>
    <row r="128" ht="15.75">
      <c r="E128" s="1942"/>
    </row>
    <row r="129" ht="15.75">
      <c r="E129" s="1942"/>
    </row>
    <row r="130" ht="15.75">
      <c r="E130" s="1942"/>
    </row>
    <row r="131" ht="15.75">
      <c r="E131" s="1942"/>
    </row>
    <row r="132" ht="15.75">
      <c r="E132" s="1942"/>
    </row>
    <row r="133" ht="15.75">
      <c r="E133" s="1942"/>
    </row>
    <row r="134" ht="15.75">
      <c r="E134" s="1942"/>
    </row>
    <row r="135" ht="15.75">
      <c r="E135" s="1942"/>
    </row>
    <row r="136" ht="15.75">
      <c r="E136" s="1942"/>
    </row>
    <row r="137" ht="15.75">
      <c r="E137" s="1942"/>
    </row>
    <row r="138" ht="15.75">
      <c r="E138" s="1942"/>
    </row>
    <row r="139" ht="15.75">
      <c r="E139" s="1942"/>
    </row>
    <row r="140" ht="15.75">
      <c r="E140" s="1942"/>
    </row>
    <row r="141" ht="15.75">
      <c r="E141" s="1942"/>
    </row>
    <row r="142" ht="15.75">
      <c r="E142" s="1942"/>
    </row>
    <row r="143" ht="15.75">
      <c r="E143" s="1942"/>
    </row>
    <row r="144" ht="15.75">
      <c r="E144" s="1942"/>
    </row>
    <row r="145" ht="15.75">
      <c r="E145" s="1942"/>
    </row>
    <row r="146" ht="15.75">
      <c r="E146" s="1942"/>
    </row>
    <row r="147" ht="15.75">
      <c r="E147" s="1942"/>
    </row>
    <row r="148" ht="15.75">
      <c r="E148" s="1942"/>
    </row>
    <row r="149" ht="15.75">
      <c r="E149" s="1942"/>
    </row>
    <row r="150" ht="15.75">
      <c r="E150" s="1942"/>
    </row>
    <row r="151" ht="15.75">
      <c r="E151" s="1942"/>
    </row>
    <row r="152" ht="15.75">
      <c r="E152" s="1942"/>
    </row>
    <row r="153" ht="15.75">
      <c r="E153" s="1942"/>
    </row>
    <row r="154" ht="15.75">
      <c r="E154" s="1942"/>
    </row>
    <row r="155" ht="15.75">
      <c r="E155" s="1942"/>
    </row>
    <row r="156" ht="15.75">
      <c r="E156" s="1942"/>
    </row>
    <row r="157" ht="15.75">
      <c r="E157" s="1942"/>
    </row>
    <row r="158" ht="15.75">
      <c r="E158" s="1942"/>
    </row>
    <row r="159" ht="15.75">
      <c r="E159" s="1942"/>
    </row>
    <row r="160" ht="15.75">
      <c r="E160" s="1942"/>
    </row>
    <row r="161" ht="15.75">
      <c r="E161" s="1942"/>
    </row>
    <row r="162" ht="15.75">
      <c r="E162" s="1942"/>
    </row>
    <row r="163" ht="15.75">
      <c r="E163" s="1942"/>
    </row>
    <row r="164" ht="15.75">
      <c r="E164" s="1942"/>
    </row>
    <row r="165" ht="15.75">
      <c r="E165" s="1942"/>
    </row>
    <row r="166" ht="15.75">
      <c r="E166" s="1942"/>
    </row>
    <row r="167" ht="15.75">
      <c r="E167" s="1942"/>
    </row>
    <row r="168" ht="15.75">
      <c r="E168" s="1942"/>
    </row>
    <row r="169" ht="15.75">
      <c r="E169" s="1942"/>
    </row>
    <row r="170" ht="15.75">
      <c r="E170" s="1942"/>
    </row>
    <row r="171" ht="15.75">
      <c r="E171" s="1942"/>
    </row>
    <row r="172" ht="15.75">
      <c r="E172" s="1942"/>
    </row>
    <row r="173" ht="15.75">
      <c r="E173" s="1942"/>
    </row>
    <row r="174" ht="15.75">
      <c r="E174" s="1942"/>
    </row>
    <row r="175" ht="15.75">
      <c r="E175" s="1942"/>
    </row>
    <row r="176" ht="15.75">
      <c r="E176" s="1942"/>
    </row>
    <row r="177" ht="15.75">
      <c r="E177" s="1942"/>
    </row>
    <row r="178" ht="15.75">
      <c r="E178" s="1942"/>
    </row>
    <row r="179" ht="15.75">
      <c r="E179" s="1942"/>
    </row>
    <row r="180" ht="15.75">
      <c r="E180" s="1942"/>
    </row>
    <row r="181" ht="15.75">
      <c r="E181" s="1942"/>
    </row>
    <row r="182" ht="15.75">
      <c r="E182" s="1942"/>
    </row>
    <row r="183" ht="15.75">
      <c r="E183" s="1942"/>
    </row>
    <row r="184" ht="15.75">
      <c r="E184" s="1942"/>
    </row>
    <row r="185" ht="15.75">
      <c r="E185" s="1942"/>
    </row>
    <row r="186" ht="15.75">
      <c r="E186" s="1942"/>
    </row>
    <row r="187" ht="15.75">
      <c r="E187" s="1942"/>
    </row>
    <row r="188" ht="15.75">
      <c r="E188" s="1942"/>
    </row>
    <row r="189" ht="15.75">
      <c r="E189" s="1942"/>
    </row>
    <row r="190" ht="15.75">
      <c r="E190" s="1942"/>
    </row>
    <row r="191" ht="15.75">
      <c r="E191" s="1942"/>
    </row>
    <row r="192" ht="15.75">
      <c r="E192" s="1942"/>
    </row>
    <row r="193" ht="15.75">
      <c r="E193" s="1942"/>
    </row>
    <row r="194" ht="15.75">
      <c r="E194" s="1942"/>
    </row>
    <row r="195" ht="15.75">
      <c r="E195" s="1942"/>
    </row>
    <row r="196" ht="15.75">
      <c r="E196" s="1942"/>
    </row>
    <row r="197" ht="15.75">
      <c r="E197" s="1942"/>
    </row>
    <row r="198" ht="15.75">
      <c r="E198" s="1942"/>
    </row>
    <row r="199" ht="15.75">
      <c r="E199" s="1942"/>
    </row>
    <row r="200" ht="15.75">
      <c r="E200" s="1942"/>
    </row>
    <row r="201" ht="15.75">
      <c r="E201" s="1942"/>
    </row>
    <row r="202" ht="15.75">
      <c r="E202" s="1942"/>
    </row>
    <row r="203" ht="15.75">
      <c r="E203" s="1942"/>
    </row>
    <row r="204" ht="15.75">
      <c r="E204" s="1942"/>
    </row>
    <row r="205" ht="15.75">
      <c r="E205" s="1942"/>
    </row>
    <row r="206" ht="15.75">
      <c r="E206" s="1942"/>
    </row>
    <row r="207" ht="15.75">
      <c r="E207" s="1942"/>
    </row>
    <row r="208" ht="15.75">
      <c r="E208" s="1942"/>
    </row>
    <row r="209" ht="15.75">
      <c r="E209" s="1942"/>
    </row>
    <row r="210" ht="15.75">
      <c r="E210" s="1942"/>
    </row>
    <row r="211" ht="15.75">
      <c r="E211" s="1942"/>
    </row>
    <row r="212" ht="15.75">
      <c r="E212" s="1942"/>
    </row>
    <row r="213" ht="15.75">
      <c r="E213" s="1942"/>
    </row>
    <row r="214" ht="15.75">
      <c r="E214" s="1942"/>
    </row>
    <row r="215" ht="15.75">
      <c r="E215" s="1942"/>
    </row>
    <row r="216" ht="15.75">
      <c r="E216" s="1942"/>
    </row>
    <row r="217" ht="15.75">
      <c r="E217" s="1942"/>
    </row>
    <row r="218" ht="15.75">
      <c r="E218" s="1942"/>
    </row>
    <row r="219" ht="15.75">
      <c r="E219" s="1942"/>
    </row>
    <row r="220" ht="15.75">
      <c r="E220" s="1942"/>
    </row>
    <row r="221" ht="15.75">
      <c r="E221" s="1942"/>
    </row>
    <row r="222" ht="15.75">
      <c r="E222" s="1942"/>
    </row>
    <row r="223" ht="15.75">
      <c r="E223" s="1942"/>
    </row>
    <row r="224" ht="15.75">
      <c r="E224" s="194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1">
      <selection activeCell="H26" sqref="H26"/>
    </sheetView>
  </sheetViews>
  <sheetFormatPr defaultColWidth="9.00390625" defaultRowHeight="12.75"/>
  <cols>
    <col min="1" max="1" width="5.875" style="1943" customWidth="1"/>
    <col min="2" max="2" width="26.875" style="3" customWidth="1"/>
    <col min="3" max="3" width="5.75390625" style="3" hidden="1" customWidth="1"/>
    <col min="4" max="4" width="1.75390625" style="3" hidden="1" customWidth="1"/>
    <col min="5" max="6" width="10.125" style="3" customWidth="1"/>
    <col min="7" max="10" width="10.75390625" style="3" customWidth="1"/>
    <col min="11" max="11" width="10.625" style="3" customWidth="1"/>
    <col min="12" max="13" width="10.75390625" style="3" customWidth="1"/>
    <col min="14" max="14" width="11.625" style="3" customWidth="1"/>
    <col min="15" max="16384" width="9.125" style="3" customWidth="1"/>
  </cols>
  <sheetData>
    <row r="1" spans="4:13" ht="15" customHeight="1">
      <c r="D1" s="1944"/>
      <c r="M1" s="3" t="s">
        <v>810</v>
      </c>
    </row>
    <row r="2" spans="4:13" ht="12.75">
      <c r="D2" s="1944"/>
      <c r="M2" s="919" t="s">
        <v>118</v>
      </c>
    </row>
    <row r="3" spans="4:13" ht="12.75">
      <c r="D3" s="1944"/>
      <c r="M3" s="919" t="s">
        <v>119</v>
      </c>
    </row>
    <row r="4" spans="4:13" ht="12.75">
      <c r="D4" s="1944"/>
      <c r="M4" s="919" t="s">
        <v>120</v>
      </c>
    </row>
    <row r="5" ht="12.75" hidden="1">
      <c r="D5" s="1944"/>
    </row>
    <row r="6" spans="2:11" ht="13.5" customHeight="1">
      <c r="B6" s="1945" t="s">
        <v>811</v>
      </c>
      <c r="C6" s="1945"/>
      <c r="D6" s="1945"/>
      <c r="E6" s="1946"/>
      <c r="F6" s="1946"/>
      <c r="G6" s="1946"/>
      <c r="H6" s="1946"/>
      <c r="I6" s="1946"/>
      <c r="J6" s="1946"/>
      <c r="K6" s="1946"/>
    </row>
    <row r="7" spans="1:14" ht="13.5" customHeight="1" thickBot="1">
      <c r="A7" s="1947"/>
      <c r="B7" s="1948"/>
      <c r="C7" s="1949"/>
      <c r="D7" s="1949"/>
      <c r="E7" s="1949"/>
      <c r="F7" s="1949"/>
      <c r="G7" s="1949"/>
      <c r="H7" s="1949"/>
      <c r="I7" s="1949"/>
      <c r="J7" s="1949"/>
      <c r="K7" s="1949"/>
      <c r="L7" s="2229" t="s">
        <v>812</v>
      </c>
      <c r="M7" s="2229"/>
      <c r="N7" s="1950"/>
    </row>
    <row r="8" spans="1:14" s="8" customFormat="1" ht="13.5" thickTop="1">
      <c r="A8" s="1951"/>
      <c r="B8" s="1952"/>
      <c r="C8" s="1953"/>
      <c r="D8" s="1954"/>
      <c r="E8" s="1955" t="s">
        <v>813</v>
      </c>
      <c r="F8" s="1956" t="s">
        <v>814</v>
      </c>
      <c r="G8" s="1957"/>
      <c r="H8" s="2230" t="s">
        <v>815</v>
      </c>
      <c r="I8" s="2104"/>
      <c r="J8" s="2104"/>
      <c r="K8" s="2104"/>
      <c r="L8" s="2104"/>
      <c r="M8" s="2104"/>
      <c r="N8" s="1958"/>
    </row>
    <row r="9" spans="1:14" ht="15.75" customHeight="1">
      <c r="A9" s="1959" t="s">
        <v>189</v>
      </c>
      <c r="B9" s="1960" t="s">
        <v>575</v>
      </c>
      <c r="C9" s="1961" t="s">
        <v>816</v>
      </c>
      <c r="D9" s="1962" t="s">
        <v>817</v>
      </c>
      <c r="E9" s="1963" t="s">
        <v>497</v>
      </c>
      <c r="F9" s="1964" t="s">
        <v>416</v>
      </c>
      <c r="G9" s="1965" t="s">
        <v>414</v>
      </c>
      <c r="H9" s="1964" t="s">
        <v>818</v>
      </c>
      <c r="I9" s="1966" t="s">
        <v>819</v>
      </c>
      <c r="J9" s="1966" t="s">
        <v>820</v>
      </c>
      <c r="K9" s="1966" t="s">
        <v>821</v>
      </c>
      <c r="L9" s="1966" t="s">
        <v>822</v>
      </c>
      <c r="M9" s="1967" t="s">
        <v>823</v>
      </c>
      <c r="N9" s="1968" t="s">
        <v>824</v>
      </c>
    </row>
    <row r="10" spans="1:14" s="1974" customFormat="1" ht="11.25" thickBot="1">
      <c r="A10" s="1969">
        <v>1</v>
      </c>
      <c r="B10" s="1970">
        <v>2</v>
      </c>
      <c r="C10" s="1970">
        <v>3</v>
      </c>
      <c r="D10" s="1970">
        <v>3</v>
      </c>
      <c r="E10" s="1970">
        <v>3</v>
      </c>
      <c r="F10" s="1971">
        <v>4</v>
      </c>
      <c r="G10" s="1971">
        <v>5</v>
      </c>
      <c r="H10" s="1970">
        <v>6</v>
      </c>
      <c r="I10" s="1970">
        <v>7</v>
      </c>
      <c r="J10" s="1970">
        <v>8</v>
      </c>
      <c r="K10" s="1970">
        <v>9</v>
      </c>
      <c r="L10" s="1970">
        <v>10</v>
      </c>
      <c r="M10" s="1972">
        <v>11</v>
      </c>
      <c r="N10" s="1973">
        <v>12</v>
      </c>
    </row>
    <row r="11" spans="1:14" s="108" customFormat="1" ht="16.5" customHeight="1" thickBot="1" thickTop="1">
      <c r="A11" s="1975">
        <v>1</v>
      </c>
      <c r="B11" s="1976" t="s">
        <v>825</v>
      </c>
      <c r="C11" s="1976">
        <f>C13+C19+C20+C21</f>
        <v>178559.40000000002</v>
      </c>
      <c r="D11" s="1976">
        <f>D13+D19+D20+D21</f>
        <v>212145.4</v>
      </c>
      <c r="E11" s="1976">
        <f>E13+E19+E20+E21</f>
        <v>220143.30000000002</v>
      </c>
      <c r="F11" s="1976">
        <v>267787.4</v>
      </c>
      <c r="G11" s="1976">
        <v>267028.596</v>
      </c>
      <c r="H11" s="1976">
        <v>267605.6</v>
      </c>
      <c r="I11" s="1976">
        <v>274629.4</v>
      </c>
      <c r="J11" s="1976">
        <v>283708.8</v>
      </c>
      <c r="K11" s="1976">
        <v>286575.9</v>
      </c>
      <c r="L11" s="1976">
        <f>L13+L19+L20+L21</f>
        <v>295327</v>
      </c>
      <c r="M11" s="1977">
        <f>M13+M19+M20+M21</f>
        <v>302730.19999999995</v>
      </c>
      <c r="N11" s="1978">
        <v>307780</v>
      </c>
    </row>
    <row r="12" spans="1:14" s="108" customFormat="1" ht="4.5" customHeight="1" hidden="1">
      <c r="A12" s="1979"/>
      <c r="B12" s="1980"/>
      <c r="C12" s="1980"/>
      <c r="D12" s="1980"/>
      <c r="E12" s="1980"/>
      <c r="F12" s="1980"/>
      <c r="G12" s="1980"/>
      <c r="H12" s="1980"/>
      <c r="I12" s="1981"/>
      <c r="J12" s="1981"/>
      <c r="K12" s="1981"/>
      <c r="L12" s="1981"/>
      <c r="M12" s="1982"/>
      <c r="N12" s="1983"/>
    </row>
    <row r="13" spans="1:14" s="108" customFormat="1" ht="15.75" customHeight="1" hidden="1">
      <c r="A13" s="1984">
        <v>2</v>
      </c>
      <c r="B13" s="1985" t="s">
        <v>826</v>
      </c>
      <c r="C13" s="1985">
        <f>C14+C16+C17+C18</f>
        <v>81962.5</v>
      </c>
      <c r="D13" s="1985">
        <v>98339.2</v>
      </c>
      <c r="E13" s="1985">
        <v>126690.5</v>
      </c>
      <c r="F13" s="1985">
        <v>154574.4</v>
      </c>
      <c r="G13" s="1985">
        <v>159369.7</v>
      </c>
      <c r="H13" s="1986">
        <v>162547.8</v>
      </c>
      <c r="I13" s="1986">
        <v>166761.1</v>
      </c>
      <c r="J13" s="1986">
        <v>170286.8</v>
      </c>
      <c r="K13" s="1986">
        <v>173855.8</v>
      </c>
      <c r="L13" s="1986">
        <v>179233.4</v>
      </c>
      <c r="M13" s="1987">
        <v>183552.8</v>
      </c>
      <c r="N13" s="1988">
        <v>183552.8</v>
      </c>
    </row>
    <row r="14" spans="1:14" s="108" customFormat="1" ht="12.75" hidden="1" thickBot="1">
      <c r="A14" s="1989"/>
      <c r="B14" s="1990" t="s">
        <v>827</v>
      </c>
      <c r="C14" s="1990">
        <v>30314.2</v>
      </c>
      <c r="D14" s="1990">
        <v>38950.6</v>
      </c>
      <c r="E14" s="1990"/>
      <c r="F14" s="1990">
        <v>43000</v>
      </c>
      <c r="G14" s="1990"/>
      <c r="H14" s="1986"/>
      <c r="I14" s="1986"/>
      <c r="J14" s="1986"/>
      <c r="K14" s="1986"/>
      <c r="L14" s="1986"/>
      <c r="M14" s="1987"/>
      <c r="N14" s="1988"/>
    </row>
    <row r="15" spans="1:14" s="108" customFormat="1" ht="12.75" hidden="1" thickBot="1">
      <c r="A15" s="1989"/>
      <c r="B15" s="1990"/>
      <c r="C15" s="1990"/>
      <c r="D15" s="1990"/>
      <c r="E15" s="1990"/>
      <c r="F15" s="1991"/>
      <c r="G15" s="1992"/>
      <c r="H15" s="1986"/>
      <c r="I15" s="1986"/>
      <c r="J15" s="1986"/>
      <c r="K15" s="1986"/>
      <c r="L15" s="1986"/>
      <c r="M15" s="1987"/>
      <c r="N15" s="1988"/>
    </row>
    <row r="16" spans="1:14" s="108" customFormat="1" ht="12.75" hidden="1" thickBot="1">
      <c r="A16" s="1989"/>
      <c r="B16" s="1990" t="s">
        <v>828</v>
      </c>
      <c r="C16" s="1990">
        <v>14675.5</v>
      </c>
      <c r="D16" s="1990">
        <v>15259.6</v>
      </c>
      <c r="E16" s="1990"/>
      <c r="F16" s="1990">
        <v>15500</v>
      </c>
      <c r="G16" s="1990"/>
      <c r="H16" s="1986"/>
      <c r="I16" s="1986"/>
      <c r="J16" s="1986"/>
      <c r="K16" s="1986"/>
      <c r="L16" s="1986"/>
      <c r="M16" s="1987"/>
      <c r="N16" s="1988"/>
    </row>
    <row r="17" spans="1:14" s="108" customFormat="1" ht="24.75" hidden="1" thickBot="1">
      <c r="A17" s="1989"/>
      <c r="B17" s="1990" t="s">
        <v>829</v>
      </c>
      <c r="C17" s="1990">
        <v>31542.8</v>
      </c>
      <c r="D17" s="1990">
        <v>41039.2</v>
      </c>
      <c r="E17" s="1990"/>
      <c r="F17" s="1990">
        <v>54622</v>
      </c>
      <c r="G17" s="1990"/>
      <c r="H17" s="1986"/>
      <c r="I17" s="1986"/>
      <c r="J17" s="1986"/>
      <c r="K17" s="1986"/>
      <c r="L17" s="1986"/>
      <c r="M17" s="1987"/>
      <c r="N17" s="1988"/>
    </row>
    <row r="18" spans="1:14" s="108" customFormat="1" ht="1.5" customHeight="1" hidden="1">
      <c r="A18" s="1993"/>
      <c r="B18" s="1990" t="s">
        <v>830</v>
      </c>
      <c r="C18" s="1990">
        <v>5430</v>
      </c>
      <c r="D18" s="1990">
        <v>6209.5</v>
      </c>
      <c r="E18" s="1990"/>
      <c r="F18" s="1990">
        <v>6500</v>
      </c>
      <c r="G18" s="1990"/>
      <c r="H18" s="1986"/>
      <c r="I18" s="1986"/>
      <c r="J18" s="1986"/>
      <c r="K18" s="1986"/>
      <c r="L18" s="1986"/>
      <c r="M18" s="1987"/>
      <c r="N18" s="1988"/>
    </row>
    <row r="19" spans="1:14" s="108" customFormat="1" ht="18.75" customHeight="1" hidden="1">
      <c r="A19" s="1994">
        <v>3</v>
      </c>
      <c r="B19" s="1990" t="s">
        <v>831</v>
      </c>
      <c r="C19" s="1990">
        <v>55913</v>
      </c>
      <c r="D19" s="1990">
        <v>75044.3</v>
      </c>
      <c r="E19" s="1990">
        <v>67002.1</v>
      </c>
      <c r="F19" s="1990">
        <v>70922.7</v>
      </c>
      <c r="G19" s="1990">
        <v>72322</v>
      </c>
      <c r="H19" s="1995">
        <v>73696.1</v>
      </c>
      <c r="I19" s="1995">
        <v>75612.2</v>
      </c>
      <c r="J19" s="1995">
        <v>77275.7</v>
      </c>
      <c r="K19" s="1995">
        <v>78898.5</v>
      </c>
      <c r="L19" s="1995">
        <v>81344.4</v>
      </c>
      <c r="M19" s="1996">
        <v>83459.4</v>
      </c>
      <c r="N19" s="1997">
        <v>83459.4</v>
      </c>
    </row>
    <row r="20" spans="1:14" s="108" customFormat="1" ht="19.5" customHeight="1" hidden="1">
      <c r="A20" s="1994">
        <v>4</v>
      </c>
      <c r="B20" s="1990" t="s">
        <v>832</v>
      </c>
      <c r="C20" s="1990">
        <v>29749.7</v>
      </c>
      <c r="D20" s="1990">
        <v>31395.3</v>
      </c>
      <c r="E20" s="1990">
        <v>25922.7</v>
      </c>
      <c r="F20" s="1990">
        <v>29654.3</v>
      </c>
      <c r="G20" s="1990">
        <v>30484.6</v>
      </c>
      <c r="H20" s="1995">
        <v>31033</v>
      </c>
      <c r="I20" s="1995">
        <v>31839.9</v>
      </c>
      <c r="J20" s="1995">
        <v>32572.2</v>
      </c>
      <c r="K20" s="1995">
        <v>33223.6</v>
      </c>
      <c r="L20" s="1995">
        <v>34253.5</v>
      </c>
      <c r="M20" s="1996">
        <v>35209.4</v>
      </c>
      <c r="N20" s="1997">
        <v>35209.4</v>
      </c>
    </row>
    <row r="21" spans="1:14" s="108" customFormat="1" ht="16.5" customHeight="1" hidden="1">
      <c r="A21" s="1994">
        <v>5</v>
      </c>
      <c r="B21" s="1990" t="s">
        <v>833</v>
      </c>
      <c r="C21" s="1990">
        <v>10934.2</v>
      </c>
      <c r="D21" s="1990">
        <v>7366.6</v>
      </c>
      <c r="E21" s="1990">
        <v>528</v>
      </c>
      <c r="F21" s="1990">
        <v>253.5</v>
      </c>
      <c r="G21" s="1990">
        <v>260.3</v>
      </c>
      <c r="H21" s="1995">
        <v>261.3</v>
      </c>
      <c r="I21" s="1995">
        <v>353.2</v>
      </c>
      <c r="J21" s="1995">
        <v>454.1</v>
      </c>
      <c r="K21" s="1995">
        <v>478</v>
      </c>
      <c r="L21" s="1995">
        <v>495.7</v>
      </c>
      <c r="M21" s="1996">
        <v>508.6</v>
      </c>
      <c r="N21" s="1997">
        <v>508.6</v>
      </c>
    </row>
    <row r="22" spans="1:14" s="108" customFormat="1" ht="16.5" customHeight="1" hidden="1">
      <c r="A22" s="1998">
        <v>6</v>
      </c>
      <c r="B22" s="1999" t="s">
        <v>834</v>
      </c>
      <c r="C22" s="1999"/>
      <c r="D22" s="1999"/>
      <c r="E22" s="1999"/>
      <c r="F22" s="1999"/>
      <c r="G22" s="1999"/>
      <c r="H22" s="1986"/>
      <c r="I22" s="1986"/>
      <c r="J22" s="1986"/>
      <c r="K22" s="1986"/>
      <c r="L22" s="1986"/>
      <c r="M22" s="1987"/>
      <c r="N22" s="1988"/>
    </row>
    <row r="23" spans="1:14" s="108" customFormat="1" ht="16.5" customHeight="1" thickBot="1" thickTop="1">
      <c r="A23" s="2000">
        <v>2</v>
      </c>
      <c r="B23" s="2001" t="s">
        <v>835</v>
      </c>
      <c r="C23" s="2001">
        <f>C24+C26</f>
        <v>185845.1</v>
      </c>
      <c r="D23" s="2001">
        <f aca="true" t="shared" si="0" ref="D23:N23">SUM(D24+D26)</f>
        <v>217333.4</v>
      </c>
      <c r="E23" s="2001">
        <f t="shared" si="0"/>
        <v>221475.7</v>
      </c>
      <c r="F23" s="2001">
        <f>SUM(F24:F26)</f>
        <v>296839.96900000004</v>
      </c>
      <c r="G23" s="2001">
        <f t="shared" si="0"/>
        <v>307369.996</v>
      </c>
      <c r="H23" s="2001">
        <f t="shared" si="0"/>
        <v>259868.1</v>
      </c>
      <c r="I23" s="2001">
        <f t="shared" si="0"/>
        <v>263112.5</v>
      </c>
      <c r="J23" s="2001">
        <f t="shared" si="0"/>
        <v>269366.3</v>
      </c>
      <c r="K23" s="2001">
        <f t="shared" si="0"/>
        <v>273029.6</v>
      </c>
      <c r="L23" s="2001">
        <f t="shared" si="0"/>
        <v>281760.1</v>
      </c>
      <c r="M23" s="2002">
        <f t="shared" si="0"/>
        <v>291945.7</v>
      </c>
      <c r="N23" s="2003">
        <f t="shared" si="0"/>
        <v>303613.5</v>
      </c>
    </row>
    <row r="24" spans="1:14" s="108" customFormat="1" ht="16.5" customHeight="1" thickTop="1">
      <c r="A24" s="2004">
        <v>3</v>
      </c>
      <c r="B24" s="1985" t="s">
        <v>836</v>
      </c>
      <c r="C24" s="1985">
        <v>164804.2</v>
      </c>
      <c r="D24" s="1985">
        <v>200426.4</v>
      </c>
      <c r="E24" s="1985">
        <v>204974.1</v>
      </c>
      <c r="F24" s="1985">
        <v>230198.635</v>
      </c>
      <c r="G24" s="1985">
        <v>239159.465</v>
      </c>
      <c r="H24" s="1985">
        <v>228868.1</v>
      </c>
      <c r="I24" s="2005">
        <v>231112.5</v>
      </c>
      <c r="J24" s="2005">
        <v>236366.3</v>
      </c>
      <c r="K24" s="2005">
        <v>239029.6</v>
      </c>
      <c r="L24" s="2005">
        <v>246760.1</v>
      </c>
      <c r="M24" s="2006">
        <v>255945.7</v>
      </c>
      <c r="N24" s="2007">
        <v>266613.5</v>
      </c>
    </row>
    <row r="25" spans="1:14" s="108" customFormat="1" ht="0.75" customHeight="1" hidden="1">
      <c r="A25" s="1993"/>
      <c r="B25" s="2008" t="s">
        <v>837</v>
      </c>
      <c r="C25" s="2008"/>
      <c r="D25" s="2008">
        <v>19682</v>
      </c>
      <c r="E25" s="2008">
        <v>11186.6</v>
      </c>
      <c r="F25" s="2008"/>
      <c r="G25" s="2008">
        <v>12000</v>
      </c>
      <c r="H25" s="2008">
        <v>12500</v>
      </c>
      <c r="I25" s="1995">
        <v>13000</v>
      </c>
      <c r="J25" s="1995">
        <v>13500</v>
      </c>
      <c r="K25" s="1995">
        <v>14000</v>
      </c>
      <c r="L25" s="1995">
        <v>14500</v>
      </c>
      <c r="M25" s="1996">
        <v>15000</v>
      </c>
      <c r="N25" s="1997">
        <v>15000</v>
      </c>
    </row>
    <row r="26" spans="1:14" s="108" customFormat="1" ht="16.5" customHeight="1" thickBot="1">
      <c r="A26" s="1998">
        <v>4</v>
      </c>
      <c r="B26" s="1999" t="s">
        <v>266</v>
      </c>
      <c r="C26" s="1999">
        <v>21040.9</v>
      </c>
      <c r="D26" s="1999">
        <v>16907</v>
      </c>
      <c r="E26" s="1999">
        <v>16501.6</v>
      </c>
      <c r="F26" s="1999">
        <v>66641.334</v>
      </c>
      <c r="G26" s="1999">
        <v>68210.531</v>
      </c>
      <c r="H26" s="1999">
        <v>31000</v>
      </c>
      <c r="I26" s="1986">
        <v>32000</v>
      </c>
      <c r="J26" s="1986">
        <v>33000</v>
      </c>
      <c r="K26" s="1986">
        <v>34000</v>
      </c>
      <c r="L26" s="1986">
        <v>35000</v>
      </c>
      <c r="M26" s="1987">
        <v>36000</v>
      </c>
      <c r="N26" s="1988">
        <v>37000</v>
      </c>
    </row>
    <row r="27" spans="1:14" s="108" customFormat="1" ht="18.75" customHeight="1" thickBot="1" thickTop="1">
      <c r="A27" s="2000">
        <v>5</v>
      </c>
      <c r="B27" s="2001" t="s">
        <v>838</v>
      </c>
      <c r="C27" s="2001">
        <f aca="true" t="shared" si="1" ref="C27:N27">C11-C23</f>
        <v>-7285.6999999999825</v>
      </c>
      <c r="D27" s="2001">
        <f t="shared" si="1"/>
        <v>-5188</v>
      </c>
      <c r="E27" s="2001">
        <f t="shared" si="1"/>
        <v>-1332.3999999999942</v>
      </c>
      <c r="F27" s="2001">
        <f t="shared" si="1"/>
        <v>-29052.569000000018</v>
      </c>
      <c r="G27" s="2001">
        <f t="shared" si="1"/>
        <v>-40341.399999999965</v>
      </c>
      <c r="H27" s="2001">
        <f t="shared" si="1"/>
        <v>7737.499999999971</v>
      </c>
      <c r="I27" s="2009">
        <f t="shared" si="1"/>
        <v>11516.900000000023</v>
      </c>
      <c r="J27" s="2009">
        <f t="shared" si="1"/>
        <v>14342.5</v>
      </c>
      <c r="K27" s="2009">
        <f t="shared" si="1"/>
        <v>13546.300000000047</v>
      </c>
      <c r="L27" s="2009">
        <f t="shared" si="1"/>
        <v>13566.900000000023</v>
      </c>
      <c r="M27" s="2010">
        <f t="shared" si="1"/>
        <v>10784.499999999942</v>
      </c>
      <c r="N27" s="2011">
        <f t="shared" si="1"/>
        <v>4166.5</v>
      </c>
    </row>
    <row r="28" spans="1:14" s="108" customFormat="1" ht="16.5" customHeight="1" thickBot="1" thickTop="1">
      <c r="A28" s="2000">
        <v>6</v>
      </c>
      <c r="B28" s="2001" t="s">
        <v>839</v>
      </c>
      <c r="C28" s="2001">
        <f aca="true" t="shared" si="2" ref="C28:N28">C29-C47</f>
        <v>13051.2</v>
      </c>
      <c r="D28" s="2001">
        <f t="shared" si="2"/>
        <v>5188</v>
      </c>
      <c r="E28" s="2001">
        <f t="shared" si="2"/>
        <v>1332.4000000000015</v>
      </c>
      <c r="F28" s="2001">
        <f t="shared" si="2"/>
        <v>29052.6</v>
      </c>
      <c r="G28" s="2001">
        <f t="shared" si="2"/>
        <v>40341.4</v>
      </c>
      <c r="H28" s="2001">
        <f t="shared" si="2"/>
        <v>-7737.5</v>
      </c>
      <c r="I28" s="2009">
        <f t="shared" si="2"/>
        <v>-11516.900000000001</v>
      </c>
      <c r="J28" s="2009">
        <f t="shared" si="2"/>
        <v>-14342.5</v>
      </c>
      <c r="K28" s="2009">
        <f t="shared" si="2"/>
        <v>-13546.300000000001</v>
      </c>
      <c r="L28" s="2009">
        <f t="shared" si="2"/>
        <v>-13566.900000000001</v>
      </c>
      <c r="M28" s="2010">
        <f t="shared" si="2"/>
        <v>-10784.5</v>
      </c>
      <c r="N28" s="2011">
        <f t="shared" si="2"/>
        <v>-4166.5</v>
      </c>
    </row>
    <row r="29" spans="1:14" s="108" customFormat="1" ht="18" customHeight="1" thickBot="1" thickTop="1">
      <c r="A29" s="1975">
        <v>7</v>
      </c>
      <c r="B29" s="1976" t="s">
        <v>840</v>
      </c>
      <c r="C29" s="1976">
        <f aca="true" t="shared" si="3" ref="C29:N29">SUM(C31:C46)</f>
        <v>18079</v>
      </c>
      <c r="D29" s="1976">
        <f t="shared" si="3"/>
        <v>9626.5</v>
      </c>
      <c r="E29" s="1976">
        <f t="shared" si="3"/>
        <v>35239</v>
      </c>
      <c r="F29" s="1976">
        <f>SUM(F31+F34+F46)</f>
        <v>39853.5</v>
      </c>
      <c r="G29" s="1976">
        <f t="shared" si="3"/>
        <v>53154.6</v>
      </c>
      <c r="H29" s="1976">
        <f t="shared" si="3"/>
        <v>5000</v>
      </c>
      <c r="I29" s="1976">
        <f t="shared" si="3"/>
        <v>5000</v>
      </c>
      <c r="J29" s="1976">
        <f t="shared" si="3"/>
        <v>0</v>
      </c>
      <c r="K29" s="1976">
        <f t="shared" si="3"/>
        <v>0</v>
      </c>
      <c r="L29" s="1976">
        <f t="shared" si="3"/>
        <v>0</v>
      </c>
      <c r="M29" s="1977">
        <f t="shared" si="3"/>
        <v>0</v>
      </c>
      <c r="N29" s="1978">
        <f t="shared" si="3"/>
        <v>0</v>
      </c>
    </row>
    <row r="30" spans="1:14" s="108" customFormat="1" ht="2.25" customHeight="1" hidden="1">
      <c r="A30" s="1979"/>
      <c r="B30" s="1980"/>
      <c r="C30" s="1980"/>
      <c r="D30" s="1980"/>
      <c r="E30" s="1980"/>
      <c r="F30" s="1980"/>
      <c r="G30" s="1980"/>
      <c r="H30" s="1980"/>
      <c r="I30" s="2012"/>
      <c r="J30" s="2012"/>
      <c r="K30" s="2012"/>
      <c r="L30" s="2012"/>
      <c r="M30" s="2013"/>
      <c r="N30" s="2014"/>
    </row>
    <row r="31" spans="1:14" s="108" customFormat="1" ht="15" customHeight="1" thickTop="1">
      <c r="A31" s="2015">
        <v>8</v>
      </c>
      <c r="B31" s="2016" t="s">
        <v>841</v>
      </c>
      <c r="C31" s="2016">
        <v>13300</v>
      </c>
      <c r="D31" s="2016">
        <v>7000</v>
      </c>
      <c r="E31" s="2016">
        <v>15000</v>
      </c>
      <c r="F31" s="2016">
        <v>20000</v>
      </c>
      <c r="G31" s="2016">
        <v>25000</v>
      </c>
      <c r="H31" s="2016">
        <v>5000</v>
      </c>
      <c r="I31" s="2017">
        <v>5000</v>
      </c>
      <c r="J31" s="2018"/>
      <c r="K31" s="2018"/>
      <c r="L31" s="2018"/>
      <c r="M31" s="2019"/>
      <c r="N31" s="2020"/>
    </row>
    <row r="32" spans="1:14" s="108" customFormat="1" ht="49.5" customHeight="1">
      <c r="A32" s="1994"/>
      <c r="B32" s="1990" t="s">
        <v>842</v>
      </c>
      <c r="C32" s="1990"/>
      <c r="D32" s="1990"/>
      <c r="E32" s="1990"/>
      <c r="F32" s="1990"/>
      <c r="G32" s="1990"/>
      <c r="H32" s="1990"/>
      <c r="I32" s="1992"/>
      <c r="J32" s="2021"/>
      <c r="K32" s="2021"/>
      <c r="L32" s="2021"/>
      <c r="M32" s="2022"/>
      <c r="N32" s="2023"/>
    </row>
    <row r="33" spans="1:14" s="108" customFormat="1" ht="51" customHeight="1">
      <c r="A33" s="1993"/>
      <c r="B33" s="2008" t="s">
        <v>843</v>
      </c>
      <c r="C33" s="2008"/>
      <c r="D33" s="2008"/>
      <c r="E33" s="2008"/>
      <c r="F33" s="2008"/>
      <c r="G33" s="2008"/>
      <c r="H33" s="2008"/>
      <c r="I33" s="2024"/>
      <c r="J33" s="2025"/>
      <c r="K33" s="2025"/>
      <c r="L33" s="2025"/>
      <c r="M33" s="2026"/>
      <c r="N33" s="2027"/>
    </row>
    <row r="34" spans="1:14" s="108" customFormat="1" ht="13.5" customHeight="1">
      <c r="A34" s="1998">
        <v>9</v>
      </c>
      <c r="B34" s="1999" t="s">
        <v>844</v>
      </c>
      <c r="C34" s="1999">
        <v>1050</v>
      </c>
      <c r="D34" s="1999">
        <v>1202.4</v>
      </c>
      <c r="E34" s="1999">
        <v>1060.2</v>
      </c>
      <c r="F34" s="1999">
        <v>2047.5</v>
      </c>
      <c r="G34" s="1999"/>
      <c r="H34" s="2028"/>
      <c r="I34" s="2021"/>
      <c r="J34" s="2021"/>
      <c r="K34" s="2021"/>
      <c r="L34" s="2021"/>
      <c r="M34" s="2022"/>
      <c r="N34" s="2023"/>
    </row>
    <row r="35" spans="1:14" s="108" customFormat="1" ht="50.25" customHeight="1">
      <c r="A35" s="1994"/>
      <c r="B35" s="1990" t="s">
        <v>842</v>
      </c>
      <c r="C35" s="1990"/>
      <c r="D35" s="1990"/>
      <c r="E35" s="1990"/>
      <c r="F35" s="1990"/>
      <c r="G35" s="1990"/>
      <c r="H35" s="2028"/>
      <c r="I35" s="2021"/>
      <c r="J35" s="2021"/>
      <c r="K35" s="2021"/>
      <c r="L35" s="2021"/>
      <c r="M35" s="2022"/>
      <c r="N35" s="2023"/>
    </row>
    <row r="36" spans="1:14" s="108" customFormat="1" ht="63" customHeight="1">
      <c r="A36" s="1994"/>
      <c r="B36" s="1990" t="s">
        <v>845</v>
      </c>
      <c r="C36" s="1990"/>
      <c r="D36" s="1990"/>
      <c r="E36" s="1990"/>
      <c r="F36" s="1990"/>
      <c r="G36" s="1990"/>
      <c r="H36" s="2028"/>
      <c r="I36" s="2021"/>
      <c r="J36" s="2021"/>
      <c r="K36" s="2021"/>
      <c r="L36" s="2021"/>
      <c r="M36" s="2022"/>
      <c r="N36" s="2023"/>
    </row>
    <row r="37" spans="1:14" s="108" customFormat="1" ht="19.5" customHeight="1">
      <c r="A37" s="1994">
        <v>10</v>
      </c>
      <c r="B37" s="1990" t="s">
        <v>846</v>
      </c>
      <c r="C37" s="1990">
        <v>0</v>
      </c>
      <c r="D37" s="1990"/>
      <c r="E37" s="1990"/>
      <c r="F37" s="1990"/>
      <c r="G37" s="1990"/>
      <c r="H37" s="1990"/>
      <c r="I37" s="2021"/>
      <c r="J37" s="2021"/>
      <c r="K37" s="2021"/>
      <c r="L37" s="2021"/>
      <c r="M37" s="2022"/>
      <c r="N37" s="2023"/>
    </row>
    <row r="38" spans="1:14" s="108" customFormat="1" ht="19.5" customHeight="1">
      <c r="A38" s="1994">
        <v>11</v>
      </c>
      <c r="B38" s="1990" t="s">
        <v>847</v>
      </c>
      <c r="C38" s="1990">
        <v>3729</v>
      </c>
      <c r="D38" s="1990"/>
      <c r="E38" s="1990"/>
      <c r="F38" s="1990"/>
      <c r="G38" s="1990"/>
      <c r="H38" s="1990"/>
      <c r="I38" s="2021"/>
      <c r="J38" s="2021"/>
      <c r="K38" s="2021"/>
      <c r="L38" s="2021"/>
      <c r="M38" s="2022"/>
      <c r="N38" s="2023"/>
    </row>
    <row r="39" spans="1:14" s="108" customFormat="1" ht="14.25" customHeight="1">
      <c r="A39" s="1994">
        <v>12</v>
      </c>
      <c r="B39" s="1990" t="s">
        <v>848</v>
      </c>
      <c r="C39" s="1990">
        <v>0</v>
      </c>
      <c r="D39" s="1990"/>
      <c r="E39" s="1990">
        <v>16510</v>
      </c>
      <c r="F39" s="1990"/>
      <c r="G39" s="1990"/>
      <c r="H39" s="1990"/>
      <c r="I39" s="2021"/>
      <c r="J39" s="2021"/>
      <c r="K39" s="2021"/>
      <c r="L39" s="2021"/>
      <c r="M39" s="2022"/>
      <c r="N39" s="2023"/>
    </row>
    <row r="40" spans="1:14" s="108" customFormat="1" ht="48" customHeight="1">
      <c r="A40" s="1998"/>
      <c r="B40" s="1999" t="s">
        <v>842</v>
      </c>
      <c r="C40" s="1999"/>
      <c r="D40" s="1999"/>
      <c r="E40" s="1999"/>
      <c r="F40" s="1999"/>
      <c r="G40" s="1999"/>
      <c r="H40" s="1990"/>
      <c r="I40" s="2021"/>
      <c r="J40" s="2021"/>
      <c r="K40" s="2021"/>
      <c r="L40" s="2021"/>
      <c r="M40" s="2022"/>
      <c r="N40" s="2023"/>
    </row>
    <row r="41" spans="1:14" s="108" customFormat="1" ht="45.75" customHeight="1">
      <c r="A41" s="1998"/>
      <c r="B41" s="1999" t="s">
        <v>849</v>
      </c>
      <c r="C41" s="1999"/>
      <c r="D41" s="1999"/>
      <c r="E41" s="1999"/>
      <c r="F41" s="1999"/>
      <c r="G41" s="1999"/>
      <c r="H41" s="1990"/>
      <c r="I41" s="2021"/>
      <c r="J41" s="2021"/>
      <c r="K41" s="2021"/>
      <c r="L41" s="2021"/>
      <c r="M41" s="2022"/>
      <c r="N41" s="2023"/>
    </row>
    <row r="42" spans="1:14" s="108" customFormat="1" ht="12">
      <c r="A42" s="1998">
        <v>13</v>
      </c>
      <c r="B42" s="1999" t="s">
        <v>850</v>
      </c>
      <c r="C42" s="1999">
        <v>0</v>
      </c>
      <c r="D42" s="1999"/>
      <c r="E42" s="1999"/>
      <c r="F42" s="1999"/>
      <c r="G42" s="1999"/>
      <c r="H42" s="1990"/>
      <c r="I42" s="2021"/>
      <c r="J42" s="2021"/>
      <c r="K42" s="2021"/>
      <c r="L42" s="2021"/>
      <c r="M42" s="2022"/>
      <c r="N42" s="2023"/>
    </row>
    <row r="43" spans="1:14" s="108" customFormat="1" ht="48.75" customHeight="1">
      <c r="A43" s="1998"/>
      <c r="B43" s="1999" t="s">
        <v>842</v>
      </c>
      <c r="C43" s="1999"/>
      <c r="D43" s="1999"/>
      <c r="E43" s="1999"/>
      <c r="F43" s="1999"/>
      <c r="G43" s="1999"/>
      <c r="H43" s="1990"/>
      <c r="I43" s="2021"/>
      <c r="J43" s="2021"/>
      <c r="K43" s="2021"/>
      <c r="L43" s="2021"/>
      <c r="M43" s="2022"/>
      <c r="N43" s="2023"/>
    </row>
    <row r="44" spans="1:14" s="108" customFormat="1" ht="47.25" customHeight="1">
      <c r="A44" s="1998"/>
      <c r="B44" s="1999" t="s">
        <v>849</v>
      </c>
      <c r="C44" s="1999"/>
      <c r="D44" s="1999"/>
      <c r="E44" s="1999"/>
      <c r="F44" s="1999"/>
      <c r="G44" s="1999"/>
      <c r="H44" s="1990"/>
      <c r="I44" s="2021"/>
      <c r="J44" s="2021"/>
      <c r="K44" s="2021"/>
      <c r="L44" s="2021"/>
      <c r="M44" s="2022"/>
      <c r="N44" s="2023"/>
    </row>
    <row r="45" spans="1:14" s="108" customFormat="1" ht="12.75" customHeight="1">
      <c r="A45" s="1994">
        <v>14</v>
      </c>
      <c r="B45" s="1990" t="s">
        <v>851</v>
      </c>
      <c r="C45" s="2028"/>
      <c r="D45" s="2028"/>
      <c r="E45" s="2028"/>
      <c r="F45" s="2028"/>
      <c r="G45" s="2028"/>
      <c r="H45" s="2028"/>
      <c r="I45" s="2021"/>
      <c r="J45" s="2021"/>
      <c r="K45" s="2021"/>
      <c r="L45" s="2021"/>
      <c r="M45" s="2022"/>
      <c r="N45" s="2023"/>
    </row>
    <row r="46" spans="1:14" s="108" customFormat="1" ht="12.75" customHeight="1" thickBot="1">
      <c r="A46" s="1998">
        <v>15</v>
      </c>
      <c r="B46" s="1999" t="s">
        <v>852</v>
      </c>
      <c r="C46" s="2029"/>
      <c r="D46" s="1999">
        <v>1424.1</v>
      </c>
      <c r="E46" s="1999">
        <v>2668.8</v>
      </c>
      <c r="F46" s="1999">
        <v>17806</v>
      </c>
      <c r="G46" s="1999">
        <v>28154.6</v>
      </c>
      <c r="H46" s="2030"/>
      <c r="I46" s="2031"/>
      <c r="J46" s="2031"/>
      <c r="K46" s="2031"/>
      <c r="L46" s="2031"/>
      <c r="M46" s="2032"/>
      <c r="N46" s="2033"/>
    </row>
    <row r="47" spans="1:14" s="108" customFormat="1" ht="19.5" customHeight="1" thickBot="1" thickTop="1">
      <c r="A47" s="2034">
        <v>16</v>
      </c>
      <c r="B47" s="2035" t="s">
        <v>853</v>
      </c>
      <c r="C47" s="2035">
        <f aca="true" t="shared" si="4" ref="C47:N47">SUM(C49:C62)</f>
        <v>5027.799999999999</v>
      </c>
      <c r="D47" s="2036">
        <f t="shared" si="4"/>
        <v>4438.5</v>
      </c>
      <c r="E47" s="2036">
        <f t="shared" si="4"/>
        <v>33906.6</v>
      </c>
      <c r="F47" s="2036">
        <f t="shared" si="4"/>
        <v>10800.9</v>
      </c>
      <c r="G47" s="2036">
        <f t="shared" si="4"/>
        <v>12813.199999999999</v>
      </c>
      <c r="H47" s="2036">
        <f t="shared" si="4"/>
        <v>12737.5</v>
      </c>
      <c r="I47" s="2036">
        <f t="shared" si="4"/>
        <v>16516.9</v>
      </c>
      <c r="J47" s="2036">
        <f t="shared" si="4"/>
        <v>14342.5</v>
      </c>
      <c r="K47" s="2035">
        <f t="shared" si="4"/>
        <v>13546.300000000001</v>
      </c>
      <c r="L47" s="2035">
        <f t="shared" si="4"/>
        <v>13566.900000000001</v>
      </c>
      <c r="M47" s="2037">
        <f t="shared" si="4"/>
        <v>10784.5</v>
      </c>
      <c r="N47" s="2038">
        <f t="shared" si="4"/>
        <v>4166.5</v>
      </c>
    </row>
    <row r="48" spans="1:14" s="108" customFormat="1" ht="12.75" hidden="1" thickBot="1">
      <c r="A48" s="2039"/>
      <c r="B48" s="1980"/>
      <c r="C48" s="1980"/>
      <c r="D48" s="2040"/>
      <c r="E48" s="2040"/>
      <c r="F48" s="2040"/>
      <c r="G48" s="2040"/>
      <c r="H48" s="2040"/>
      <c r="I48" s="2041"/>
      <c r="J48" s="2041"/>
      <c r="K48" s="2041"/>
      <c r="L48" s="2041"/>
      <c r="M48" s="2042"/>
      <c r="N48" s="2043"/>
    </row>
    <row r="49" spans="1:14" s="108" customFormat="1" ht="15.75" customHeight="1" thickTop="1">
      <c r="A49" s="2015">
        <v>17</v>
      </c>
      <c r="B49" s="2016" t="s">
        <v>854</v>
      </c>
      <c r="C49" s="2035">
        <v>4788.4</v>
      </c>
      <c r="D49" s="2044">
        <v>3543.3</v>
      </c>
      <c r="E49" s="2044">
        <v>9644.4</v>
      </c>
      <c r="F49" s="2044">
        <v>8758.9</v>
      </c>
      <c r="G49" s="2044">
        <v>10820.3</v>
      </c>
      <c r="H49" s="2044">
        <v>11494.1</v>
      </c>
      <c r="I49" s="2005">
        <v>15333.5</v>
      </c>
      <c r="J49" s="2005">
        <v>13392.9</v>
      </c>
      <c r="K49" s="2005">
        <v>12916.7</v>
      </c>
      <c r="L49" s="2005">
        <v>12916.7</v>
      </c>
      <c r="M49" s="2006">
        <v>10416.8</v>
      </c>
      <c r="N49" s="2007">
        <v>4166.5</v>
      </c>
    </row>
    <row r="50" spans="1:14" s="108" customFormat="1" ht="47.25" customHeight="1">
      <c r="A50" s="2004"/>
      <c r="B50" s="1985" t="s">
        <v>842</v>
      </c>
      <c r="C50" s="2045"/>
      <c r="D50" s="2046"/>
      <c r="E50" s="2046"/>
      <c r="F50" s="2046"/>
      <c r="G50" s="2046"/>
      <c r="H50" s="2046"/>
      <c r="I50" s="2047"/>
      <c r="J50" s="2047"/>
      <c r="K50" s="2047"/>
      <c r="L50" s="2047"/>
      <c r="M50" s="1996"/>
      <c r="N50" s="1997"/>
    </row>
    <row r="51" spans="1:14" s="108" customFormat="1" ht="48" customHeight="1">
      <c r="A51" s="1994"/>
      <c r="B51" s="1990" t="s">
        <v>849</v>
      </c>
      <c r="C51" s="2028"/>
      <c r="D51" s="2048"/>
      <c r="E51" s="2048"/>
      <c r="F51" s="2048"/>
      <c r="G51" s="2048"/>
      <c r="H51" s="2048"/>
      <c r="I51" s="1995"/>
      <c r="J51" s="1995"/>
      <c r="K51" s="1995"/>
      <c r="L51" s="1995"/>
      <c r="M51" s="1996"/>
      <c r="N51" s="1997"/>
    </row>
    <row r="52" spans="1:14" s="108" customFormat="1" ht="15.75" customHeight="1">
      <c r="A52" s="1998">
        <v>18</v>
      </c>
      <c r="B52" s="1999" t="s">
        <v>855</v>
      </c>
      <c r="C52" s="2029">
        <v>239.4</v>
      </c>
      <c r="D52" s="2030">
        <v>895.2</v>
      </c>
      <c r="E52" s="2030">
        <v>1956.6</v>
      </c>
      <c r="F52" s="2030">
        <v>2042</v>
      </c>
      <c r="G52" s="2030">
        <v>1992.9</v>
      </c>
      <c r="H52" s="2030">
        <v>1243.4</v>
      </c>
      <c r="I52" s="1995">
        <v>1183.4</v>
      </c>
      <c r="J52" s="1995">
        <v>949.6</v>
      </c>
      <c r="K52" s="1995">
        <v>629.6</v>
      </c>
      <c r="L52" s="1995">
        <v>650.2</v>
      </c>
      <c r="M52" s="1996">
        <v>367.7</v>
      </c>
      <c r="N52" s="1997">
        <v>0</v>
      </c>
    </row>
    <row r="53" spans="1:14" s="108" customFormat="1" ht="51" customHeight="1">
      <c r="A53" s="1994"/>
      <c r="B53" s="1990" t="s">
        <v>842</v>
      </c>
      <c r="C53" s="2028"/>
      <c r="D53" s="2048"/>
      <c r="E53" s="2048"/>
      <c r="F53" s="2048"/>
      <c r="G53" s="2048"/>
      <c r="H53" s="2048"/>
      <c r="I53" s="1995"/>
      <c r="J53" s="1995"/>
      <c r="K53" s="1995"/>
      <c r="L53" s="1995"/>
      <c r="M53" s="1996"/>
      <c r="N53" s="1997"/>
    </row>
    <row r="54" spans="1:14" s="108" customFormat="1" ht="47.25" customHeight="1">
      <c r="A54" s="1994"/>
      <c r="B54" s="1990" t="s">
        <v>849</v>
      </c>
      <c r="C54" s="2028"/>
      <c r="D54" s="2048"/>
      <c r="E54" s="2048"/>
      <c r="F54" s="2048"/>
      <c r="G54" s="2048"/>
      <c r="H54" s="2048"/>
      <c r="I54" s="1995"/>
      <c r="J54" s="1995"/>
      <c r="K54" s="1995"/>
      <c r="L54" s="1995"/>
      <c r="M54" s="1996"/>
      <c r="N54" s="1997"/>
    </row>
    <row r="55" spans="1:14" s="108" customFormat="1" ht="18.75" customHeight="1">
      <c r="A55" s="1994">
        <v>19</v>
      </c>
      <c r="B55" s="1990" t="s">
        <v>856</v>
      </c>
      <c r="C55" s="2028"/>
      <c r="D55" s="2049"/>
      <c r="E55" s="2049"/>
      <c r="F55" s="2049"/>
      <c r="G55" s="2049"/>
      <c r="H55" s="2049"/>
      <c r="I55" s="2050"/>
      <c r="J55" s="2050"/>
      <c r="K55" s="2050"/>
      <c r="L55" s="2050"/>
      <c r="M55" s="2051"/>
      <c r="N55" s="2052"/>
    </row>
    <row r="56" spans="1:14" s="108" customFormat="1" ht="21.75" customHeight="1">
      <c r="A56" s="1994">
        <v>20</v>
      </c>
      <c r="B56" s="1990" t="s">
        <v>857</v>
      </c>
      <c r="C56" s="1990">
        <v>0</v>
      </c>
      <c r="D56" s="1990"/>
      <c r="E56" s="1990"/>
      <c r="F56" s="1990"/>
      <c r="G56" s="1990"/>
      <c r="H56" s="1990"/>
      <c r="I56" s="2053"/>
      <c r="J56" s="2053"/>
      <c r="K56" s="2053"/>
      <c r="L56" s="2053"/>
      <c r="M56" s="2054"/>
      <c r="N56" s="2055"/>
    </row>
    <row r="57" spans="1:14" s="108" customFormat="1" ht="51" customHeight="1">
      <c r="A57" s="1994"/>
      <c r="B57" s="1999" t="s">
        <v>842</v>
      </c>
      <c r="C57" s="1990"/>
      <c r="D57" s="1990"/>
      <c r="E57" s="1990"/>
      <c r="F57" s="1990"/>
      <c r="G57" s="1990"/>
      <c r="H57" s="1990"/>
      <c r="I57" s="2053"/>
      <c r="J57" s="2053"/>
      <c r="K57" s="2053"/>
      <c r="L57" s="2053"/>
      <c r="M57" s="2054"/>
      <c r="N57" s="2055"/>
    </row>
    <row r="58" spans="1:14" s="108" customFormat="1" ht="47.25" customHeight="1">
      <c r="A58" s="1994"/>
      <c r="B58" s="1999" t="s">
        <v>849</v>
      </c>
      <c r="C58" s="1990"/>
      <c r="D58" s="1990"/>
      <c r="E58" s="1990"/>
      <c r="F58" s="1990"/>
      <c r="G58" s="1990"/>
      <c r="H58" s="1990"/>
      <c r="I58" s="2053"/>
      <c r="J58" s="2053"/>
      <c r="K58" s="2053"/>
      <c r="L58" s="2053"/>
      <c r="M58" s="2054"/>
      <c r="N58" s="2055"/>
    </row>
    <row r="59" spans="1:14" s="108" customFormat="1" ht="21.75" customHeight="1">
      <c r="A59" s="1994">
        <v>21</v>
      </c>
      <c r="B59" s="1990" t="s">
        <v>858</v>
      </c>
      <c r="C59" s="2028">
        <v>0</v>
      </c>
      <c r="D59" s="2028"/>
      <c r="E59" s="2028"/>
      <c r="F59" s="2028"/>
      <c r="G59" s="2028"/>
      <c r="H59" s="2028"/>
      <c r="I59" s="2021"/>
      <c r="J59" s="2021"/>
      <c r="K59" s="2021"/>
      <c r="L59" s="2021"/>
      <c r="M59" s="2022"/>
      <c r="N59" s="2023"/>
    </row>
    <row r="60" spans="1:14" s="108" customFormat="1" ht="45" customHeight="1">
      <c r="A60" s="1998"/>
      <c r="B60" s="1999" t="s">
        <v>842</v>
      </c>
      <c r="C60" s="2029"/>
      <c r="D60" s="2029"/>
      <c r="E60" s="2029"/>
      <c r="F60" s="2029"/>
      <c r="G60" s="2029"/>
      <c r="H60" s="2029"/>
      <c r="I60" s="2056"/>
      <c r="J60" s="2056"/>
      <c r="K60" s="2056"/>
      <c r="L60" s="2056"/>
      <c r="M60" s="2057"/>
      <c r="N60" s="2058"/>
    </row>
    <row r="61" spans="1:14" s="108" customFormat="1" ht="46.5" customHeight="1">
      <c r="A61" s="1998"/>
      <c r="B61" s="1999" t="s">
        <v>849</v>
      </c>
      <c r="C61" s="2029"/>
      <c r="D61" s="2029"/>
      <c r="E61" s="2029"/>
      <c r="F61" s="2029"/>
      <c r="G61" s="2029"/>
      <c r="H61" s="2029"/>
      <c r="I61" s="2056"/>
      <c r="J61" s="2056"/>
      <c r="K61" s="2056"/>
      <c r="L61" s="2056"/>
      <c r="M61" s="2057"/>
      <c r="N61" s="2058"/>
    </row>
    <row r="62" spans="1:14" s="108" customFormat="1" ht="13.5" customHeight="1">
      <c r="A62" s="1998">
        <v>22</v>
      </c>
      <c r="B62" s="1999" t="s">
        <v>859</v>
      </c>
      <c r="C62" s="1999"/>
      <c r="D62" s="1999"/>
      <c r="E62" s="1999">
        <v>22305.6</v>
      </c>
      <c r="F62" s="2029"/>
      <c r="G62" s="2029"/>
      <c r="H62" s="2029"/>
      <c r="I62" s="2056"/>
      <c r="J62" s="2056"/>
      <c r="K62" s="2056"/>
      <c r="L62" s="2056"/>
      <c r="M62" s="2057"/>
      <c r="N62" s="2058"/>
    </row>
    <row r="63" spans="1:14" s="108" customFormat="1" ht="15.75" customHeight="1">
      <c r="A63" s="2059">
        <v>23</v>
      </c>
      <c r="B63" s="2028" t="s">
        <v>860</v>
      </c>
      <c r="C63" s="2028"/>
      <c r="D63" s="2028"/>
      <c r="E63" s="2028"/>
      <c r="F63" s="2028">
        <v>150</v>
      </c>
      <c r="G63" s="2028"/>
      <c r="H63" s="2028"/>
      <c r="I63" s="2021"/>
      <c r="J63" s="2021"/>
      <c r="K63" s="2021"/>
      <c r="L63" s="2021"/>
      <c r="M63" s="2022"/>
      <c r="N63" s="2023"/>
    </row>
    <row r="64" spans="1:14" s="108" customFormat="1" ht="15.75" customHeight="1">
      <c r="A64" s="2059">
        <v>24</v>
      </c>
      <c r="B64" s="2028" t="s">
        <v>861</v>
      </c>
      <c r="C64" s="2028">
        <f aca="true" t="shared" si="5" ref="C64:N64">SUM(C65:C69)</f>
        <v>31930.399999999998</v>
      </c>
      <c r="D64" s="2028">
        <f t="shared" si="5"/>
        <v>36387.5</v>
      </c>
      <c r="E64" s="2028">
        <f t="shared" si="5"/>
        <v>53235.9</v>
      </c>
      <c r="F64" s="2028">
        <f t="shared" si="5"/>
        <v>69006.90000000001</v>
      </c>
      <c r="G64" s="2028">
        <f t="shared" si="5"/>
        <v>75661.09999999999</v>
      </c>
      <c r="H64" s="2028">
        <f t="shared" si="5"/>
        <v>67923.59999999999</v>
      </c>
      <c r="I64" s="2028">
        <f t="shared" si="5"/>
        <v>56406.700000000004</v>
      </c>
      <c r="J64" s="2028">
        <f t="shared" si="5"/>
        <v>42064.200000000004</v>
      </c>
      <c r="K64" s="2028">
        <f t="shared" si="5"/>
        <v>28517.9</v>
      </c>
      <c r="L64" s="2028">
        <f t="shared" si="5"/>
        <v>14951.000000000002</v>
      </c>
      <c r="M64" s="2060">
        <f t="shared" si="5"/>
        <v>4166.500000000003</v>
      </c>
      <c r="N64" s="2061">
        <f t="shared" si="5"/>
        <v>-5.115907697472721E-13</v>
      </c>
    </row>
    <row r="65" spans="1:14" s="108" customFormat="1" ht="17.25" customHeight="1">
      <c r="A65" s="1993">
        <v>25</v>
      </c>
      <c r="B65" s="2008" t="s">
        <v>862</v>
      </c>
      <c r="C65" s="2008">
        <v>0</v>
      </c>
      <c r="D65" s="2008"/>
      <c r="E65" s="2008"/>
      <c r="F65" s="2008"/>
      <c r="G65" s="2008"/>
      <c r="H65" s="2008"/>
      <c r="I65" s="2062"/>
      <c r="J65" s="2062"/>
      <c r="K65" s="2062"/>
      <c r="L65" s="2062"/>
      <c r="M65" s="2063"/>
      <c r="N65" s="2064"/>
    </row>
    <row r="66" spans="1:14" s="108" customFormat="1" ht="15" customHeight="1">
      <c r="A66" s="1998">
        <v>26</v>
      </c>
      <c r="B66" s="1999" t="s">
        <v>863</v>
      </c>
      <c r="C66" s="1999">
        <v>24869.6</v>
      </c>
      <c r="D66" s="1999">
        <v>27993.2</v>
      </c>
      <c r="E66" s="1999">
        <v>45216.4</v>
      </c>
      <c r="F66" s="1999">
        <f>E66+F31-F49</f>
        <v>56457.5</v>
      </c>
      <c r="G66" s="1999">
        <f aca="true" t="shared" si="6" ref="G66:N66">F66+G31-G49</f>
        <v>70637.2</v>
      </c>
      <c r="H66" s="1999">
        <f t="shared" si="6"/>
        <v>64143.1</v>
      </c>
      <c r="I66" s="1999">
        <f t="shared" si="6"/>
        <v>53809.600000000006</v>
      </c>
      <c r="J66" s="1999">
        <f t="shared" si="6"/>
        <v>40416.700000000004</v>
      </c>
      <c r="K66" s="1999">
        <f t="shared" si="6"/>
        <v>27500.000000000004</v>
      </c>
      <c r="L66" s="1999">
        <f t="shared" si="6"/>
        <v>14583.300000000003</v>
      </c>
      <c r="M66" s="2065">
        <f t="shared" si="6"/>
        <v>4166.500000000004</v>
      </c>
      <c r="N66" s="2066">
        <f t="shared" si="6"/>
        <v>0</v>
      </c>
    </row>
    <row r="67" spans="1:14" s="108" customFormat="1" ht="14.25" customHeight="1">
      <c r="A67" s="1994">
        <v>27</v>
      </c>
      <c r="B67" s="1990" t="s">
        <v>864</v>
      </c>
      <c r="C67" s="1990">
        <v>3865.2</v>
      </c>
      <c r="D67" s="1990">
        <v>8317.7</v>
      </c>
      <c r="E67" s="1990">
        <v>7161.3</v>
      </c>
      <c r="F67" s="1990">
        <f>E67+F34-F52-F63</f>
        <v>7016.799999999999</v>
      </c>
      <c r="G67" s="1990">
        <f aca="true" t="shared" si="7" ref="G67:N67">F67+G34-G52</f>
        <v>5023.9</v>
      </c>
      <c r="H67" s="1990">
        <f t="shared" si="7"/>
        <v>3780.4999999999995</v>
      </c>
      <c r="I67" s="1990">
        <f t="shared" si="7"/>
        <v>2597.0999999999995</v>
      </c>
      <c r="J67" s="1990">
        <f t="shared" si="7"/>
        <v>1647.4999999999995</v>
      </c>
      <c r="K67" s="1990">
        <f t="shared" si="7"/>
        <v>1017.8999999999995</v>
      </c>
      <c r="L67" s="1990">
        <f t="shared" si="7"/>
        <v>367.6999999999995</v>
      </c>
      <c r="M67" s="1990">
        <f t="shared" si="7"/>
        <v>-5.115907697472721E-13</v>
      </c>
      <c r="N67" s="2067">
        <f t="shared" si="7"/>
        <v>-5.115907697472721E-13</v>
      </c>
    </row>
    <row r="68" spans="1:14" s="108" customFormat="1" ht="14.25" customHeight="1">
      <c r="A68" s="1998">
        <v>28</v>
      </c>
      <c r="B68" s="1999" t="s">
        <v>865</v>
      </c>
      <c r="C68" s="1999"/>
      <c r="D68" s="1999"/>
      <c r="E68" s="1999"/>
      <c r="F68" s="1999"/>
      <c r="G68" s="1999"/>
      <c r="H68" s="1990"/>
      <c r="I68" s="2021"/>
      <c r="J68" s="2021"/>
      <c r="K68" s="2021"/>
      <c r="L68" s="2021"/>
      <c r="M68" s="2022"/>
      <c r="N68" s="2023"/>
    </row>
    <row r="69" spans="1:14" s="108" customFormat="1" ht="15" customHeight="1">
      <c r="A69" s="1998">
        <v>29</v>
      </c>
      <c r="B69" s="1999" t="s">
        <v>866</v>
      </c>
      <c r="C69" s="1999">
        <f>SUM(C70:C72)</f>
        <v>3195.6</v>
      </c>
      <c r="D69" s="1999">
        <v>76.6</v>
      </c>
      <c r="E69" s="1999">
        <v>858.2</v>
      </c>
      <c r="F69" s="1999">
        <v>5532.6</v>
      </c>
      <c r="G69" s="1999"/>
      <c r="H69" s="1990"/>
      <c r="I69" s="1990"/>
      <c r="J69" s="1990"/>
      <c r="K69" s="1995"/>
      <c r="L69" s="1995"/>
      <c r="M69" s="1996"/>
      <c r="N69" s="1997"/>
    </row>
    <row r="70" spans="1:14" s="108" customFormat="1" ht="18" customHeight="1">
      <c r="A70" s="1994">
        <v>30</v>
      </c>
      <c r="B70" s="1990" t="s">
        <v>867</v>
      </c>
      <c r="C70" s="1990">
        <v>0</v>
      </c>
      <c r="D70" s="1990"/>
      <c r="E70" s="1990"/>
      <c r="F70" s="1990"/>
      <c r="G70" s="1990"/>
      <c r="H70" s="1990"/>
      <c r="I70" s="2021"/>
      <c r="J70" s="2021"/>
      <c r="K70" s="2021"/>
      <c r="L70" s="2021"/>
      <c r="M70" s="2022"/>
      <c r="N70" s="2023"/>
    </row>
    <row r="71" spans="1:14" s="108" customFormat="1" ht="23.25" customHeight="1">
      <c r="A71" s="1994">
        <v>31</v>
      </c>
      <c r="B71" s="1990" t="s">
        <v>868</v>
      </c>
      <c r="C71" s="1990">
        <v>0</v>
      </c>
      <c r="D71" s="1990"/>
      <c r="E71" s="1990"/>
      <c r="F71" s="1990"/>
      <c r="G71" s="1990"/>
      <c r="H71" s="1990"/>
      <c r="I71" s="2021"/>
      <c r="J71" s="2021"/>
      <c r="K71" s="2021"/>
      <c r="L71" s="2021"/>
      <c r="M71" s="2022"/>
      <c r="N71" s="2023"/>
    </row>
    <row r="72" spans="1:14" s="108" customFormat="1" ht="23.25" customHeight="1">
      <c r="A72" s="1994">
        <v>32</v>
      </c>
      <c r="B72" s="1990" t="s">
        <v>869</v>
      </c>
      <c r="C72" s="1990">
        <v>3195.6</v>
      </c>
      <c r="D72" s="1990"/>
      <c r="E72" s="1990"/>
      <c r="F72" s="1990"/>
      <c r="G72" s="1990"/>
      <c r="H72" s="1990"/>
      <c r="I72" s="1990"/>
      <c r="J72" s="1990"/>
      <c r="K72" s="1990"/>
      <c r="L72" s="1990"/>
      <c r="M72" s="2068"/>
      <c r="N72" s="2067"/>
    </row>
    <row r="73" spans="1:14" s="108" customFormat="1" ht="50.25" customHeight="1">
      <c r="A73" s="1994">
        <v>33</v>
      </c>
      <c r="B73" s="1990" t="s">
        <v>870</v>
      </c>
      <c r="C73" s="1990">
        <v>0</v>
      </c>
      <c r="D73" s="1990"/>
      <c r="E73" s="1990"/>
      <c r="F73" s="1990"/>
      <c r="G73" s="1990"/>
      <c r="H73" s="1990"/>
      <c r="I73" s="2021"/>
      <c r="J73" s="2021"/>
      <c r="K73" s="2021"/>
      <c r="L73" s="2021"/>
      <c r="M73" s="2022"/>
      <c r="N73" s="2023"/>
    </row>
    <row r="74" spans="1:14" s="108" customFormat="1" ht="14.25" customHeight="1">
      <c r="A74" s="2069"/>
      <c r="B74" s="2070" t="s">
        <v>871</v>
      </c>
      <c r="C74" s="1985">
        <v>0</v>
      </c>
      <c r="D74" s="1985"/>
      <c r="E74" s="1985"/>
      <c r="F74" s="1985"/>
      <c r="G74" s="1985"/>
      <c r="H74" s="1985"/>
      <c r="I74" s="2062"/>
      <c r="J74" s="2062"/>
      <c r="K74" s="2062"/>
      <c r="L74" s="2062"/>
      <c r="M74" s="2063"/>
      <c r="N74" s="2064"/>
    </row>
    <row r="75" spans="1:14" s="108" customFormat="1" ht="14.25" customHeight="1">
      <c r="A75" s="2069"/>
      <c r="B75" s="1999" t="s">
        <v>872</v>
      </c>
      <c r="C75" s="1999"/>
      <c r="D75" s="1999"/>
      <c r="E75" s="1999"/>
      <c r="F75" s="1999"/>
      <c r="G75" s="1999"/>
      <c r="H75" s="1999"/>
      <c r="I75" s="2056"/>
      <c r="J75" s="2056"/>
      <c r="K75" s="2056"/>
      <c r="L75" s="2056"/>
      <c r="M75" s="2057"/>
      <c r="N75" s="2058"/>
    </row>
    <row r="76" spans="1:14" s="108" customFormat="1" ht="15.75" customHeight="1" hidden="1">
      <c r="A76" s="2071"/>
      <c r="B76" s="1990" t="s">
        <v>873</v>
      </c>
      <c r="C76" s="1990"/>
      <c r="D76" s="1990"/>
      <c r="E76" s="1990"/>
      <c r="F76" s="1990"/>
      <c r="G76" s="1990"/>
      <c r="H76" s="1990"/>
      <c r="I76" s="2021"/>
      <c r="J76" s="2021"/>
      <c r="K76" s="2021"/>
      <c r="L76" s="2021"/>
      <c r="M76" s="2022"/>
      <c r="N76" s="2023"/>
    </row>
    <row r="77" spans="1:14" s="108" customFormat="1" ht="12.75" customHeight="1">
      <c r="A77" s="2069"/>
      <c r="B77" s="1990" t="s">
        <v>874</v>
      </c>
      <c r="C77" s="1990"/>
      <c r="D77" s="1990"/>
      <c r="E77" s="1990"/>
      <c r="F77" s="1990"/>
      <c r="G77" s="1990"/>
      <c r="H77" s="1990"/>
      <c r="I77" s="2021"/>
      <c r="J77" s="2021"/>
      <c r="K77" s="2021"/>
      <c r="L77" s="2021"/>
      <c r="M77" s="2022"/>
      <c r="N77" s="2023"/>
    </row>
    <row r="78" spans="1:14" s="108" customFormat="1" ht="14.25" customHeight="1">
      <c r="A78" s="2071"/>
      <c r="B78" s="1990" t="s">
        <v>875</v>
      </c>
      <c r="C78" s="1990"/>
      <c r="D78" s="1990"/>
      <c r="E78" s="1990"/>
      <c r="F78" s="1990"/>
      <c r="G78" s="1990"/>
      <c r="H78" s="1990"/>
      <c r="I78" s="2021"/>
      <c r="J78" s="2021"/>
      <c r="K78" s="2021"/>
      <c r="L78" s="2021"/>
      <c r="M78" s="2022"/>
      <c r="N78" s="2023"/>
    </row>
    <row r="79" spans="1:14" s="108" customFormat="1" ht="24" customHeight="1">
      <c r="A79" s="2059">
        <v>34</v>
      </c>
      <c r="B79" s="2028" t="s">
        <v>876</v>
      </c>
      <c r="C79" s="2028">
        <f aca="true" t="shared" si="8" ref="C79:N79">C64/C11*100</f>
        <v>17.882228546914916</v>
      </c>
      <c r="D79" s="2028">
        <f t="shared" si="8"/>
        <v>17.152151307546617</v>
      </c>
      <c r="E79" s="2028">
        <f t="shared" si="8"/>
        <v>24.182384837512654</v>
      </c>
      <c r="F79" s="2028">
        <f t="shared" si="8"/>
        <v>25.76928563479835</v>
      </c>
      <c r="G79" s="2028">
        <f t="shared" si="8"/>
        <v>28.334455984631695</v>
      </c>
      <c r="H79" s="2028">
        <f t="shared" si="8"/>
        <v>25.381980048250107</v>
      </c>
      <c r="I79" s="2028">
        <f t="shared" si="8"/>
        <v>20.53920665449511</v>
      </c>
      <c r="J79" s="2028">
        <f t="shared" si="8"/>
        <v>14.826540452745915</v>
      </c>
      <c r="K79" s="2028">
        <f t="shared" si="8"/>
        <v>9.951255496362394</v>
      </c>
      <c r="L79" s="2028">
        <f t="shared" si="8"/>
        <v>5.062523914169717</v>
      </c>
      <c r="M79" s="2060">
        <f t="shared" si="8"/>
        <v>1.376308012877474</v>
      </c>
      <c r="N79" s="2061">
        <f t="shared" si="8"/>
        <v>-1.6621962757400485E-16</v>
      </c>
    </row>
    <row r="80" spans="1:14" s="108" customFormat="1" ht="24.75" customHeight="1" thickBot="1">
      <c r="A80" s="2072">
        <v>35</v>
      </c>
      <c r="B80" s="2029" t="s">
        <v>877</v>
      </c>
      <c r="C80" s="2029"/>
      <c r="D80" s="2029"/>
      <c r="E80" s="2029">
        <f aca="true" t="shared" si="9" ref="E80:N80">(E64-E73)/E11*100</f>
        <v>24.182384837512654</v>
      </c>
      <c r="F80" s="2029">
        <f t="shared" si="9"/>
        <v>25.76928563479835</v>
      </c>
      <c r="G80" s="2029">
        <f t="shared" si="9"/>
        <v>28.334455984631695</v>
      </c>
      <c r="H80" s="2029">
        <f t="shared" si="9"/>
        <v>25.381980048250107</v>
      </c>
      <c r="I80" s="2029">
        <f t="shared" si="9"/>
        <v>20.53920665449511</v>
      </c>
      <c r="J80" s="2029">
        <f t="shared" si="9"/>
        <v>14.826540452745915</v>
      </c>
      <c r="K80" s="2029">
        <f t="shared" si="9"/>
        <v>9.951255496362394</v>
      </c>
      <c r="L80" s="2029">
        <f t="shared" si="9"/>
        <v>5.062523914169717</v>
      </c>
      <c r="M80" s="2073">
        <f t="shared" si="9"/>
        <v>1.376308012877474</v>
      </c>
      <c r="N80" s="2074">
        <f t="shared" si="9"/>
        <v>-1.6621962757400485E-16</v>
      </c>
    </row>
    <row r="81" spans="1:14" s="108" customFormat="1" ht="23.25" customHeight="1" thickTop="1">
      <c r="A81" s="1975">
        <v>36</v>
      </c>
      <c r="B81" s="1976" t="s">
        <v>878</v>
      </c>
      <c r="C81" s="1976">
        <f aca="true" t="shared" si="10" ref="C81:N81">SUM(C83:C85)</f>
        <v>9642.6</v>
      </c>
      <c r="D81" s="1976">
        <f t="shared" si="10"/>
        <v>18992.6</v>
      </c>
      <c r="E81" s="1976">
        <f t="shared" si="10"/>
        <v>13186.6</v>
      </c>
      <c r="F81" s="1976">
        <f>SUM(F83:F87)</f>
        <v>13343.8</v>
      </c>
      <c r="G81" s="1976">
        <f t="shared" si="10"/>
        <v>21672.8</v>
      </c>
      <c r="H81" s="1976">
        <f t="shared" si="10"/>
        <v>22762</v>
      </c>
      <c r="I81" s="1976">
        <f t="shared" si="10"/>
        <v>25205.199999999997</v>
      </c>
      <c r="J81" s="1976">
        <f t="shared" si="10"/>
        <v>22454</v>
      </c>
      <c r="K81" s="1976">
        <f t="shared" si="10"/>
        <v>18331.1</v>
      </c>
      <c r="L81" s="1976">
        <f t="shared" si="10"/>
        <v>17500.2</v>
      </c>
      <c r="M81" s="1977">
        <f t="shared" si="10"/>
        <v>13874.300000000001</v>
      </c>
      <c r="N81" s="1978">
        <f t="shared" si="10"/>
        <v>6576.6</v>
      </c>
    </row>
    <row r="82" spans="1:14" s="108" customFormat="1" ht="14.25" customHeight="1" thickBot="1">
      <c r="A82" s="1979"/>
      <c r="B82" s="1980" t="s">
        <v>879</v>
      </c>
      <c r="C82" s="1980"/>
      <c r="D82" s="1980"/>
      <c r="E82" s="1980"/>
      <c r="F82" s="1980"/>
      <c r="G82" s="1980"/>
      <c r="H82" s="1980"/>
      <c r="I82" s="2041"/>
      <c r="J82" s="2041"/>
      <c r="K82" s="2041"/>
      <c r="L82" s="2041"/>
      <c r="M82" s="2042"/>
      <c r="N82" s="2043"/>
    </row>
    <row r="83" spans="1:14" s="108" customFormat="1" ht="15" customHeight="1" thickTop="1">
      <c r="A83" s="2004">
        <v>37</v>
      </c>
      <c r="B83" s="1985" t="s">
        <v>880</v>
      </c>
      <c r="C83" s="1985">
        <v>6082.5</v>
      </c>
      <c r="D83" s="1985">
        <v>8114.1</v>
      </c>
      <c r="E83" s="1985">
        <v>11100.2</v>
      </c>
      <c r="F83" s="1985">
        <v>11063.5</v>
      </c>
      <c r="G83" s="1985">
        <v>13807.7</v>
      </c>
      <c r="H83" s="1985">
        <v>15705.8</v>
      </c>
      <c r="I83" s="2047">
        <v>19254.3</v>
      </c>
      <c r="J83" s="2047">
        <v>16781.8</v>
      </c>
      <c r="K83" s="2047">
        <v>15498.9</v>
      </c>
      <c r="L83" s="2047">
        <v>14666</v>
      </c>
      <c r="M83" s="2006">
        <v>11340.2</v>
      </c>
      <c r="N83" s="2007">
        <v>4420</v>
      </c>
    </row>
    <row r="84" spans="1:14" s="108" customFormat="1" ht="15" customHeight="1">
      <c r="A84" s="1993">
        <v>38</v>
      </c>
      <c r="B84" s="2008" t="s">
        <v>881</v>
      </c>
      <c r="C84" s="2008">
        <v>364.5</v>
      </c>
      <c r="D84" s="2008">
        <v>997.9</v>
      </c>
      <c r="E84" s="2008">
        <v>2086.4</v>
      </c>
      <c r="F84" s="2008">
        <v>2280.3</v>
      </c>
      <c r="G84" s="2008">
        <v>2235.9</v>
      </c>
      <c r="H84" s="2008">
        <v>1427</v>
      </c>
      <c r="I84" s="2047">
        <v>1320.5</v>
      </c>
      <c r="J84" s="2047">
        <v>1041.8</v>
      </c>
      <c r="K84" s="2047">
        <v>675.6</v>
      </c>
      <c r="L84" s="2047">
        <v>677.6</v>
      </c>
      <c r="M84" s="2075">
        <v>377.5</v>
      </c>
      <c r="N84" s="2076">
        <v>0</v>
      </c>
    </row>
    <row r="85" spans="1:14" s="108" customFormat="1" ht="22.5" customHeight="1">
      <c r="A85" s="1998">
        <v>39</v>
      </c>
      <c r="B85" s="1999" t="s">
        <v>882</v>
      </c>
      <c r="C85" s="1999">
        <v>3195.6</v>
      </c>
      <c r="D85" s="1999">
        <v>9880.6</v>
      </c>
      <c r="E85" s="1999"/>
      <c r="F85" s="1999"/>
      <c r="G85" s="1999">
        <v>5629.2</v>
      </c>
      <c r="H85" s="1999">
        <v>5629.2</v>
      </c>
      <c r="I85" s="1990">
        <v>4630.4</v>
      </c>
      <c r="J85" s="1990">
        <v>4630.4</v>
      </c>
      <c r="K85" s="1990">
        <v>2156.6</v>
      </c>
      <c r="L85" s="1990">
        <v>2156.6</v>
      </c>
      <c r="M85" s="2068">
        <v>2156.6</v>
      </c>
      <c r="N85" s="2067">
        <v>2156.6</v>
      </c>
    </row>
    <row r="86" spans="1:14" s="108" customFormat="1" ht="24" customHeight="1">
      <c r="A86" s="1994">
        <v>40</v>
      </c>
      <c r="B86" s="1990" t="s">
        <v>883</v>
      </c>
      <c r="C86" s="1990">
        <v>0</v>
      </c>
      <c r="D86" s="1990"/>
      <c r="E86" s="1990"/>
      <c r="F86" s="1990"/>
      <c r="G86" s="1990"/>
      <c r="H86" s="1990"/>
      <c r="I86" s="2021"/>
      <c r="J86" s="2021"/>
      <c r="K86" s="2021"/>
      <c r="L86" s="2021"/>
      <c r="M86" s="2022"/>
      <c r="N86" s="2023"/>
    </row>
    <row r="87" spans="1:14" s="108" customFormat="1" ht="48">
      <c r="A87" s="2077">
        <v>41</v>
      </c>
      <c r="B87" s="1999" t="s">
        <v>884</v>
      </c>
      <c r="C87" s="1999"/>
      <c r="D87" s="1999"/>
      <c r="E87" s="1999"/>
      <c r="F87" s="1999"/>
      <c r="G87" s="1999"/>
      <c r="H87" s="1999"/>
      <c r="I87" s="2056"/>
      <c r="J87" s="2056"/>
      <c r="K87" s="2056"/>
      <c r="L87" s="2056"/>
      <c r="M87" s="2057"/>
      <c r="N87" s="2058"/>
    </row>
    <row r="88" spans="1:14" s="108" customFormat="1" ht="15.75" customHeight="1">
      <c r="A88" s="1920"/>
      <c r="B88" s="1990" t="s">
        <v>0</v>
      </c>
      <c r="C88" s="1990"/>
      <c r="D88" s="1990"/>
      <c r="E88" s="1990"/>
      <c r="F88" s="1990"/>
      <c r="G88" s="1990"/>
      <c r="H88" s="1990"/>
      <c r="I88" s="2021"/>
      <c r="J88" s="2021"/>
      <c r="K88" s="2021"/>
      <c r="L88" s="2021"/>
      <c r="M88" s="2022"/>
      <c r="N88" s="2023"/>
    </row>
    <row r="89" spans="1:14" s="108" customFormat="1" ht="15.75" customHeight="1">
      <c r="A89" s="1920"/>
      <c r="B89" s="1999" t="s">
        <v>1</v>
      </c>
      <c r="C89" s="1999"/>
      <c r="D89" s="1999"/>
      <c r="E89" s="1999"/>
      <c r="F89" s="1999"/>
      <c r="G89" s="1999"/>
      <c r="H89" s="1999"/>
      <c r="I89" s="2056"/>
      <c r="J89" s="2056"/>
      <c r="K89" s="2056"/>
      <c r="L89" s="2056"/>
      <c r="M89" s="2057"/>
      <c r="N89" s="2058"/>
    </row>
    <row r="90" spans="1:14" s="108" customFormat="1" ht="15" customHeight="1">
      <c r="A90" s="1920"/>
      <c r="B90" s="1999" t="s">
        <v>2</v>
      </c>
      <c r="C90" s="1999"/>
      <c r="D90" s="1999"/>
      <c r="E90" s="1999"/>
      <c r="F90" s="1999"/>
      <c r="G90" s="1999"/>
      <c r="H90" s="1999"/>
      <c r="I90" s="2056"/>
      <c r="J90" s="2056"/>
      <c r="K90" s="2056"/>
      <c r="L90" s="2056"/>
      <c r="M90" s="2057"/>
      <c r="N90" s="2058"/>
    </row>
    <row r="91" spans="1:14" s="108" customFormat="1" ht="15" customHeight="1">
      <c r="A91" s="2071"/>
      <c r="B91" s="1990" t="s">
        <v>3</v>
      </c>
      <c r="C91" s="1990"/>
      <c r="D91" s="1990"/>
      <c r="E91" s="1990"/>
      <c r="F91" s="1990"/>
      <c r="G91" s="1990"/>
      <c r="H91" s="1990"/>
      <c r="I91" s="2021"/>
      <c r="J91" s="2021"/>
      <c r="K91" s="2021"/>
      <c r="L91" s="2021"/>
      <c r="M91" s="2022"/>
      <c r="N91" s="2023"/>
    </row>
    <row r="92" spans="1:14" s="108" customFormat="1" ht="38.25" customHeight="1">
      <c r="A92" s="2059">
        <v>42</v>
      </c>
      <c r="B92" s="2028" t="s">
        <v>4</v>
      </c>
      <c r="C92" s="2028">
        <f aca="true" t="shared" si="11" ref="C92:N92">C81/C11*100</f>
        <v>5.400219758802952</v>
      </c>
      <c r="D92" s="2028">
        <f t="shared" si="11"/>
        <v>8.95263342971377</v>
      </c>
      <c r="E92" s="2028">
        <f t="shared" si="11"/>
        <v>5.990007417895525</v>
      </c>
      <c r="F92" s="2028">
        <f t="shared" si="11"/>
        <v>4.982982769166884</v>
      </c>
      <c r="G92" s="2028">
        <f t="shared" si="11"/>
        <v>8.11628429488503</v>
      </c>
      <c r="H92" s="2028">
        <f t="shared" si="11"/>
        <v>8.50580107441698</v>
      </c>
      <c r="I92" s="2028">
        <f t="shared" si="11"/>
        <v>9.177895738766496</v>
      </c>
      <c r="J92" s="2028">
        <f t="shared" si="11"/>
        <v>7.914453129405927</v>
      </c>
      <c r="K92" s="2028">
        <f t="shared" si="11"/>
        <v>6.396595107962671</v>
      </c>
      <c r="L92" s="2028">
        <f t="shared" si="11"/>
        <v>5.9257026956560015</v>
      </c>
      <c r="M92" s="2060">
        <f t="shared" si="11"/>
        <v>4.583057785447241</v>
      </c>
      <c r="N92" s="2061">
        <f t="shared" si="11"/>
        <v>2.136786015985444</v>
      </c>
    </row>
    <row r="93" spans="1:14" s="108" customFormat="1" ht="35.25" customHeight="1">
      <c r="A93" s="2059">
        <v>43</v>
      </c>
      <c r="B93" s="2028" t="s">
        <v>5</v>
      </c>
      <c r="C93" s="2028"/>
      <c r="D93" s="2028">
        <f>(D83+D84)/D11*100</f>
        <v>4.295167371057775</v>
      </c>
      <c r="E93" s="2028">
        <f aca="true" t="shared" si="12" ref="E93:N93">(E81-E87)/E11*100</f>
        <v>5.990007417895525</v>
      </c>
      <c r="F93" s="2028">
        <f t="shared" si="12"/>
        <v>4.982982769166884</v>
      </c>
      <c r="G93" s="2028">
        <f t="shared" si="12"/>
        <v>8.11628429488503</v>
      </c>
      <c r="H93" s="2028">
        <f t="shared" si="12"/>
        <v>8.50580107441698</v>
      </c>
      <c r="I93" s="2028">
        <f t="shared" si="12"/>
        <v>9.177895738766496</v>
      </c>
      <c r="J93" s="2028">
        <f t="shared" si="12"/>
        <v>7.914453129405927</v>
      </c>
      <c r="K93" s="2028">
        <f t="shared" si="12"/>
        <v>6.396595107962671</v>
      </c>
      <c r="L93" s="2028">
        <f t="shared" si="12"/>
        <v>5.9257026956560015</v>
      </c>
      <c r="M93" s="2060">
        <f t="shared" si="12"/>
        <v>4.583057785447241</v>
      </c>
      <c r="N93" s="2061">
        <f t="shared" si="12"/>
        <v>2.136786015985444</v>
      </c>
    </row>
    <row r="94" spans="1:14" s="108" customFormat="1" ht="38.25" customHeight="1" thickBot="1">
      <c r="A94" s="2078">
        <v>44</v>
      </c>
      <c r="B94" s="2079" t="s">
        <v>6</v>
      </c>
      <c r="C94" s="2079"/>
      <c r="D94" s="2079" t="e">
        <f>(D84+D85)/D12*100</f>
        <v>#DIV/0!</v>
      </c>
      <c r="E94" s="2079">
        <f>(E81-E85)/E11*100</f>
        <v>5.990007417895525</v>
      </c>
      <c r="F94" s="2079">
        <f aca="true" t="shared" si="13" ref="F94:N94">(F81-F85)/F11*100</f>
        <v>4.982982769166884</v>
      </c>
      <c r="G94" s="2079">
        <f t="shared" si="13"/>
        <v>6.0081954668255815</v>
      </c>
      <c r="H94" s="2079">
        <f t="shared" si="13"/>
        <v>6.402257650811494</v>
      </c>
      <c r="I94" s="2079">
        <f t="shared" si="13"/>
        <v>7.49184173289531</v>
      </c>
      <c r="J94" s="2079">
        <f t="shared" si="13"/>
        <v>6.282357121104456</v>
      </c>
      <c r="K94" s="2079">
        <f t="shared" si="13"/>
        <v>5.644054507025887</v>
      </c>
      <c r="L94" s="2079">
        <f t="shared" si="13"/>
        <v>5.1954613022175415</v>
      </c>
      <c r="M94" s="2079">
        <f t="shared" si="13"/>
        <v>3.8706742835699917</v>
      </c>
      <c r="N94" s="2080">
        <f t="shared" si="13"/>
        <v>1.4360907141464683</v>
      </c>
    </row>
    <row r="95" spans="1:10" ht="13.5" thickTop="1">
      <c r="A95" s="1111"/>
      <c r="B95" s="91"/>
      <c r="C95" s="2081"/>
      <c r="D95" s="2081"/>
      <c r="E95" s="2081"/>
      <c r="F95" s="2081"/>
      <c r="G95" s="2081"/>
      <c r="H95" s="2081"/>
      <c r="I95" s="2081"/>
      <c r="J95" s="2081"/>
    </row>
    <row r="96" spans="1:10" ht="12.75">
      <c r="A96" s="1111"/>
      <c r="B96" s="91"/>
      <c r="C96" s="2081"/>
      <c r="D96" s="2081"/>
      <c r="E96" s="2081"/>
      <c r="F96" s="2081"/>
      <c r="G96" s="2081"/>
      <c r="H96" s="2081"/>
      <c r="I96" s="2081"/>
      <c r="J96" s="2081"/>
    </row>
    <row r="97" spans="1:10" ht="12.75">
      <c r="A97" s="1111"/>
      <c r="B97" s="2082"/>
      <c r="C97" s="2083"/>
      <c r="D97" s="2081"/>
      <c r="E97" s="2081"/>
      <c r="F97" s="2081"/>
      <c r="G97" s="2081"/>
      <c r="H97" s="2081"/>
      <c r="I97" s="2081"/>
      <c r="J97" s="2081"/>
    </row>
    <row r="98" spans="1:10" ht="12.75">
      <c r="A98" s="1111"/>
      <c r="B98" s="2082"/>
      <c r="C98" s="2083"/>
      <c r="D98" s="2081"/>
      <c r="E98" s="2081"/>
      <c r="F98" s="2081"/>
      <c r="G98" s="2081"/>
      <c r="H98" s="2081"/>
      <c r="I98" s="2081"/>
      <c r="J98" s="2081"/>
    </row>
    <row r="99" spans="1:10" ht="12.75">
      <c r="A99" s="1111"/>
      <c r="B99" s="2082"/>
      <c r="C99" s="2084"/>
      <c r="D99" s="2081"/>
      <c r="E99" s="2081"/>
      <c r="F99" s="2081"/>
      <c r="G99" s="2081"/>
      <c r="H99" s="2081"/>
      <c r="I99" s="2081"/>
      <c r="J99" s="2081"/>
    </row>
    <row r="100" spans="1:10" ht="12.75">
      <c r="A100" s="1111"/>
      <c r="B100" s="2082"/>
      <c r="C100" s="2084"/>
      <c r="D100" s="2081"/>
      <c r="E100" s="2081"/>
      <c r="F100" s="2081"/>
      <c r="G100" s="2081"/>
      <c r="H100" s="2081"/>
      <c r="I100" s="2081"/>
      <c r="J100" s="2081"/>
    </row>
    <row r="101" spans="1:10" ht="12.75">
      <c r="A101" s="1111"/>
      <c r="B101" s="2082"/>
      <c r="C101" s="2083"/>
      <c r="D101" s="2081"/>
      <c r="E101" s="2081"/>
      <c r="F101" s="2081"/>
      <c r="G101" s="2081"/>
      <c r="H101" s="2081"/>
      <c r="I101" s="2081"/>
      <c r="J101" s="2081"/>
    </row>
    <row r="102" spans="1:10" ht="12.75">
      <c r="A102" s="1111"/>
      <c r="B102" s="2082"/>
      <c r="C102" s="2084"/>
      <c r="D102" s="2081"/>
      <c r="E102" s="2081"/>
      <c r="F102" s="2081"/>
      <c r="G102" s="2081"/>
      <c r="H102" s="2081"/>
      <c r="I102" s="2081"/>
      <c r="J102" s="2081"/>
    </row>
    <row r="103" spans="1:10" ht="12.75">
      <c r="A103" s="1111"/>
      <c r="B103" s="2082"/>
      <c r="C103" s="818"/>
      <c r="D103" s="2081"/>
      <c r="E103" s="2081"/>
      <c r="F103" s="2081"/>
      <c r="G103" s="2081"/>
      <c r="H103" s="2081"/>
      <c r="I103" s="2081"/>
      <c r="J103" s="2081"/>
    </row>
    <row r="104" spans="1:10" ht="12.75">
      <c r="A104" s="1111"/>
      <c r="B104" s="2082"/>
      <c r="C104" s="818"/>
      <c r="D104" s="2081"/>
      <c r="E104" s="2081"/>
      <c r="F104" s="2081"/>
      <c r="G104" s="2081"/>
      <c r="H104" s="2081"/>
      <c r="I104" s="2081"/>
      <c r="J104" s="2081"/>
    </row>
    <row r="105" spans="1:10" ht="12.75">
      <c r="A105" s="1111"/>
      <c r="B105" s="2082"/>
      <c r="C105" s="2084"/>
      <c r="D105" s="2081"/>
      <c r="E105" s="2081"/>
      <c r="F105" s="2081"/>
      <c r="G105" s="2081"/>
      <c r="H105" s="2081"/>
      <c r="I105" s="2081"/>
      <c r="J105" s="2081"/>
    </row>
    <row r="106" spans="1:10" ht="12.75">
      <c r="A106" s="1111"/>
      <c r="B106" s="2082"/>
      <c r="C106" s="2084"/>
      <c r="D106" s="2081"/>
      <c r="E106" s="2081"/>
      <c r="F106" s="2081"/>
      <c r="G106" s="2081"/>
      <c r="H106" s="2081"/>
      <c r="I106" s="2081"/>
      <c r="J106" s="2081"/>
    </row>
    <row r="107" spans="1:10" ht="12.75">
      <c r="A107" s="1111"/>
      <c r="B107" s="2082"/>
      <c r="C107" s="2084"/>
      <c r="D107" s="2081"/>
      <c r="E107" s="2081"/>
      <c r="F107" s="2081"/>
      <c r="G107" s="2081"/>
      <c r="H107" s="2081"/>
      <c r="I107" s="2081"/>
      <c r="J107" s="2081"/>
    </row>
    <row r="108" spans="1:10" ht="12.75">
      <c r="A108" s="1111"/>
      <c r="B108" s="2082"/>
      <c r="C108" s="2084"/>
      <c r="D108" s="2081"/>
      <c r="E108" s="2081"/>
      <c r="F108" s="2081"/>
      <c r="G108" s="2081"/>
      <c r="H108" s="2081"/>
      <c r="I108" s="2081"/>
      <c r="J108" s="2081"/>
    </row>
    <row r="109" spans="1:10" ht="12.75">
      <c r="A109" s="1111"/>
      <c r="B109" s="2082"/>
      <c r="C109" s="2084"/>
      <c r="D109" s="2081"/>
      <c r="E109" s="2081"/>
      <c r="F109" s="2081"/>
      <c r="G109" s="2081"/>
      <c r="H109" s="2081"/>
      <c r="I109" s="2081"/>
      <c r="J109" s="2081"/>
    </row>
    <row r="110" spans="1:10" ht="12.75">
      <c r="A110" s="1111"/>
      <c r="B110" s="2082"/>
      <c r="C110" s="2084"/>
      <c r="D110" s="2081"/>
      <c r="E110" s="2081"/>
      <c r="F110" s="2081"/>
      <c r="G110" s="2081"/>
      <c r="H110" s="2081"/>
      <c r="I110" s="2081"/>
      <c r="J110" s="2081"/>
    </row>
    <row r="111" spans="1:10" ht="12.75">
      <c r="A111" s="1111"/>
      <c r="B111" s="2082"/>
      <c r="C111" s="818"/>
      <c r="D111" s="818"/>
      <c r="E111" s="818"/>
      <c r="F111" s="818"/>
      <c r="G111" s="818"/>
      <c r="H111" s="818"/>
      <c r="I111" s="818"/>
      <c r="J111" s="818"/>
    </row>
    <row r="112" spans="1:10" ht="12.75">
      <c r="A112" s="1111"/>
      <c r="B112" s="2082"/>
      <c r="C112" s="2084"/>
      <c r="D112" s="2081"/>
      <c r="E112" s="2081"/>
      <c r="F112" s="2081"/>
      <c r="G112" s="2081"/>
      <c r="H112" s="2081"/>
      <c r="I112" s="2081"/>
      <c r="J112" s="2081"/>
    </row>
    <row r="113" spans="1:10" ht="12.75">
      <c r="A113" s="1111"/>
      <c r="B113" s="2082"/>
      <c r="C113" s="2084"/>
      <c r="D113" s="2081"/>
      <c r="E113" s="2081"/>
      <c r="F113" s="2081"/>
      <c r="G113" s="2081"/>
      <c r="H113" s="2081"/>
      <c r="I113" s="2081"/>
      <c r="J113" s="2081"/>
    </row>
    <row r="114" spans="1:10" ht="12.75">
      <c r="A114" s="1111"/>
      <c r="B114" s="2082"/>
      <c r="C114" s="2084"/>
      <c r="D114" s="2081"/>
      <c r="E114" s="2081"/>
      <c r="F114" s="2081"/>
      <c r="G114" s="2081"/>
      <c r="H114" s="2081"/>
      <c r="I114" s="2081"/>
      <c r="J114" s="2081"/>
    </row>
    <row r="115" spans="1:10" ht="12.75">
      <c r="A115" s="1111"/>
      <c r="B115" s="2082"/>
      <c r="C115" s="818"/>
      <c r="D115" s="818"/>
      <c r="E115" s="818"/>
      <c r="F115" s="818"/>
      <c r="G115" s="818"/>
      <c r="H115" s="818"/>
      <c r="I115" s="818"/>
      <c r="J115" s="818"/>
    </row>
    <row r="116" spans="1:10" ht="12.75">
      <c r="A116" s="1111"/>
      <c r="B116" s="2082"/>
      <c r="C116" s="818"/>
      <c r="D116" s="818"/>
      <c r="E116" s="818"/>
      <c r="F116" s="818"/>
      <c r="G116" s="818"/>
      <c r="H116" s="818"/>
      <c r="I116" s="818"/>
      <c r="J116" s="818"/>
    </row>
    <row r="117" spans="1:7" ht="12.75">
      <c r="A117" s="1111"/>
      <c r="B117" s="2082"/>
      <c r="C117" s="2082"/>
      <c r="D117" s="2082"/>
      <c r="E117" s="2082"/>
      <c r="F117" s="2082"/>
      <c r="G117" s="2082"/>
    </row>
    <row r="118" spans="1:7" ht="12.75">
      <c r="A118" s="1111"/>
      <c r="B118" s="2082"/>
      <c r="C118" s="2082"/>
      <c r="D118" s="2082"/>
      <c r="E118" s="2082"/>
      <c r="F118" s="2082"/>
      <c r="G118" s="2082"/>
    </row>
    <row r="119" spans="1:7" ht="12.75">
      <c r="A119" s="1111"/>
      <c r="B119" s="2082"/>
      <c r="C119" s="2082"/>
      <c r="D119" s="2082"/>
      <c r="E119" s="2082"/>
      <c r="F119" s="2082"/>
      <c r="G119" s="2082"/>
    </row>
    <row r="120" spans="1:7" ht="12.75">
      <c r="A120" s="1111"/>
      <c r="B120" s="2082"/>
      <c r="C120" s="2082"/>
      <c r="D120" s="2082"/>
      <c r="E120" s="2082"/>
      <c r="F120" s="2082"/>
      <c r="G120" s="2082"/>
    </row>
    <row r="121" spans="1:7" ht="12.75">
      <c r="A121" s="1111"/>
      <c r="B121" s="2082"/>
      <c r="C121" s="2082"/>
      <c r="D121" s="2082"/>
      <c r="E121" s="2082"/>
      <c r="F121" s="2082"/>
      <c r="G121" s="2082"/>
    </row>
    <row r="122" spans="1:7" ht="12.75">
      <c r="A122" s="1111"/>
      <c r="B122" s="2082"/>
      <c r="C122" s="2082"/>
      <c r="D122" s="2082"/>
      <c r="E122" s="2082"/>
      <c r="F122" s="2082"/>
      <c r="G122" s="2082"/>
    </row>
    <row r="123" spans="1:7" ht="12.75">
      <c r="A123" s="1111"/>
      <c r="B123" s="2082"/>
      <c r="C123" s="2082"/>
      <c r="D123" s="2082"/>
      <c r="E123" s="2082"/>
      <c r="F123" s="2082"/>
      <c r="G123" s="2082"/>
    </row>
    <row r="124" spans="1:7" ht="12.75">
      <c r="A124" s="1111"/>
      <c r="B124" s="2082"/>
      <c r="C124" s="2082"/>
      <c r="D124" s="2082"/>
      <c r="E124" s="2082"/>
      <c r="F124" s="2082"/>
      <c r="G124" s="2082"/>
    </row>
    <row r="125" spans="1:7" ht="12.75">
      <c r="A125" s="1111"/>
      <c r="B125" s="2082"/>
      <c r="C125" s="2082"/>
      <c r="D125" s="2082"/>
      <c r="E125" s="2082"/>
      <c r="F125" s="2082"/>
      <c r="G125" s="2082"/>
    </row>
    <row r="126" spans="1:7" ht="12.75">
      <c r="A126" s="1111"/>
      <c r="B126" s="2082"/>
      <c r="C126" s="2082"/>
      <c r="D126" s="2082"/>
      <c r="E126" s="2082"/>
      <c r="F126" s="2082"/>
      <c r="G126" s="2082"/>
    </row>
    <row r="127" spans="1:7" ht="12.75">
      <c r="A127" s="1111"/>
      <c r="B127" s="2082"/>
      <c r="C127" s="2082"/>
      <c r="D127" s="2082"/>
      <c r="E127" s="2082"/>
      <c r="F127" s="2082"/>
      <c r="G127" s="2082"/>
    </row>
    <row r="128" spans="1:7" ht="12.75">
      <c r="A128" s="1111"/>
      <c r="B128" s="2082"/>
      <c r="C128" s="2082"/>
      <c r="D128" s="2082"/>
      <c r="E128" s="2082"/>
      <c r="F128" s="2082"/>
      <c r="G128" s="2082"/>
    </row>
    <row r="129" spans="1:7" ht="12.75">
      <c r="A129" s="1111"/>
      <c r="B129" s="2082"/>
      <c r="C129" s="2082"/>
      <c r="D129" s="2082"/>
      <c r="E129" s="2082"/>
      <c r="F129" s="2082"/>
      <c r="G129" s="2082"/>
    </row>
    <row r="130" spans="1:7" ht="12.75">
      <c r="A130" s="1111"/>
      <c r="B130" s="2082"/>
      <c r="C130" s="2082"/>
      <c r="D130" s="2082"/>
      <c r="E130" s="2082"/>
      <c r="F130" s="2082"/>
      <c r="G130" s="2082"/>
    </row>
    <row r="131" spans="1:7" ht="12.75">
      <c r="A131" s="1111"/>
      <c r="B131" s="2082"/>
      <c r="C131" s="2082"/>
      <c r="D131" s="2082"/>
      <c r="E131" s="2082"/>
      <c r="F131" s="2082"/>
      <c r="G131" s="2082"/>
    </row>
    <row r="132" spans="1:7" ht="12.75">
      <c r="A132" s="1111"/>
      <c r="B132" s="2082"/>
      <c r="C132" s="2082"/>
      <c r="D132" s="2082"/>
      <c r="E132" s="2082"/>
      <c r="F132" s="2082"/>
      <c r="G132" s="2082"/>
    </row>
    <row r="133" spans="1:7" ht="12.75">
      <c r="A133" s="1111"/>
      <c r="B133" s="2082"/>
      <c r="C133" s="2082"/>
      <c r="D133" s="2082"/>
      <c r="E133" s="2082"/>
      <c r="F133" s="2082"/>
      <c r="G133" s="2082"/>
    </row>
    <row r="134" spans="1:7" ht="12.75">
      <c r="A134" s="1111"/>
      <c r="B134" s="2082"/>
      <c r="C134" s="2082"/>
      <c r="D134" s="2082"/>
      <c r="E134" s="2082"/>
      <c r="F134" s="2082"/>
      <c r="G134" s="2082"/>
    </row>
    <row r="135" spans="1:7" ht="12.75">
      <c r="A135" s="1111"/>
      <c r="B135" s="2082"/>
      <c r="C135" s="2082"/>
      <c r="D135" s="2082"/>
      <c r="E135" s="2082"/>
      <c r="F135" s="2082"/>
      <c r="G135" s="2082"/>
    </row>
    <row r="136" spans="1:7" ht="12.75">
      <c r="A136" s="1111"/>
      <c r="B136" s="2082"/>
      <c r="C136" s="2082"/>
      <c r="D136" s="2082"/>
      <c r="E136" s="2082"/>
      <c r="F136" s="2082"/>
      <c r="G136" s="2082"/>
    </row>
    <row r="137" spans="1:7" ht="12.75">
      <c r="A137" s="1111"/>
      <c r="B137" s="2082"/>
      <c r="C137" s="2082"/>
      <c r="D137" s="2082"/>
      <c r="E137" s="2082"/>
      <c r="F137" s="2082"/>
      <c r="G137" s="2082"/>
    </row>
    <row r="138" spans="1:7" ht="12.75">
      <c r="A138" s="1111"/>
      <c r="B138" s="2082"/>
      <c r="C138" s="2082"/>
      <c r="D138" s="2082"/>
      <c r="E138" s="2082"/>
      <c r="F138" s="2082"/>
      <c r="G138" s="2082"/>
    </row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mergeCells count="3">
    <mergeCell ref="L7:M7"/>
    <mergeCell ref="H8:M8"/>
    <mergeCell ref="A87:A9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87"/>
  <sheetViews>
    <sheetView workbookViewId="0" topLeftCell="A1">
      <selection activeCell="D14" sqref="D14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.125" style="1050" customWidth="1"/>
    <col min="4" max="4" width="38.375" style="1045" customWidth="1"/>
    <col min="5" max="5" width="12.375" style="1045" customWidth="1"/>
    <col min="6" max="6" width="9.00390625" style="916" customWidth="1"/>
    <col min="7" max="7" width="9.875" style="920" customWidth="1"/>
    <col min="8" max="8" width="8.625" style="920" customWidth="1"/>
    <col min="9" max="9" width="11.75390625" style="920" customWidth="1"/>
    <col min="10" max="11" width="11.625" style="920" customWidth="1"/>
    <col min="12" max="15" width="9.125" style="920" customWidth="1"/>
  </cols>
  <sheetData>
    <row r="1" ht="12.75">
      <c r="J1" s="77" t="s">
        <v>7</v>
      </c>
    </row>
    <row r="2" ht="12.75">
      <c r="J2" s="919" t="s">
        <v>118</v>
      </c>
    </row>
    <row r="3" ht="12.75">
      <c r="J3" s="919" t="s">
        <v>119</v>
      </c>
    </row>
    <row r="4" ht="12.75">
      <c r="J4" s="919" t="s">
        <v>120</v>
      </c>
    </row>
    <row r="5" spans="1:12" ht="24.75" customHeight="1">
      <c r="A5" s="1745" t="s">
        <v>8</v>
      </c>
      <c r="D5" s="1041"/>
      <c r="E5" s="1041"/>
      <c r="F5" s="2085"/>
      <c r="G5" s="2086"/>
      <c r="H5" s="2086"/>
      <c r="I5" s="2086"/>
      <c r="J5" s="2086"/>
      <c r="K5" s="2086"/>
      <c r="L5" s="2086"/>
    </row>
    <row r="6" spans="10:11" ht="13.5" thickBot="1">
      <c r="J6" s="2087"/>
      <c r="K6" s="2088" t="s">
        <v>9</v>
      </c>
    </row>
    <row r="7" spans="1:11" ht="53.25" customHeight="1" thickTop="1">
      <c r="A7" s="2089" t="s">
        <v>124</v>
      </c>
      <c r="B7" s="2090" t="s">
        <v>10</v>
      </c>
      <c r="C7" s="2090" t="s">
        <v>417</v>
      </c>
      <c r="D7" s="2091" t="s">
        <v>11</v>
      </c>
      <c r="E7" s="2092" t="s">
        <v>12</v>
      </c>
      <c r="F7" s="1569" t="s">
        <v>13</v>
      </c>
      <c r="G7" s="2231"/>
      <c r="H7" s="2090" t="s">
        <v>14</v>
      </c>
      <c r="I7" s="2232" t="s">
        <v>15</v>
      </c>
      <c r="J7" s="2233"/>
      <c r="K7" s="2234"/>
    </row>
    <row r="8" spans="1:11" ht="39" customHeight="1">
      <c r="A8" s="2093"/>
      <c r="B8" s="2094"/>
      <c r="C8" s="2094"/>
      <c r="D8" s="2095"/>
      <c r="E8" s="2096" t="s">
        <v>16</v>
      </c>
      <c r="F8" s="2097" t="s">
        <v>17</v>
      </c>
      <c r="G8" s="2097" t="s">
        <v>18</v>
      </c>
      <c r="H8" s="2096" t="s">
        <v>19</v>
      </c>
      <c r="I8" s="930" t="s">
        <v>414</v>
      </c>
      <c r="J8" s="2098" t="s">
        <v>818</v>
      </c>
      <c r="K8" s="2099" t="s">
        <v>819</v>
      </c>
    </row>
    <row r="9" spans="1:11" s="2105" customFormat="1" ht="12">
      <c r="A9" s="2100">
        <v>1</v>
      </c>
      <c r="B9" s="2101">
        <v>2</v>
      </c>
      <c r="C9" s="2102">
        <v>3</v>
      </c>
      <c r="D9" s="2101">
        <v>4</v>
      </c>
      <c r="E9" s="2101">
        <v>5</v>
      </c>
      <c r="F9" s="2101">
        <v>6</v>
      </c>
      <c r="G9" s="2101">
        <v>7</v>
      </c>
      <c r="H9" s="2101">
        <v>8</v>
      </c>
      <c r="I9" s="2101">
        <v>9</v>
      </c>
      <c r="J9" s="2101">
        <v>10</v>
      </c>
      <c r="K9" s="2103">
        <v>11</v>
      </c>
    </row>
    <row r="10" spans="1:15" s="2116" customFormat="1" ht="20.25" customHeight="1">
      <c r="A10" s="1686"/>
      <c r="B10" s="2106"/>
      <c r="C10" s="2106" t="s">
        <v>200</v>
      </c>
      <c r="D10" s="2107" t="s">
        <v>20</v>
      </c>
      <c r="E10" s="2108"/>
      <c r="F10" s="2109"/>
      <c r="G10" s="2110"/>
      <c r="H10" s="2111"/>
      <c r="I10" s="2112">
        <f>SUM(I11:I33)</f>
        <v>26366.9</v>
      </c>
      <c r="J10" s="2113">
        <f>SUM(J11:J33)</f>
        <v>9900</v>
      </c>
      <c r="K10" s="2114">
        <f>SUM(K11:K33)</f>
        <v>8500</v>
      </c>
      <c r="L10" s="2115"/>
      <c r="M10" s="2115"/>
      <c r="N10" s="2115"/>
      <c r="O10" s="2115"/>
    </row>
    <row r="11" spans="1:58" s="1045" customFormat="1" ht="27.75" customHeight="1">
      <c r="A11" s="2117">
        <v>600</v>
      </c>
      <c r="B11" s="2118">
        <v>60015</v>
      </c>
      <c r="C11" s="2119" t="s">
        <v>21</v>
      </c>
      <c r="D11" s="2120" t="s">
        <v>22</v>
      </c>
      <c r="E11" s="2121" t="s">
        <v>23</v>
      </c>
      <c r="F11" s="2122">
        <v>2004</v>
      </c>
      <c r="G11" s="2122">
        <v>2006</v>
      </c>
      <c r="H11" s="2123">
        <v>30000</v>
      </c>
      <c r="I11" s="2123">
        <v>12000</v>
      </c>
      <c r="J11" s="2123">
        <v>0</v>
      </c>
      <c r="K11" s="2124">
        <v>0</v>
      </c>
      <c r="L11" s="920"/>
      <c r="M11" s="920"/>
      <c r="N11" s="920"/>
      <c r="O11" s="92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11" ht="22.5" customHeight="1">
      <c r="A12" s="2117">
        <v>600</v>
      </c>
      <c r="B12" s="2118">
        <v>60016</v>
      </c>
      <c r="C12" s="2125">
        <v>6050</v>
      </c>
      <c r="D12" s="2126" t="s">
        <v>24</v>
      </c>
      <c r="E12" s="2127" t="s">
        <v>466</v>
      </c>
      <c r="F12" s="2128">
        <v>1998</v>
      </c>
      <c r="G12" s="2128" t="s">
        <v>25</v>
      </c>
      <c r="H12" s="2129">
        <v>4000</v>
      </c>
      <c r="I12" s="2129">
        <v>200</v>
      </c>
      <c r="J12" s="2129">
        <v>300</v>
      </c>
      <c r="K12" s="2130">
        <v>300</v>
      </c>
    </row>
    <row r="13" spans="1:11" ht="25.5" customHeight="1">
      <c r="A13" s="2117">
        <v>600</v>
      </c>
      <c r="B13" s="2118">
        <v>60016</v>
      </c>
      <c r="C13" s="2125">
        <v>6050</v>
      </c>
      <c r="D13" s="2126" t="s">
        <v>26</v>
      </c>
      <c r="E13" s="2127" t="s">
        <v>466</v>
      </c>
      <c r="F13" s="2128">
        <v>1998</v>
      </c>
      <c r="G13" s="2128">
        <v>2006</v>
      </c>
      <c r="H13" s="2129">
        <v>3800</v>
      </c>
      <c r="I13" s="2129">
        <v>300</v>
      </c>
      <c r="J13" s="2129">
        <v>750</v>
      </c>
      <c r="K13" s="2130">
        <v>0</v>
      </c>
    </row>
    <row r="14" spans="1:11" ht="22.5" customHeight="1">
      <c r="A14" s="2117">
        <v>600</v>
      </c>
      <c r="B14" s="2118">
        <v>60016</v>
      </c>
      <c r="C14" s="2125">
        <v>6050</v>
      </c>
      <c r="D14" s="2126" t="s">
        <v>27</v>
      </c>
      <c r="E14" s="2127" t="s">
        <v>466</v>
      </c>
      <c r="F14" s="2128">
        <v>2005</v>
      </c>
      <c r="G14" s="2128">
        <v>2006</v>
      </c>
      <c r="H14" s="2129">
        <v>1510</v>
      </c>
      <c r="I14" s="2129">
        <v>500</v>
      </c>
      <c r="J14" s="2129">
        <v>200</v>
      </c>
      <c r="K14" s="2130">
        <v>0</v>
      </c>
    </row>
    <row r="15" spans="1:11" ht="22.5" customHeight="1">
      <c r="A15" s="2117">
        <v>600</v>
      </c>
      <c r="B15" s="2118">
        <v>60017</v>
      </c>
      <c r="C15" s="2125">
        <v>6050</v>
      </c>
      <c r="D15" s="2126" t="s">
        <v>28</v>
      </c>
      <c r="E15" s="2127" t="s">
        <v>29</v>
      </c>
      <c r="F15" s="2128">
        <v>2005</v>
      </c>
      <c r="G15" s="2128">
        <v>2006</v>
      </c>
      <c r="H15" s="2129">
        <v>1000</v>
      </c>
      <c r="I15" s="2129">
        <v>400</v>
      </c>
      <c r="J15" s="2129"/>
      <c r="K15" s="2130"/>
    </row>
    <row r="16" spans="1:58" ht="27.75" customHeight="1">
      <c r="A16" s="2117">
        <v>700</v>
      </c>
      <c r="B16" s="2118">
        <v>70095</v>
      </c>
      <c r="C16" s="2125">
        <v>6050</v>
      </c>
      <c r="D16" s="2131" t="s">
        <v>30</v>
      </c>
      <c r="E16" s="2118" t="s">
        <v>31</v>
      </c>
      <c r="F16" s="2132">
        <v>2004</v>
      </c>
      <c r="G16" s="2128" t="s">
        <v>25</v>
      </c>
      <c r="H16" s="2133">
        <v>6489.2</v>
      </c>
      <c r="I16" s="2133">
        <v>1570</v>
      </c>
      <c r="J16" s="2133">
        <v>1200</v>
      </c>
      <c r="K16" s="2124">
        <v>1200</v>
      </c>
      <c r="L16" s="1045"/>
      <c r="M16" s="1045"/>
      <c r="N16" s="1045"/>
      <c r="O16" s="104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7.75" customHeight="1">
      <c r="A17" s="2117">
        <v>754</v>
      </c>
      <c r="B17" s="2118">
        <v>75405</v>
      </c>
      <c r="C17" s="2125">
        <v>6170</v>
      </c>
      <c r="D17" s="2131" t="s">
        <v>32</v>
      </c>
      <c r="E17" s="2118" t="s">
        <v>33</v>
      </c>
      <c r="F17" s="2132">
        <v>2005</v>
      </c>
      <c r="G17" s="2128">
        <v>2006</v>
      </c>
      <c r="H17" s="2133">
        <v>300</v>
      </c>
      <c r="I17" s="2133">
        <v>250</v>
      </c>
      <c r="J17" s="2133"/>
      <c r="K17" s="2124"/>
      <c r="L17" s="1045"/>
      <c r="M17" s="1045"/>
      <c r="N17" s="1045"/>
      <c r="O17" s="104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7.75" customHeight="1">
      <c r="A18" s="2117">
        <v>801</v>
      </c>
      <c r="B18" s="2118">
        <v>80195</v>
      </c>
      <c r="C18" s="2125">
        <v>6050</v>
      </c>
      <c r="D18" s="2131" t="s">
        <v>34</v>
      </c>
      <c r="E18" s="2118" t="s">
        <v>35</v>
      </c>
      <c r="F18" s="2132" t="s">
        <v>36</v>
      </c>
      <c r="G18" s="2128"/>
      <c r="H18" s="2133">
        <v>1605.9</v>
      </c>
      <c r="I18" s="2133">
        <v>1605.9</v>
      </c>
      <c r="J18" s="2133"/>
      <c r="K18" s="2124"/>
      <c r="L18" s="1045"/>
      <c r="M18" s="1045"/>
      <c r="N18" s="1045"/>
      <c r="O18" s="104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7.75" customHeight="1">
      <c r="A19" s="2117">
        <v>854</v>
      </c>
      <c r="B19" s="2118">
        <v>85410</v>
      </c>
      <c r="C19" s="2125">
        <v>6050</v>
      </c>
      <c r="D19" s="2134" t="s">
        <v>37</v>
      </c>
      <c r="E19" s="2118" t="s">
        <v>35</v>
      </c>
      <c r="F19" s="2132">
        <v>2005</v>
      </c>
      <c r="G19" s="2128">
        <v>2005</v>
      </c>
      <c r="H19" s="2133">
        <v>400</v>
      </c>
      <c r="I19" s="2133">
        <v>160</v>
      </c>
      <c r="J19" s="2133"/>
      <c r="K19" s="2124"/>
      <c r="L19" s="1045"/>
      <c r="M19" s="1045"/>
      <c r="N19" s="1045"/>
      <c r="O19" s="104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11" ht="30" customHeight="1">
      <c r="A20" s="2117">
        <v>900</v>
      </c>
      <c r="B20" s="2118">
        <v>90001</v>
      </c>
      <c r="C20" s="2125">
        <v>6050</v>
      </c>
      <c r="D20" s="2134" t="s">
        <v>38</v>
      </c>
      <c r="E20" s="2135" t="s">
        <v>466</v>
      </c>
      <c r="F20" s="2132">
        <v>2004</v>
      </c>
      <c r="G20" s="2128" t="s">
        <v>25</v>
      </c>
      <c r="H20" s="2133">
        <v>22604</v>
      </c>
      <c r="I20" s="2133">
        <v>3000</v>
      </c>
      <c r="J20" s="2133">
        <v>1000</v>
      </c>
      <c r="K20" s="2124">
        <v>1000</v>
      </c>
    </row>
    <row r="21" spans="1:58" s="1645" customFormat="1" ht="24.75" customHeight="1">
      <c r="A21" s="2117">
        <v>900</v>
      </c>
      <c r="B21" s="2118">
        <v>90001</v>
      </c>
      <c r="C21" s="2125">
        <v>6050</v>
      </c>
      <c r="D21" s="2126" t="s">
        <v>39</v>
      </c>
      <c r="E21" s="2127" t="s">
        <v>466</v>
      </c>
      <c r="F21" s="2128">
        <v>2004</v>
      </c>
      <c r="G21" s="2128">
        <v>2008</v>
      </c>
      <c r="H21" s="2129">
        <v>5250</v>
      </c>
      <c r="I21" s="2129">
        <v>50</v>
      </c>
      <c r="J21" s="2129">
        <v>50</v>
      </c>
      <c r="K21" s="2130">
        <v>50</v>
      </c>
      <c r="L21" s="920"/>
      <c r="M21" s="920"/>
      <c r="N21" s="920"/>
      <c r="O21" s="92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645" customFormat="1" ht="31.5" customHeight="1">
      <c r="A22" s="2117">
        <v>900</v>
      </c>
      <c r="B22" s="2118">
        <v>90001</v>
      </c>
      <c r="C22" s="2125">
        <v>6050</v>
      </c>
      <c r="D22" s="2136" t="s">
        <v>40</v>
      </c>
      <c r="E22" s="2127" t="s">
        <v>466</v>
      </c>
      <c r="F22" s="2128">
        <v>2005</v>
      </c>
      <c r="G22" s="2128">
        <v>2007</v>
      </c>
      <c r="H22" s="2129">
        <v>3550</v>
      </c>
      <c r="I22" s="2129">
        <v>200</v>
      </c>
      <c r="J22" s="2129">
        <v>900</v>
      </c>
      <c r="K22" s="2130">
        <v>0</v>
      </c>
      <c r="L22" s="920"/>
      <c r="M22" s="920"/>
      <c r="N22" s="920"/>
      <c r="O22" s="92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15" s="8" customFormat="1" ht="27.75" customHeight="1">
      <c r="A23" s="2117">
        <v>900</v>
      </c>
      <c r="B23" s="2118">
        <v>90001</v>
      </c>
      <c r="C23" s="2125">
        <v>6050</v>
      </c>
      <c r="D23" s="2126" t="s">
        <v>41</v>
      </c>
      <c r="E23" s="2127" t="s">
        <v>466</v>
      </c>
      <c r="F23" s="2128">
        <v>2005</v>
      </c>
      <c r="G23" s="2128" t="s">
        <v>42</v>
      </c>
      <c r="H23" s="2129">
        <v>10000</v>
      </c>
      <c r="I23" s="2129">
        <v>500</v>
      </c>
      <c r="J23" s="2129">
        <v>1000</v>
      </c>
      <c r="K23" s="2130">
        <v>2000</v>
      </c>
      <c r="L23" s="1045"/>
      <c r="M23" s="1045"/>
      <c r="N23" s="1045"/>
      <c r="O23" s="1045"/>
    </row>
    <row r="24" spans="1:15" s="8" customFormat="1" ht="26.25" customHeight="1">
      <c r="A24" s="2117">
        <v>900</v>
      </c>
      <c r="B24" s="2118">
        <v>90001</v>
      </c>
      <c r="C24" s="2125">
        <v>6050</v>
      </c>
      <c r="D24" s="2126" t="s">
        <v>43</v>
      </c>
      <c r="E24" s="2127" t="s">
        <v>466</v>
      </c>
      <c r="F24" s="2128">
        <v>2005</v>
      </c>
      <c r="G24" s="2128" t="s">
        <v>25</v>
      </c>
      <c r="H24" s="2129">
        <v>7330</v>
      </c>
      <c r="I24" s="2129">
        <v>1000</v>
      </c>
      <c r="J24" s="2129">
        <v>50</v>
      </c>
      <c r="K24" s="2130">
        <v>50</v>
      </c>
      <c r="L24" s="1045"/>
      <c r="M24" s="1045"/>
      <c r="N24" s="1045"/>
      <c r="O24" s="1045"/>
    </row>
    <row r="25" spans="1:15" s="8" customFormat="1" ht="24" customHeight="1">
      <c r="A25" s="2117">
        <v>900</v>
      </c>
      <c r="B25" s="2118">
        <v>90015</v>
      </c>
      <c r="C25" s="2125">
        <v>6050</v>
      </c>
      <c r="D25" s="2126" t="s">
        <v>44</v>
      </c>
      <c r="E25" s="2127" t="s">
        <v>29</v>
      </c>
      <c r="F25" s="2128" t="s">
        <v>36</v>
      </c>
      <c r="G25" s="2128"/>
      <c r="H25" s="2129"/>
      <c r="I25" s="2129">
        <v>75</v>
      </c>
      <c r="J25" s="2129">
        <v>1000</v>
      </c>
      <c r="K25" s="2130">
        <v>1000</v>
      </c>
      <c r="L25" s="1045"/>
      <c r="M25" s="1045"/>
      <c r="N25" s="1045"/>
      <c r="O25" s="1045"/>
    </row>
    <row r="26" spans="1:15" s="8" customFormat="1" ht="24" customHeight="1">
      <c r="A26" s="2117">
        <v>900</v>
      </c>
      <c r="B26" s="2118">
        <v>90095</v>
      </c>
      <c r="C26" s="2125">
        <v>6050</v>
      </c>
      <c r="D26" s="2126" t="s">
        <v>45</v>
      </c>
      <c r="E26" s="2127" t="s">
        <v>466</v>
      </c>
      <c r="F26" s="2128">
        <v>2005</v>
      </c>
      <c r="G26" s="2128" t="s">
        <v>25</v>
      </c>
      <c r="H26" s="2129">
        <v>1322.6</v>
      </c>
      <c r="I26" s="2129">
        <v>100</v>
      </c>
      <c r="J26" s="2129">
        <v>50</v>
      </c>
      <c r="K26" s="2130">
        <v>500</v>
      </c>
      <c r="L26" s="1045"/>
      <c r="M26" s="1045"/>
      <c r="N26" s="1045"/>
      <c r="O26" s="1045"/>
    </row>
    <row r="27" spans="1:15" s="8" customFormat="1" ht="24" customHeight="1">
      <c r="A27" s="2117">
        <v>900</v>
      </c>
      <c r="B27" s="2118">
        <v>90095</v>
      </c>
      <c r="C27" s="2125">
        <v>6050</v>
      </c>
      <c r="D27" s="2126" t="s">
        <v>46</v>
      </c>
      <c r="E27" s="2127" t="s">
        <v>466</v>
      </c>
      <c r="F27" s="2128">
        <v>1999</v>
      </c>
      <c r="G27" s="2128" t="s">
        <v>25</v>
      </c>
      <c r="H27" s="2129">
        <v>7390</v>
      </c>
      <c r="I27" s="2129">
        <v>200</v>
      </c>
      <c r="J27" s="2129">
        <v>800</v>
      </c>
      <c r="K27" s="2130">
        <v>1000</v>
      </c>
      <c r="L27" s="1045"/>
      <c r="M27" s="1045"/>
      <c r="N27" s="1045"/>
      <c r="O27" s="1045"/>
    </row>
    <row r="28" spans="1:11" ht="24" customHeight="1">
      <c r="A28" s="2117">
        <v>900</v>
      </c>
      <c r="B28" s="2118">
        <v>90095</v>
      </c>
      <c r="C28" s="2125">
        <v>6050</v>
      </c>
      <c r="D28" s="2126" t="s">
        <v>47</v>
      </c>
      <c r="E28" s="2127" t="s">
        <v>466</v>
      </c>
      <c r="F28" s="2128" t="s">
        <v>48</v>
      </c>
      <c r="G28" s="2128"/>
      <c r="H28" s="2137" t="s">
        <v>48</v>
      </c>
      <c r="I28" s="2129">
        <v>150</v>
      </c>
      <c r="J28" s="2129">
        <v>150</v>
      </c>
      <c r="K28" s="2130">
        <v>150</v>
      </c>
    </row>
    <row r="29" spans="1:11" ht="24" customHeight="1">
      <c r="A29" s="2117">
        <v>900</v>
      </c>
      <c r="B29" s="2118">
        <v>90095</v>
      </c>
      <c r="C29" s="2125">
        <v>6050</v>
      </c>
      <c r="D29" s="2126" t="s">
        <v>49</v>
      </c>
      <c r="E29" s="2127" t="s">
        <v>466</v>
      </c>
      <c r="F29" s="2128" t="s">
        <v>48</v>
      </c>
      <c r="G29" s="2128"/>
      <c r="H29" s="2137" t="s">
        <v>48</v>
      </c>
      <c r="I29" s="2129">
        <v>100</v>
      </c>
      <c r="J29" s="2129">
        <v>50</v>
      </c>
      <c r="K29" s="2130">
        <v>50</v>
      </c>
    </row>
    <row r="30" spans="1:11" ht="24" customHeight="1">
      <c r="A30" s="2117">
        <v>900</v>
      </c>
      <c r="B30" s="2118">
        <v>90095</v>
      </c>
      <c r="C30" s="2125">
        <v>6050</v>
      </c>
      <c r="D30" s="2126" t="s">
        <v>50</v>
      </c>
      <c r="E30" s="2127" t="s">
        <v>466</v>
      </c>
      <c r="F30" s="2128" t="s">
        <v>48</v>
      </c>
      <c r="G30" s="2128"/>
      <c r="H30" s="2137" t="s">
        <v>48</v>
      </c>
      <c r="I30" s="2129">
        <v>230</v>
      </c>
      <c r="J30" s="2129">
        <v>200</v>
      </c>
      <c r="K30" s="2130">
        <v>200</v>
      </c>
    </row>
    <row r="31" spans="1:11" ht="24" customHeight="1">
      <c r="A31" s="2117">
        <v>921</v>
      </c>
      <c r="B31" s="2118">
        <v>92109</v>
      </c>
      <c r="C31" s="2125">
        <v>6220</v>
      </c>
      <c r="D31" s="2126" t="s">
        <v>51</v>
      </c>
      <c r="E31" s="2127" t="s">
        <v>470</v>
      </c>
      <c r="F31" s="2128">
        <v>2005</v>
      </c>
      <c r="G31" s="2128">
        <v>2006</v>
      </c>
      <c r="H31" s="2137">
        <v>200</v>
      </c>
      <c r="I31" s="2129">
        <v>176</v>
      </c>
      <c r="J31" s="2129"/>
      <c r="K31" s="2130"/>
    </row>
    <row r="32" spans="1:11" ht="24" customHeight="1">
      <c r="A32" s="2117">
        <v>921</v>
      </c>
      <c r="B32" s="2118">
        <v>92109</v>
      </c>
      <c r="C32" s="2138">
        <v>6050</v>
      </c>
      <c r="D32" s="2136" t="s">
        <v>52</v>
      </c>
      <c r="E32" s="2127" t="s">
        <v>466</v>
      </c>
      <c r="F32" s="2128">
        <v>2004</v>
      </c>
      <c r="G32" s="2128">
        <v>2007</v>
      </c>
      <c r="H32" s="2129">
        <v>1118.3</v>
      </c>
      <c r="I32" s="2129">
        <v>100</v>
      </c>
      <c r="J32" s="2129">
        <v>200</v>
      </c>
      <c r="K32" s="2130">
        <v>0</v>
      </c>
    </row>
    <row r="33" spans="1:15" s="8" customFormat="1" ht="24" customHeight="1">
      <c r="A33" s="2117">
        <v>926</v>
      </c>
      <c r="B33" s="2118">
        <v>92601</v>
      </c>
      <c r="C33" s="2125">
        <v>6050</v>
      </c>
      <c r="D33" s="2126" t="s">
        <v>53</v>
      </c>
      <c r="E33" s="2127" t="s">
        <v>54</v>
      </c>
      <c r="F33" s="2128">
        <v>2005</v>
      </c>
      <c r="G33" s="2128">
        <v>2008</v>
      </c>
      <c r="H33" s="2129">
        <v>10885.2</v>
      </c>
      <c r="I33" s="2129">
        <v>3500</v>
      </c>
      <c r="J33" s="2129">
        <v>2000</v>
      </c>
      <c r="K33" s="2130">
        <v>1000</v>
      </c>
      <c r="L33" s="1045"/>
      <c r="M33" s="1045"/>
      <c r="N33" s="1045"/>
      <c r="O33" s="1045"/>
    </row>
    <row r="34" spans="1:11" s="2148" customFormat="1" ht="24.75" customHeight="1">
      <c r="A34" s="2139"/>
      <c r="B34" s="2140"/>
      <c r="C34" s="2141" t="s">
        <v>207</v>
      </c>
      <c r="D34" s="2142" t="s">
        <v>55</v>
      </c>
      <c r="E34" s="2143"/>
      <c r="F34" s="2144"/>
      <c r="G34" s="2144"/>
      <c r="H34" s="2145"/>
      <c r="I34" s="2146">
        <f>SUM(I35:I58)</f>
        <v>31010.2</v>
      </c>
      <c r="J34" s="2146">
        <f>SUM(J35:J57)</f>
        <v>2410</v>
      </c>
      <c r="K34" s="2147">
        <f>SUM(K35:K57)</f>
        <v>1131</v>
      </c>
    </row>
    <row r="35" spans="1:15" s="8" customFormat="1" ht="38.25" customHeight="1">
      <c r="A35" s="2117">
        <v>600</v>
      </c>
      <c r="B35" s="2118">
        <v>60015</v>
      </c>
      <c r="C35" s="2135" t="s">
        <v>56</v>
      </c>
      <c r="D35" s="2134" t="s">
        <v>57</v>
      </c>
      <c r="E35" s="2118" t="s">
        <v>29</v>
      </c>
      <c r="F35" s="2132">
        <v>2006</v>
      </c>
      <c r="G35" s="2132">
        <v>2006</v>
      </c>
      <c r="H35" s="2133">
        <v>5200</v>
      </c>
      <c r="I35" s="2133">
        <v>5200</v>
      </c>
      <c r="J35" s="2133"/>
      <c r="K35" s="2124"/>
      <c r="L35" s="920"/>
      <c r="M35" s="1045"/>
      <c r="N35" s="1045"/>
      <c r="O35" s="1045"/>
    </row>
    <row r="36" spans="1:15" s="8" customFormat="1" ht="27" customHeight="1">
      <c r="A36" s="2117">
        <v>600</v>
      </c>
      <c r="B36" s="2118">
        <v>60015</v>
      </c>
      <c r="C36" s="2119">
        <v>6050</v>
      </c>
      <c r="D36" s="2149" t="s">
        <v>58</v>
      </c>
      <c r="E36" s="2121" t="s">
        <v>29</v>
      </c>
      <c r="F36" s="2122">
        <v>2005</v>
      </c>
      <c r="G36" s="2122">
        <v>2006</v>
      </c>
      <c r="H36" s="2123">
        <v>1600</v>
      </c>
      <c r="I36" s="2123">
        <v>1600</v>
      </c>
      <c r="J36" s="2123"/>
      <c r="K36" s="2124"/>
      <c r="L36" s="920"/>
      <c r="M36" s="1045"/>
      <c r="N36" s="1045"/>
      <c r="O36" s="1045"/>
    </row>
    <row r="37" spans="1:15" s="8" customFormat="1" ht="25.5" customHeight="1">
      <c r="A37" s="2117">
        <v>600</v>
      </c>
      <c r="B37" s="2118">
        <v>60015</v>
      </c>
      <c r="C37" s="2119">
        <v>6050</v>
      </c>
      <c r="D37" s="2149" t="s">
        <v>59</v>
      </c>
      <c r="E37" s="2121" t="s">
        <v>29</v>
      </c>
      <c r="F37" s="2122">
        <v>2006</v>
      </c>
      <c r="G37" s="2122">
        <v>2006</v>
      </c>
      <c r="H37" s="2123">
        <v>1600</v>
      </c>
      <c r="I37" s="2123">
        <v>1600</v>
      </c>
      <c r="J37" s="2123"/>
      <c r="K37" s="2124"/>
      <c r="L37" s="920"/>
      <c r="M37" s="1045"/>
      <c r="N37" s="1045"/>
      <c r="O37" s="1045"/>
    </row>
    <row r="38" spans="1:15" s="8" customFormat="1" ht="25.5" customHeight="1">
      <c r="A38" s="2117">
        <v>600</v>
      </c>
      <c r="B38" s="2118">
        <v>60015</v>
      </c>
      <c r="C38" s="2135">
        <v>6050</v>
      </c>
      <c r="D38" s="2134" t="s">
        <v>60</v>
      </c>
      <c r="E38" s="2118" t="s">
        <v>29</v>
      </c>
      <c r="F38" s="2122">
        <v>2006</v>
      </c>
      <c r="G38" s="2122">
        <v>2006</v>
      </c>
      <c r="H38" s="2123">
        <v>100</v>
      </c>
      <c r="I38" s="2123">
        <v>101</v>
      </c>
      <c r="J38" s="2123"/>
      <c r="K38" s="2124"/>
      <c r="L38" s="920"/>
      <c r="M38" s="1045"/>
      <c r="N38" s="1045"/>
      <c r="O38" s="1045"/>
    </row>
    <row r="39" spans="1:15" s="8" customFormat="1" ht="25.5" customHeight="1">
      <c r="A39" s="2117">
        <v>600</v>
      </c>
      <c r="B39" s="2118">
        <v>60015</v>
      </c>
      <c r="C39" s="2135" t="s">
        <v>61</v>
      </c>
      <c r="D39" s="2134" t="s">
        <v>62</v>
      </c>
      <c r="E39" s="2118" t="s">
        <v>466</v>
      </c>
      <c r="F39" s="2122">
        <v>2006</v>
      </c>
      <c r="G39" s="2122">
        <v>2006</v>
      </c>
      <c r="H39" s="2123">
        <v>1980.2</v>
      </c>
      <c r="I39" s="2123">
        <v>1980.2</v>
      </c>
      <c r="J39" s="2123"/>
      <c r="K39" s="2124"/>
      <c r="L39" s="920"/>
      <c r="M39" s="1045"/>
      <c r="N39" s="1045"/>
      <c r="O39" s="1045"/>
    </row>
    <row r="40" spans="1:15" s="8" customFormat="1" ht="25.5" customHeight="1">
      <c r="A40" s="2117">
        <v>600</v>
      </c>
      <c r="B40" s="2118">
        <v>60015</v>
      </c>
      <c r="C40" s="2135">
        <v>6050</v>
      </c>
      <c r="D40" s="2134" t="s">
        <v>63</v>
      </c>
      <c r="E40" s="2118" t="s">
        <v>29</v>
      </c>
      <c r="F40" s="2122">
        <v>2006</v>
      </c>
      <c r="G40" s="2122">
        <v>2006</v>
      </c>
      <c r="H40" s="2123">
        <v>5300</v>
      </c>
      <c r="I40" s="2123">
        <v>3000</v>
      </c>
      <c r="J40" s="2123">
        <v>2300</v>
      </c>
      <c r="K40" s="2124"/>
      <c r="L40" s="920"/>
      <c r="M40" s="1045"/>
      <c r="N40" s="1045"/>
      <c r="O40" s="1045"/>
    </row>
    <row r="41" spans="1:15" s="8" customFormat="1" ht="25.5" customHeight="1">
      <c r="A41" s="2117">
        <v>600</v>
      </c>
      <c r="B41" s="2118">
        <v>60016</v>
      </c>
      <c r="C41" s="2135">
        <v>6050</v>
      </c>
      <c r="D41" s="2134" t="s">
        <v>64</v>
      </c>
      <c r="E41" s="2118" t="s">
        <v>466</v>
      </c>
      <c r="F41" s="2122">
        <v>2006</v>
      </c>
      <c r="G41" s="2122">
        <v>2007</v>
      </c>
      <c r="H41" s="2123">
        <v>260</v>
      </c>
      <c r="I41" s="2123">
        <v>250</v>
      </c>
      <c r="J41" s="2123">
        <v>10</v>
      </c>
      <c r="K41" s="2124"/>
      <c r="L41" s="920"/>
      <c r="M41" s="1045"/>
      <c r="N41" s="1045"/>
      <c r="O41" s="1045"/>
    </row>
    <row r="42" spans="1:15" s="8" customFormat="1" ht="25.5" customHeight="1">
      <c r="A42" s="2117">
        <v>600</v>
      </c>
      <c r="B42" s="2118">
        <v>60016</v>
      </c>
      <c r="C42" s="2135">
        <v>6050</v>
      </c>
      <c r="D42" s="2134" t="s">
        <v>65</v>
      </c>
      <c r="E42" s="2118" t="s">
        <v>466</v>
      </c>
      <c r="F42" s="2122">
        <v>2006</v>
      </c>
      <c r="G42" s="2122">
        <v>2006</v>
      </c>
      <c r="H42" s="2123">
        <v>150</v>
      </c>
      <c r="I42" s="2123">
        <v>150</v>
      </c>
      <c r="J42" s="2123"/>
      <c r="K42" s="2124"/>
      <c r="L42" s="920"/>
      <c r="M42" s="1045"/>
      <c r="N42" s="1045"/>
      <c r="O42" s="1045"/>
    </row>
    <row r="43" spans="1:15" s="8" customFormat="1" ht="25.5" customHeight="1">
      <c r="A43" s="2117">
        <v>600</v>
      </c>
      <c r="B43" s="2118">
        <v>60016</v>
      </c>
      <c r="C43" s="2135">
        <v>6050</v>
      </c>
      <c r="D43" s="2134" t="s">
        <v>66</v>
      </c>
      <c r="E43" s="2118" t="s">
        <v>29</v>
      </c>
      <c r="F43" s="2122">
        <v>2006</v>
      </c>
      <c r="G43" s="2122">
        <v>2006</v>
      </c>
      <c r="H43" s="2123">
        <v>1500</v>
      </c>
      <c r="I43" s="2123">
        <v>1500</v>
      </c>
      <c r="J43" s="2123"/>
      <c r="K43" s="2124"/>
      <c r="L43" s="920"/>
      <c r="M43" s="1045"/>
      <c r="N43" s="1045"/>
      <c r="O43" s="1045"/>
    </row>
    <row r="44" spans="1:15" s="8" customFormat="1" ht="25.5" customHeight="1">
      <c r="A44" s="2117">
        <v>600</v>
      </c>
      <c r="B44" s="2118">
        <v>60017</v>
      </c>
      <c r="C44" s="2135">
        <v>6050</v>
      </c>
      <c r="D44" s="2134" t="s">
        <v>67</v>
      </c>
      <c r="E44" s="2118" t="s">
        <v>29</v>
      </c>
      <c r="F44" s="2122">
        <v>2006</v>
      </c>
      <c r="G44" s="2122">
        <v>2006</v>
      </c>
      <c r="H44" s="2123">
        <v>600</v>
      </c>
      <c r="I44" s="2123">
        <v>600</v>
      </c>
      <c r="J44" s="2123"/>
      <c r="K44" s="2124"/>
      <c r="L44" s="920"/>
      <c r="M44" s="1045"/>
      <c r="N44" s="1045"/>
      <c r="O44" s="1045"/>
    </row>
    <row r="45" spans="1:15" s="8" customFormat="1" ht="25.5" customHeight="1">
      <c r="A45" s="2117">
        <v>600</v>
      </c>
      <c r="B45" s="2118">
        <v>60017</v>
      </c>
      <c r="C45" s="2135">
        <v>6050</v>
      </c>
      <c r="D45" s="2134" t="s">
        <v>68</v>
      </c>
      <c r="E45" s="2118" t="s">
        <v>29</v>
      </c>
      <c r="F45" s="2122">
        <v>2006</v>
      </c>
      <c r="G45" s="2122">
        <v>2006</v>
      </c>
      <c r="H45" s="2123">
        <v>170</v>
      </c>
      <c r="I45" s="2123">
        <v>170</v>
      </c>
      <c r="J45" s="2123"/>
      <c r="K45" s="2124"/>
      <c r="L45" s="920"/>
      <c r="M45" s="1045"/>
      <c r="N45" s="1045"/>
      <c r="O45" s="1045"/>
    </row>
    <row r="46" spans="1:15" s="8" customFormat="1" ht="25.5" customHeight="1">
      <c r="A46" s="2117">
        <v>600</v>
      </c>
      <c r="B46" s="2118">
        <v>60017</v>
      </c>
      <c r="C46" s="2135">
        <v>6050</v>
      </c>
      <c r="D46" s="2134" t="s">
        <v>69</v>
      </c>
      <c r="E46" s="2118" t="s">
        <v>29</v>
      </c>
      <c r="F46" s="2122">
        <v>2006</v>
      </c>
      <c r="G46" s="2122">
        <v>2006</v>
      </c>
      <c r="H46" s="2123">
        <v>100</v>
      </c>
      <c r="I46" s="2123">
        <v>100</v>
      </c>
      <c r="J46" s="2123"/>
      <c r="K46" s="2124"/>
      <c r="L46" s="920"/>
      <c r="M46" s="1045"/>
      <c r="N46" s="1045"/>
      <c r="O46" s="1045"/>
    </row>
    <row r="47" spans="1:15" s="8" customFormat="1" ht="25.5" customHeight="1">
      <c r="A47" s="2117">
        <v>600</v>
      </c>
      <c r="B47" s="2118">
        <v>60017</v>
      </c>
      <c r="C47" s="2138">
        <v>6050</v>
      </c>
      <c r="D47" s="2150" t="s">
        <v>70</v>
      </c>
      <c r="E47" s="2151" t="s">
        <v>29</v>
      </c>
      <c r="F47" s="2122">
        <v>2006</v>
      </c>
      <c r="G47" s="2122">
        <v>2006</v>
      </c>
      <c r="H47" s="2123">
        <v>80</v>
      </c>
      <c r="I47" s="2123">
        <v>80</v>
      </c>
      <c r="J47" s="2123"/>
      <c r="K47" s="2124"/>
      <c r="L47" s="920"/>
      <c r="M47" s="1045"/>
      <c r="N47" s="1045"/>
      <c r="O47" s="1045"/>
    </row>
    <row r="48" spans="1:15" s="8" customFormat="1" ht="25.5" customHeight="1">
      <c r="A48" s="2117">
        <v>700</v>
      </c>
      <c r="B48" s="2118">
        <v>70001</v>
      </c>
      <c r="C48" s="2138">
        <v>6210</v>
      </c>
      <c r="D48" s="2150" t="s">
        <v>71</v>
      </c>
      <c r="E48" s="2151" t="s">
        <v>72</v>
      </c>
      <c r="F48" s="2122">
        <v>2006</v>
      </c>
      <c r="G48" s="2122">
        <v>2006</v>
      </c>
      <c r="H48" s="2123">
        <v>6500</v>
      </c>
      <c r="I48" s="2123">
        <v>6500</v>
      </c>
      <c r="J48" s="2123"/>
      <c r="K48" s="2124"/>
      <c r="L48" s="920"/>
      <c r="M48" s="1045"/>
      <c r="N48" s="1045"/>
      <c r="O48" s="1045"/>
    </row>
    <row r="49" spans="1:15" s="8" customFormat="1" ht="22.5" customHeight="1">
      <c r="A49" s="2117">
        <v>754</v>
      </c>
      <c r="B49" s="2118">
        <v>75411</v>
      </c>
      <c r="C49" s="2125">
        <v>6050</v>
      </c>
      <c r="D49" s="2152" t="s">
        <v>73</v>
      </c>
      <c r="E49" s="2151" t="s">
        <v>33</v>
      </c>
      <c r="F49" s="2128">
        <v>2006</v>
      </c>
      <c r="G49" s="2128">
        <v>2008</v>
      </c>
      <c r="H49" s="2129">
        <v>1161</v>
      </c>
      <c r="I49" s="2129">
        <v>30</v>
      </c>
      <c r="J49" s="2129">
        <v>50</v>
      </c>
      <c r="K49" s="2130">
        <v>1081</v>
      </c>
      <c r="L49" s="1045"/>
      <c r="M49" s="1045"/>
      <c r="N49" s="1045"/>
      <c r="O49" s="1045"/>
    </row>
    <row r="50" spans="1:15" s="8" customFormat="1" ht="25.5" customHeight="1">
      <c r="A50" s="2117">
        <v>851</v>
      </c>
      <c r="B50" s="2118">
        <v>85154</v>
      </c>
      <c r="C50" s="2125">
        <v>6050</v>
      </c>
      <c r="D50" s="2134" t="s">
        <v>74</v>
      </c>
      <c r="E50" s="2118" t="s">
        <v>75</v>
      </c>
      <c r="F50" s="2128">
        <v>2006</v>
      </c>
      <c r="G50" s="2128">
        <v>2006</v>
      </c>
      <c r="H50" s="2129">
        <v>120</v>
      </c>
      <c r="I50" s="2129">
        <v>120</v>
      </c>
      <c r="J50" s="2129"/>
      <c r="K50" s="2130"/>
      <c r="L50" s="1045"/>
      <c r="M50" s="1045"/>
      <c r="N50" s="1045"/>
      <c r="O50" s="1045"/>
    </row>
    <row r="51" spans="1:15" s="8" customFormat="1" ht="30" customHeight="1">
      <c r="A51" s="2117">
        <v>852</v>
      </c>
      <c r="B51" s="2118">
        <v>85295</v>
      </c>
      <c r="C51" s="2125">
        <v>6050</v>
      </c>
      <c r="D51" s="2134" t="s">
        <v>76</v>
      </c>
      <c r="E51" s="2118" t="s">
        <v>466</v>
      </c>
      <c r="F51" s="2132">
        <v>2004</v>
      </c>
      <c r="G51" s="2128">
        <v>2006</v>
      </c>
      <c r="H51" s="2133">
        <v>2800</v>
      </c>
      <c r="I51" s="2133">
        <v>1000</v>
      </c>
      <c r="J51" s="2133">
        <v>0</v>
      </c>
      <c r="K51" s="2124">
        <v>0</v>
      </c>
      <c r="L51" s="1045"/>
      <c r="M51" s="1045"/>
      <c r="N51" s="1045"/>
      <c r="O51" s="1045"/>
    </row>
    <row r="52" spans="1:15" s="8" customFormat="1" ht="30" customHeight="1">
      <c r="A52" s="2153">
        <v>854</v>
      </c>
      <c r="B52" s="2151">
        <v>85495</v>
      </c>
      <c r="C52" s="2125">
        <v>6050</v>
      </c>
      <c r="D52" s="2134" t="s">
        <v>77</v>
      </c>
      <c r="E52" s="2118" t="s">
        <v>35</v>
      </c>
      <c r="F52" s="2132">
        <v>2006</v>
      </c>
      <c r="G52" s="2128">
        <v>2006</v>
      </c>
      <c r="H52" s="2133">
        <v>35</v>
      </c>
      <c r="I52" s="2133">
        <v>35</v>
      </c>
      <c r="J52" s="2133"/>
      <c r="K52" s="2124"/>
      <c r="L52" s="1045"/>
      <c r="M52" s="1045"/>
      <c r="N52" s="1045"/>
      <c r="O52" s="1045"/>
    </row>
    <row r="53" spans="1:15" s="8" customFormat="1" ht="30" customHeight="1">
      <c r="A53" s="2153">
        <v>900</v>
      </c>
      <c r="B53" s="2151">
        <v>90001</v>
      </c>
      <c r="C53" s="2125">
        <v>6050</v>
      </c>
      <c r="D53" s="2134" t="s">
        <v>78</v>
      </c>
      <c r="E53" s="2118" t="s">
        <v>466</v>
      </c>
      <c r="F53" s="2132">
        <v>2006</v>
      </c>
      <c r="G53" s="2128">
        <v>2008</v>
      </c>
      <c r="H53" s="2133">
        <v>2460</v>
      </c>
      <c r="I53" s="2133">
        <v>100</v>
      </c>
      <c r="J53" s="2133">
        <v>50</v>
      </c>
      <c r="K53" s="2124">
        <v>50</v>
      </c>
      <c r="L53" s="1045"/>
      <c r="M53" s="1045"/>
      <c r="N53" s="1045"/>
      <c r="O53" s="1045"/>
    </row>
    <row r="54" spans="1:15" s="8" customFormat="1" ht="30" customHeight="1">
      <c r="A54" s="2117">
        <v>900</v>
      </c>
      <c r="B54" s="2118">
        <v>90013</v>
      </c>
      <c r="C54" s="2125">
        <v>6050</v>
      </c>
      <c r="D54" s="2134" t="s">
        <v>79</v>
      </c>
      <c r="E54" s="2118" t="s">
        <v>466</v>
      </c>
      <c r="F54" s="2132">
        <v>2006</v>
      </c>
      <c r="G54" s="2128">
        <v>2006</v>
      </c>
      <c r="H54" s="2133">
        <v>200</v>
      </c>
      <c r="I54" s="2133">
        <v>200</v>
      </c>
      <c r="J54" s="2133"/>
      <c r="K54" s="2124"/>
      <c r="L54" s="1045"/>
      <c r="M54" s="1045"/>
      <c r="N54" s="1045"/>
      <c r="O54" s="1045"/>
    </row>
    <row r="55" spans="1:15" s="8" customFormat="1" ht="24.75" customHeight="1">
      <c r="A55" s="2153">
        <v>900</v>
      </c>
      <c r="B55" s="2151">
        <v>90095</v>
      </c>
      <c r="C55" s="2125">
        <v>6050</v>
      </c>
      <c r="D55" s="2134" t="s">
        <v>80</v>
      </c>
      <c r="E55" s="2118" t="s">
        <v>81</v>
      </c>
      <c r="F55" s="2132">
        <v>2006</v>
      </c>
      <c r="G55" s="2128">
        <v>2006</v>
      </c>
      <c r="H55" s="2133">
        <v>600</v>
      </c>
      <c r="I55" s="2133">
        <v>600</v>
      </c>
      <c r="J55" s="2133"/>
      <c r="K55" s="2124"/>
      <c r="L55" s="1045"/>
      <c r="M55" s="1045"/>
      <c r="N55" s="1045"/>
      <c r="O55" s="1045"/>
    </row>
    <row r="56" spans="1:15" s="8" customFormat="1" ht="28.5" customHeight="1">
      <c r="A56" s="2117">
        <v>921</v>
      </c>
      <c r="B56" s="2118">
        <v>92106</v>
      </c>
      <c r="C56" s="2125">
        <v>6050</v>
      </c>
      <c r="D56" s="2134" t="s">
        <v>82</v>
      </c>
      <c r="E56" s="2118" t="s">
        <v>466</v>
      </c>
      <c r="F56" s="2132">
        <v>2004</v>
      </c>
      <c r="G56" s="2128">
        <v>2006</v>
      </c>
      <c r="H56" s="2133">
        <v>7960</v>
      </c>
      <c r="I56" s="2133">
        <v>200</v>
      </c>
      <c r="J56" s="2133">
        <v>0</v>
      </c>
      <c r="K56" s="2124">
        <v>0</v>
      </c>
      <c r="L56" s="1045"/>
      <c r="M56" s="1045"/>
      <c r="N56" s="1045"/>
      <c r="O56" s="1045"/>
    </row>
    <row r="57" spans="1:15" s="8" customFormat="1" ht="38.25" customHeight="1">
      <c r="A57" s="2153">
        <v>921</v>
      </c>
      <c r="B57" s="2151">
        <v>92118</v>
      </c>
      <c r="C57" s="2154" t="s">
        <v>83</v>
      </c>
      <c r="D57" s="2150" t="s">
        <v>84</v>
      </c>
      <c r="E57" s="2151" t="s">
        <v>54</v>
      </c>
      <c r="F57" s="2155">
        <v>2006</v>
      </c>
      <c r="G57" s="2156">
        <v>2006</v>
      </c>
      <c r="H57" s="2157">
        <v>1994</v>
      </c>
      <c r="I57" s="2157">
        <v>1894</v>
      </c>
      <c r="J57" s="2157">
        <v>0</v>
      </c>
      <c r="K57" s="2158">
        <v>0</v>
      </c>
      <c r="L57" s="1045"/>
      <c r="M57" s="1045"/>
      <c r="N57" s="1045"/>
      <c r="O57" s="1045"/>
    </row>
    <row r="58" spans="1:15" s="8" customFormat="1" ht="28.5" customHeight="1" thickBot="1">
      <c r="A58" s="2159">
        <v>926</v>
      </c>
      <c r="B58" s="2151">
        <v>92601</v>
      </c>
      <c r="C58" s="2151">
        <v>6050</v>
      </c>
      <c r="D58" s="2150" t="s">
        <v>85</v>
      </c>
      <c r="E58" s="2151" t="s">
        <v>54</v>
      </c>
      <c r="F58" s="2155">
        <v>2006</v>
      </c>
      <c r="G58" s="2156">
        <v>2008</v>
      </c>
      <c r="H58" s="2157">
        <v>18000</v>
      </c>
      <c r="I58" s="2157">
        <v>4000</v>
      </c>
      <c r="J58" s="2157">
        <v>750</v>
      </c>
      <c r="K58" s="2160">
        <v>750</v>
      </c>
      <c r="L58" s="1045"/>
      <c r="M58" s="1045"/>
      <c r="N58" s="1045"/>
      <c r="O58" s="1045"/>
    </row>
    <row r="59" spans="1:24" s="1119" customFormat="1" ht="24.75" customHeight="1" thickBot="1" thickTop="1">
      <c r="A59" s="2161"/>
      <c r="B59" s="2162"/>
      <c r="C59" s="2163"/>
      <c r="D59" s="2164" t="s">
        <v>86</v>
      </c>
      <c r="E59" s="2164"/>
      <c r="F59" s="2165"/>
      <c r="G59" s="2166"/>
      <c r="H59" s="2166"/>
      <c r="I59" s="2167">
        <f>I10+I34</f>
        <v>57377.100000000006</v>
      </c>
      <c r="J59" s="2167">
        <f>J10+J34</f>
        <v>12310</v>
      </c>
      <c r="K59" s="2168">
        <f>K10+K34</f>
        <v>9631</v>
      </c>
      <c r="L59" s="2148"/>
      <c r="M59" s="2148"/>
      <c r="N59" s="2148"/>
      <c r="O59" s="2148"/>
      <c r="P59" s="2148"/>
      <c r="Q59" s="2148"/>
      <c r="R59" s="2148"/>
      <c r="S59" s="2148"/>
      <c r="T59" s="2148"/>
      <c r="U59" s="2148"/>
      <c r="V59" s="2148"/>
      <c r="W59" s="2148"/>
      <c r="X59" s="2148"/>
    </row>
    <row r="60" spans="2:52" s="1645" customFormat="1" ht="13.5" thickTop="1">
      <c r="B60" s="91"/>
      <c r="C60" s="2169"/>
      <c r="D60" s="920"/>
      <c r="E60" s="920"/>
      <c r="F60" s="916"/>
      <c r="G60" s="920"/>
      <c r="H60" s="920"/>
      <c r="I60" s="92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2:15" ht="12.75">
      <c r="B61" s="91"/>
      <c r="D61" s="920"/>
      <c r="E61" s="920"/>
      <c r="J61"/>
      <c r="K61"/>
      <c r="L61"/>
      <c r="M61"/>
      <c r="N61"/>
      <c r="O61"/>
    </row>
    <row r="62" spans="3:15" ht="12.75">
      <c r="C62" s="2170"/>
      <c r="D62" s="920"/>
      <c r="E62" s="920"/>
      <c r="J62" t="s">
        <v>322</v>
      </c>
      <c r="K62"/>
      <c r="L62"/>
      <c r="M62"/>
      <c r="N62"/>
      <c r="O62"/>
    </row>
    <row r="63" spans="3:15" ht="12.75">
      <c r="C63" s="2169"/>
      <c r="D63" s="920"/>
      <c r="E63" s="920"/>
      <c r="J63"/>
      <c r="K63"/>
      <c r="L63"/>
      <c r="M63"/>
      <c r="N63"/>
      <c r="O63"/>
    </row>
    <row r="64" spans="3:18" ht="18.75">
      <c r="C64" s="2169"/>
      <c r="D64" s="1269"/>
      <c r="E64" s="1269"/>
      <c r="F64" s="1655"/>
      <c r="G64" s="1269"/>
      <c r="H64" s="1269"/>
      <c r="I64" s="1269"/>
      <c r="J64" s="2171"/>
      <c r="K64" s="2171"/>
      <c r="L64" s="2171"/>
      <c r="M64" s="2171"/>
      <c r="N64" s="2171"/>
      <c r="O64" s="2171"/>
      <c r="P64" s="2171"/>
      <c r="Q64" s="2171"/>
      <c r="R64" s="2171"/>
    </row>
    <row r="65" spans="3:52" ht="18">
      <c r="C65" s="2169"/>
      <c r="D65" s="1221"/>
      <c r="E65" s="1221"/>
      <c r="F65" s="2172"/>
      <c r="G65" s="1221"/>
      <c r="H65" s="1221"/>
      <c r="I65" s="1221"/>
      <c r="J65" s="2173"/>
      <c r="K65" s="2173"/>
      <c r="L65" s="2173"/>
      <c r="M65" s="2173"/>
      <c r="N65" s="2173"/>
      <c r="O65" s="2173"/>
      <c r="P65" s="2173"/>
      <c r="Q65" s="2173"/>
      <c r="R65" s="2173"/>
      <c r="S65" s="2171"/>
      <c r="T65" s="2171"/>
      <c r="U65" s="2171"/>
      <c r="V65" s="2171"/>
      <c r="W65" s="2171"/>
      <c r="X65" s="2171"/>
      <c r="Y65" s="2171"/>
      <c r="Z65" s="2171"/>
      <c r="AA65" s="2171"/>
      <c r="AB65" s="2171"/>
      <c r="AC65" s="2171"/>
      <c r="AD65" s="2171"/>
      <c r="AE65" s="2171"/>
      <c r="AF65" s="2171"/>
      <c r="AG65" s="2171"/>
      <c r="AH65" s="2171"/>
      <c r="AI65" s="2171"/>
      <c r="AJ65" s="2171"/>
      <c r="AK65" s="2171"/>
      <c r="AL65" s="2171"/>
      <c r="AM65" s="2171"/>
      <c r="AN65" s="2171"/>
      <c r="AO65" s="2171"/>
      <c r="AP65" s="2171"/>
      <c r="AQ65" s="2171"/>
      <c r="AR65" s="2171"/>
      <c r="AS65" s="2171"/>
      <c r="AT65" s="2171"/>
      <c r="AU65" s="2171"/>
      <c r="AV65" s="2171"/>
      <c r="AW65" s="2171"/>
      <c r="AX65" s="2171"/>
      <c r="AY65" s="2171"/>
      <c r="AZ65" s="2171"/>
    </row>
    <row r="66" spans="3:52" s="2171" customFormat="1" ht="18">
      <c r="C66" s="2169"/>
      <c r="D66" s="1221"/>
      <c r="E66" s="1221"/>
      <c r="F66" s="2172"/>
      <c r="G66" s="1221"/>
      <c r="H66" s="1221"/>
      <c r="I66" s="1221"/>
      <c r="J66" s="2173"/>
      <c r="K66" s="2173"/>
      <c r="L66" s="2173"/>
      <c r="M66" s="2173"/>
      <c r="N66" s="2173"/>
      <c r="O66" s="2173"/>
      <c r="P66" s="2173"/>
      <c r="Q66" s="2173"/>
      <c r="R66" s="2173"/>
      <c r="S66" s="2173"/>
      <c r="T66" s="2173"/>
      <c r="U66" s="2173"/>
      <c r="V66" s="2173"/>
      <c r="W66" s="2173"/>
      <c r="X66" s="2173"/>
      <c r="Y66" s="2173"/>
      <c r="Z66" s="2173"/>
      <c r="AA66" s="2173"/>
      <c r="AB66" s="2173"/>
      <c r="AC66" s="2173"/>
      <c r="AD66" s="2173"/>
      <c r="AE66" s="2173"/>
      <c r="AF66" s="2173"/>
      <c r="AG66" s="2173"/>
      <c r="AH66" s="2173"/>
      <c r="AI66" s="2173"/>
      <c r="AJ66" s="2173"/>
      <c r="AK66" s="2173"/>
      <c r="AL66" s="2173"/>
      <c r="AM66" s="2173"/>
      <c r="AN66" s="2173"/>
      <c r="AO66" s="2173"/>
      <c r="AP66" s="2173"/>
      <c r="AQ66" s="2173"/>
      <c r="AR66" s="2173"/>
      <c r="AS66" s="2173"/>
      <c r="AT66" s="2173"/>
      <c r="AU66" s="2173"/>
      <c r="AV66" s="2173"/>
      <c r="AW66" s="2173"/>
      <c r="AX66" s="2173"/>
      <c r="AY66" s="2173"/>
      <c r="AZ66" s="2173"/>
    </row>
    <row r="67" spans="3:9" s="2173" customFormat="1" ht="12.75">
      <c r="C67" s="2174"/>
      <c r="D67" s="1221"/>
      <c r="E67" s="1221"/>
      <c r="F67" s="2172"/>
      <c r="G67" s="1221"/>
      <c r="H67" s="1221"/>
      <c r="I67" s="1221"/>
    </row>
    <row r="68" spans="3:9" s="2173" customFormat="1" ht="12.75">
      <c r="C68" s="2174"/>
      <c r="D68" s="1221"/>
      <c r="E68" s="1221"/>
      <c r="F68" s="2172"/>
      <c r="G68" s="1221"/>
      <c r="H68" s="1221"/>
      <c r="I68" s="1221"/>
    </row>
    <row r="69" spans="3:18" s="2173" customFormat="1" ht="12.75">
      <c r="C69" s="2169"/>
      <c r="D69" s="1244"/>
      <c r="E69" s="1244"/>
      <c r="F69" s="2175"/>
      <c r="G69" s="1244"/>
      <c r="H69" s="1244"/>
      <c r="I69" s="1244"/>
      <c r="J69" s="1244"/>
      <c r="K69" s="1244"/>
      <c r="L69" s="1244"/>
      <c r="M69" s="1244"/>
      <c r="N69" s="1244"/>
      <c r="O69" s="1244"/>
      <c r="P69" s="1244"/>
      <c r="Q69" s="1244"/>
      <c r="R69" s="1244"/>
    </row>
    <row r="70" spans="3:52" s="2173" customFormat="1" ht="12.75">
      <c r="C70" s="2169"/>
      <c r="D70" s="1244"/>
      <c r="E70" s="1244"/>
      <c r="F70" s="2175"/>
      <c r="G70" s="1244"/>
      <c r="H70" s="1244"/>
      <c r="I70" s="1244"/>
      <c r="J70" s="1244"/>
      <c r="K70" s="1244"/>
      <c r="L70" s="1244"/>
      <c r="M70" s="1244"/>
      <c r="N70" s="1244"/>
      <c r="O70" s="1244"/>
      <c r="P70" s="1244"/>
      <c r="Q70" s="1244"/>
      <c r="R70" s="1244"/>
      <c r="S70" s="1244"/>
      <c r="T70" s="1244"/>
      <c r="U70" s="1244"/>
      <c r="V70" s="1244"/>
      <c r="W70" s="1244"/>
      <c r="X70" s="1244"/>
      <c r="Y70" s="1244"/>
      <c r="Z70" s="1244"/>
      <c r="AA70" s="1244"/>
      <c r="AB70" s="1244"/>
      <c r="AC70" s="1244"/>
      <c r="AD70" s="1244"/>
      <c r="AE70" s="1244"/>
      <c r="AF70" s="1244"/>
      <c r="AG70" s="1244"/>
      <c r="AH70" s="1244"/>
      <c r="AI70" s="1244"/>
      <c r="AJ70" s="1244"/>
      <c r="AK70" s="1244"/>
      <c r="AL70" s="1244"/>
      <c r="AM70" s="1244"/>
      <c r="AN70" s="1244"/>
      <c r="AO70" s="1244"/>
      <c r="AP70" s="1244"/>
      <c r="AQ70" s="1244"/>
      <c r="AR70" s="1244"/>
      <c r="AS70" s="1244"/>
      <c r="AT70" s="1244"/>
      <c r="AU70" s="1244"/>
      <c r="AV70" s="1244"/>
      <c r="AW70" s="1244"/>
      <c r="AX70" s="1244"/>
      <c r="AY70" s="1244"/>
      <c r="AZ70" s="1244"/>
    </row>
    <row r="71" spans="3:24" s="1244" customFormat="1" ht="12.75">
      <c r="C71" s="2169"/>
      <c r="D71" s="2173"/>
      <c r="E71" s="2173"/>
      <c r="F71" s="2175"/>
      <c r="L71" s="1221"/>
      <c r="M71" s="1221"/>
      <c r="N71" s="1221"/>
      <c r="O71" s="1221"/>
      <c r="P71" s="2173"/>
      <c r="Q71" s="2173"/>
      <c r="R71" s="2173"/>
      <c r="S71" s="2173"/>
      <c r="T71" s="2173"/>
      <c r="U71" s="2173"/>
      <c r="V71" s="2173"/>
      <c r="W71" s="2173"/>
      <c r="X71" s="2173"/>
    </row>
    <row r="72" spans="3:58" s="1244" customFormat="1" ht="12.75">
      <c r="C72" s="2169"/>
      <c r="D72" s="2173"/>
      <c r="E72" s="2173"/>
      <c r="F72" s="2175"/>
      <c r="L72" s="1221"/>
      <c r="M72" s="1221"/>
      <c r="N72" s="1221"/>
      <c r="O72" s="1221"/>
      <c r="P72" s="2173"/>
      <c r="Q72" s="2173"/>
      <c r="R72" s="2173"/>
      <c r="S72" s="2173"/>
      <c r="T72" s="2173"/>
      <c r="U72" s="2173"/>
      <c r="V72" s="2173"/>
      <c r="W72" s="2173"/>
      <c r="X72" s="2173"/>
      <c r="Y72" s="2173"/>
      <c r="Z72" s="2173"/>
      <c r="AA72" s="2173"/>
      <c r="AB72" s="2173"/>
      <c r="AC72" s="2173"/>
      <c r="AD72" s="2173"/>
      <c r="AE72" s="2173"/>
      <c r="AF72" s="2173"/>
      <c r="AG72" s="2173"/>
      <c r="AH72" s="2173"/>
      <c r="AI72" s="2173"/>
      <c r="AJ72" s="2173"/>
      <c r="AK72" s="2173"/>
      <c r="AL72" s="2173"/>
      <c r="AM72" s="2173"/>
      <c r="AN72" s="2173"/>
      <c r="AO72" s="2173"/>
      <c r="AP72" s="2173"/>
      <c r="AQ72" s="2173"/>
      <c r="AR72" s="2173"/>
      <c r="AS72" s="2173"/>
      <c r="AT72" s="2173"/>
      <c r="AU72" s="2173"/>
      <c r="AV72" s="2173"/>
      <c r="AW72" s="2173"/>
      <c r="AX72" s="2173"/>
      <c r="AY72" s="2173"/>
      <c r="AZ72" s="2173"/>
      <c r="BA72" s="2173"/>
      <c r="BB72" s="2173"/>
      <c r="BC72" s="2173"/>
      <c r="BD72" s="2173"/>
      <c r="BE72" s="2173"/>
      <c r="BF72" s="2173"/>
    </row>
    <row r="73" spans="3:15" s="2173" customFormat="1" ht="12.75">
      <c r="C73" s="2169"/>
      <c r="F73" s="2175"/>
      <c r="G73" s="1244"/>
      <c r="H73" s="1244"/>
      <c r="I73" s="1244"/>
      <c r="J73" s="1244"/>
      <c r="K73" s="1244"/>
      <c r="L73" s="1221"/>
      <c r="M73" s="1221"/>
      <c r="N73" s="1221"/>
      <c r="O73" s="1221"/>
    </row>
    <row r="74" spans="3:15" s="2173" customFormat="1" ht="12.75">
      <c r="C74" s="2169"/>
      <c r="D74" s="2176"/>
      <c r="E74" s="2176"/>
      <c r="F74" s="2177"/>
      <c r="G74" s="2178"/>
      <c r="H74" s="2178"/>
      <c r="I74" s="2178"/>
      <c r="J74" s="2178"/>
      <c r="K74" s="2178"/>
      <c r="L74" s="1221"/>
      <c r="M74" s="1221"/>
      <c r="N74" s="1221"/>
      <c r="O74" s="1221"/>
    </row>
    <row r="75" spans="3:15" s="2173" customFormat="1" ht="12.75">
      <c r="C75" s="2179"/>
      <c r="D75" s="2176"/>
      <c r="E75" s="2176"/>
      <c r="F75" s="2177"/>
      <c r="G75" s="2178"/>
      <c r="H75" s="2178"/>
      <c r="I75" s="2178"/>
      <c r="J75" s="2178"/>
      <c r="K75" s="2178"/>
      <c r="L75" s="1221"/>
      <c r="M75" s="1221"/>
      <c r="N75" s="1221"/>
      <c r="O75" s="1221"/>
    </row>
    <row r="76" spans="3:15" s="2173" customFormat="1" ht="12.75">
      <c r="C76" s="2179"/>
      <c r="D76" s="2176"/>
      <c r="E76" s="2176"/>
      <c r="F76" s="2177"/>
      <c r="G76" s="2178"/>
      <c r="H76" s="2178"/>
      <c r="I76" s="2178"/>
      <c r="J76" s="2178"/>
      <c r="K76" s="2178"/>
      <c r="L76" s="1221"/>
      <c r="M76" s="1221"/>
      <c r="N76" s="1221"/>
      <c r="O76" s="1221"/>
    </row>
    <row r="77" spans="3:24" s="2173" customFormat="1" ht="12.75">
      <c r="C77" s="2179"/>
      <c r="D77" s="2176"/>
      <c r="E77" s="2176"/>
      <c r="F77" s="2177"/>
      <c r="G77" s="2178"/>
      <c r="H77" s="2178"/>
      <c r="I77" s="2178"/>
      <c r="J77" s="2180"/>
      <c r="K77" s="2180"/>
      <c r="L77" s="2178"/>
      <c r="M77" s="2181"/>
      <c r="N77" s="2181"/>
      <c r="O77" s="2181"/>
      <c r="P77" s="2176"/>
      <c r="Q77" s="2176"/>
      <c r="R77" s="2176"/>
      <c r="S77" s="2176"/>
      <c r="T77" s="2176"/>
      <c r="U77" s="2176"/>
      <c r="V77" s="2176"/>
      <c r="W77" s="2176"/>
      <c r="X77" s="2176"/>
    </row>
    <row r="78" spans="3:58" s="2173" customFormat="1" ht="12.75">
      <c r="C78" s="2179"/>
      <c r="D78" s="2176"/>
      <c r="E78" s="2176"/>
      <c r="F78" s="2177"/>
      <c r="G78" s="2178"/>
      <c r="H78" s="2178"/>
      <c r="I78" s="2178"/>
      <c r="J78" s="2178"/>
      <c r="K78" s="2178"/>
      <c r="L78" s="2178"/>
      <c r="M78" s="2181"/>
      <c r="N78" s="2181"/>
      <c r="O78" s="2181"/>
      <c r="P78" s="2176"/>
      <c r="Q78" s="2176"/>
      <c r="R78" s="2176"/>
      <c r="S78" s="2176"/>
      <c r="T78" s="2176"/>
      <c r="U78" s="2176"/>
      <c r="V78" s="2176"/>
      <c r="W78" s="2176"/>
      <c r="X78" s="2176"/>
      <c r="Y78" s="2176"/>
      <c r="Z78" s="2176"/>
      <c r="AA78" s="2176"/>
      <c r="AB78" s="2176"/>
      <c r="AC78" s="2176"/>
      <c r="AD78" s="2176"/>
      <c r="AE78" s="2176"/>
      <c r="AF78" s="2176"/>
      <c r="AG78" s="2176"/>
      <c r="AH78" s="2176"/>
      <c r="AI78" s="2176"/>
      <c r="AJ78" s="2176"/>
      <c r="AK78" s="2176"/>
      <c r="AL78" s="2176"/>
      <c r="AM78" s="2176"/>
      <c r="AN78" s="2176"/>
      <c r="AO78" s="2176"/>
      <c r="AP78" s="2176"/>
      <c r="AQ78" s="2176"/>
      <c r="AR78" s="2176"/>
      <c r="AS78" s="2176"/>
      <c r="AT78" s="2176"/>
      <c r="AU78" s="2176"/>
      <c r="AV78" s="2176"/>
      <c r="AW78" s="2176"/>
      <c r="AX78" s="2176"/>
      <c r="AY78" s="2176"/>
      <c r="AZ78" s="2176"/>
      <c r="BA78" s="2176"/>
      <c r="BB78" s="2176"/>
      <c r="BC78" s="2176"/>
      <c r="BD78" s="2176"/>
      <c r="BE78" s="2176"/>
      <c r="BF78" s="2176"/>
    </row>
    <row r="79" spans="3:15" s="2176" customFormat="1" ht="12.75">
      <c r="C79" s="2179"/>
      <c r="F79" s="2177"/>
      <c r="G79" s="2178"/>
      <c r="H79" s="2178"/>
      <c r="I79" s="2178"/>
      <c r="J79" s="2178"/>
      <c r="K79" s="2178"/>
      <c r="L79" s="2178"/>
      <c r="M79" s="2181"/>
      <c r="N79" s="2181"/>
      <c r="O79" s="2181"/>
    </row>
    <row r="80" spans="3:15" s="2176" customFormat="1" ht="12.75">
      <c r="C80" s="2179"/>
      <c r="F80" s="2177"/>
      <c r="G80" s="2178"/>
      <c r="H80" s="2178"/>
      <c r="I80" s="2178"/>
      <c r="J80" s="2178"/>
      <c r="K80" s="2178"/>
      <c r="L80" s="2178"/>
      <c r="M80" s="2181"/>
      <c r="N80" s="2181"/>
      <c r="O80" s="2181"/>
    </row>
    <row r="81" spans="3:15" s="2176" customFormat="1" ht="12.75">
      <c r="C81" s="2179"/>
      <c r="F81" s="2177"/>
      <c r="G81" s="2178"/>
      <c r="H81" s="2178"/>
      <c r="I81" s="2178"/>
      <c r="J81" s="2178"/>
      <c r="K81" s="2178"/>
      <c r="L81" s="2178"/>
      <c r="M81" s="2181"/>
      <c r="N81" s="2181"/>
      <c r="O81" s="2181"/>
    </row>
    <row r="82" spans="3:15" s="2176" customFormat="1" ht="12.75">
      <c r="C82" s="2179"/>
      <c r="F82" s="2177"/>
      <c r="G82" s="2178"/>
      <c r="H82" s="2178"/>
      <c r="I82" s="2178"/>
      <c r="J82" s="2178"/>
      <c r="K82" s="2178"/>
      <c r="L82" s="2178"/>
      <c r="M82" s="2181"/>
      <c r="N82" s="2181"/>
      <c r="O82" s="2181"/>
    </row>
    <row r="83" spans="3:15" s="2176" customFormat="1" ht="12.75">
      <c r="C83" s="2179"/>
      <c r="D83" s="1045"/>
      <c r="E83" s="1045"/>
      <c r="F83" s="916"/>
      <c r="G83" s="920"/>
      <c r="H83" s="920"/>
      <c r="I83" s="920"/>
      <c r="J83" s="920"/>
      <c r="K83" s="920"/>
      <c r="L83" s="2178"/>
      <c r="M83" s="2181"/>
      <c r="N83" s="2181"/>
      <c r="O83" s="2181"/>
    </row>
    <row r="84" spans="3:15" s="2176" customFormat="1" ht="12.75">
      <c r="C84" s="1050"/>
      <c r="D84" s="1045"/>
      <c r="E84" s="1045"/>
      <c r="F84" s="916"/>
      <c r="G84" s="920"/>
      <c r="H84" s="920"/>
      <c r="I84" s="920"/>
      <c r="J84" s="920"/>
      <c r="K84" s="920"/>
      <c r="L84" s="2178"/>
      <c r="M84" s="2181"/>
      <c r="N84" s="2181"/>
      <c r="O84" s="2181"/>
    </row>
    <row r="85" spans="3:15" s="2176" customFormat="1" ht="12.75">
      <c r="C85" s="1050"/>
      <c r="D85" s="1045"/>
      <c r="E85" s="1045"/>
      <c r="F85" s="916"/>
      <c r="G85" s="920"/>
      <c r="H85" s="920"/>
      <c r="I85" s="920"/>
      <c r="J85" s="920"/>
      <c r="K85" s="920"/>
      <c r="L85" s="2178"/>
      <c r="M85" s="2181"/>
      <c r="N85" s="2181"/>
      <c r="O85" s="2181"/>
    </row>
    <row r="86" spans="3:24" s="2176" customFormat="1" ht="12.75">
      <c r="C86" s="1050"/>
      <c r="D86" s="1045"/>
      <c r="E86" s="1045"/>
      <c r="F86" s="916"/>
      <c r="G86" s="920"/>
      <c r="H86" s="920"/>
      <c r="I86" s="920"/>
      <c r="J86" s="920"/>
      <c r="K86" s="920"/>
      <c r="L86" s="920"/>
      <c r="M86" s="920"/>
      <c r="N86" s="920"/>
      <c r="O86" s="920"/>
      <c r="P86"/>
      <c r="Q86"/>
      <c r="R86"/>
      <c r="S86"/>
      <c r="T86"/>
      <c r="U86"/>
      <c r="V86"/>
      <c r="W86"/>
      <c r="X86"/>
    </row>
    <row r="87" spans="3:58" s="2176" customFormat="1" ht="12.75">
      <c r="C87" s="1050"/>
      <c r="D87" s="1045"/>
      <c r="E87" s="1045"/>
      <c r="F87" s="916"/>
      <c r="G87" s="920"/>
      <c r="H87" s="920"/>
      <c r="I87" s="920"/>
      <c r="J87" s="920"/>
      <c r="K87" s="920"/>
      <c r="L87" s="920"/>
      <c r="M87" s="920"/>
      <c r="N87" s="920"/>
      <c r="O87" s="920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</sheetData>
  <mergeCells count="2">
    <mergeCell ref="F7:G7"/>
    <mergeCell ref="I7:K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W3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2182" customWidth="1"/>
    <col min="4" max="4" width="31.75390625" style="1045" customWidth="1"/>
    <col min="5" max="5" width="26.875" style="1045" customWidth="1"/>
    <col min="6" max="6" width="9.75390625" style="1045" customWidth="1"/>
    <col min="7" max="7" width="10.25390625" style="1045" customWidth="1"/>
    <col min="8" max="9" width="12.125" style="920" customWidth="1"/>
    <col min="10" max="10" width="15.625" style="920" customWidth="1"/>
  </cols>
  <sheetData>
    <row r="1" ht="12.75">
      <c r="I1" s="77" t="s">
        <v>87</v>
      </c>
    </row>
    <row r="2" ht="12.75">
      <c r="I2" s="919" t="s">
        <v>118</v>
      </c>
    </row>
    <row r="3" ht="12.75">
      <c r="I3" s="919" t="s">
        <v>119</v>
      </c>
    </row>
    <row r="4" spans="9:10" ht="15.75">
      <c r="I4" s="919" t="s">
        <v>120</v>
      </c>
      <c r="J4" s="2183"/>
    </row>
    <row r="5" ht="15.75">
      <c r="J5" s="2183"/>
    </row>
    <row r="6" spans="1:10" ht="49.5">
      <c r="A6" s="1175" t="s">
        <v>88</v>
      </c>
      <c r="B6" s="2184"/>
      <c r="C6" s="2185"/>
      <c r="D6" s="2186"/>
      <c r="E6" s="2186"/>
      <c r="F6" s="2186"/>
      <c r="G6" s="2186"/>
      <c r="H6" s="2187"/>
      <c r="I6" s="2187"/>
      <c r="J6" s="2188"/>
    </row>
    <row r="7" spans="1:10" ht="9" customHeight="1">
      <c r="A7" s="1175"/>
      <c r="B7" s="2184"/>
      <c r="C7" s="2185"/>
      <c r="D7" s="2186"/>
      <c r="E7" s="2186"/>
      <c r="F7" s="2186"/>
      <c r="G7" s="2186"/>
      <c r="H7" s="2187"/>
      <c r="I7" s="2187"/>
      <c r="J7" s="2188"/>
    </row>
    <row r="8" spans="9:10" ht="13.5" thickBot="1">
      <c r="I8" s="2087"/>
      <c r="J8" s="916" t="s">
        <v>123</v>
      </c>
    </row>
    <row r="9" spans="1:10" ht="27" thickTop="1">
      <c r="A9" s="2089" t="s">
        <v>124</v>
      </c>
      <c r="B9" s="2090" t="s">
        <v>10</v>
      </c>
      <c r="C9" s="2189" t="s">
        <v>417</v>
      </c>
      <c r="D9" s="2091" t="s">
        <v>89</v>
      </c>
      <c r="E9" s="2092" t="s">
        <v>12</v>
      </c>
      <c r="F9" s="1569" t="s">
        <v>13</v>
      </c>
      <c r="G9" s="2231"/>
      <c r="H9" s="2090" t="s">
        <v>14</v>
      </c>
      <c r="I9" s="2235" t="s">
        <v>90</v>
      </c>
      <c r="J9" s="2236"/>
    </row>
    <row r="10" spans="1:10" ht="36">
      <c r="A10" s="2093"/>
      <c r="B10" s="2094"/>
      <c r="C10" s="2094"/>
      <c r="D10" s="2095"/>
      <c r="E10" s="2096" t="s">
        <v>16</v>
      </c>
      <c r="F10" s="2190" t="s">
        <v>17</v>
      </c>
      <c r="G10" s="2190" t="s">
        <v>18</v>
      </c>
      <c r="H10" s="2096" t="s">
        <v>91</v>
      </c>
      <c r="I10" s="2094" t="s">
        <v>92</v>
      </c>
      <c r="J10" s="2191" t="s">
        <v>93</v>
      </c>
    </row>
    <row r="11" spans="1:10" s="2196" customFormat="1" ht="11.25">
      <c r="A11" s="2192">
        <v>1</v>
      </c>
      <c r="B11" s="2193">
        <v>2</v>
      </c>
      <c r="C11" s="2194">
        <v>3</v>
      </c>
      <c r="D11" s="2193">
        <v>4</v>
      </c>
      <c r="E11" s="2193">
        <v>5</v>
      </c>
      <c r="F11" s="2193">
        <v>6</v>
      </c>
      <c r="G11" s="2193">
        <v>7</v>
      </c>
      <c r="H11" s="2193">
        <v>8</v>
      </c>
      <c r="I11" s="2193">
        <v>9</v>
      </c>
      <c r="J11" s="2195">
        <v>10</v>
      </c>
    </row>
    <row r="12" spans="1:10" s="2204" customFormat="1" ht="60">
      <c r="A12" s="1729">
        <v>600</v>
      </c>
      <c r="B12" s="2197">
        <v>60015</v>
      </c>
      <c r="C12" s="2198" t="s">
        <v>94</v>
      </c>
      <c r="D12" s="2199" t="s">
        <v>95</v>
      </c>
      <c r="E12" s="2200" t="s">
        <v>96</v>
      </c>
      <c r="F12" s="2201">
        <v>2005</v>
      </c>
      <c r="G12" s="2201">
        <v>2006</v>
      </c>
      <c r="H12" s="2202">
        <v>5200000</v>
      </c>
      <c r="I12" s="2202">
        <f>H12-J12</f>
        <v>1316725</v>
      </c>
      <c r="J12" s="2203">
        <v>3883275</v>
      </c>
    </row>
    <row r="13" spans="1:10" s="2204" customFormat="1" ht="78.75" customHeight="1">
      <c r="A13" s="1729">
        <v>600</v>
      </c>
      <c r="B13" s="2197">
        <v>60015</v>
      </c>
      <c r="C13" s="2198" t="s">
        <v>97</v>
      </c>
      <c r="D13" s="2199" t="s">
        <v>98</v>
      </c>
      <c r="E13" s="2205" t="s">
        <v>99</v>
      </c>
      <c r="F13" s="2201">
        <v>2005</v>
      </c>
      <c r="G13" s="2201">
        <v>2006</v>
      </c>
      <c r="H13" s="2202">
        <v>12000000</v>
      </c>
      <c r="I13" s="2202">
        <v>2500000</v>
      </c>
      <c r="J13" s="2206">
        <v>9500000</v>
      </c>
    </row>
    <row r="14" spans="1:10" s="2204" customFormat="1" ht="51">
      <c r="A14" s="1729">
        <v>600</v>
      </c>
      <c r="B14" s="2197">
        <v>60016</v>
      </c>
      <c r="C14" s="2198" t="s">
        <v>94</v>
      </c>
      <c r="D14" s="2199" t="s">
        <v>100</v>
      </c>
      <c r="E14" s="2205" t="s">
        <v>96</v>
      </c>
      <c r="F14" s="2201">
        <v>2005</v>
      </c>
      <c r="G14" s="2201">
        <v>2006</v>
      </c>
      <c r="H14" s="2202">
        <f aca="true" t="shared" si="0" ref="H14:H23">I14+J14</f>
        <v>1980200</v>
      </c>
      <c r="I14" s="2202">
        <v>495033</v>
      </c>
      <c r="J14" s="2206">
        <v>1485167</v>
      </c>
    </row>
    <row r="15" spans="1:10" s="2204" customFormat="1" ht="70.5" customHeight="1">
      <c r="A15" s="1729">
        <v>630</v>
      </c>
      <c r="B15" s="2197">
        <v>63095</v>
      </c>
      <c r="C15" s="2198" t="s">
        <v>101</v>
      </c>
      <c r="D15" s="2199" t="s">
        <v>102</v>
      </c>
      <c r="E15" s="2207" t="s">
        <v>103</v>
      </c>
      <c r="F15" s="2201"/>
      <c r="G15" s="2201">
        <v>2006</v>
      </c>
      <c r="H15" s="2202">
        <f t="shared" si="0"/>
        <v>30351</v>
      </c>
      <c r="I15" s="2202">
        <v>7588</v>
      </c>
      <c r="J15" s="2206">
        <v>22763</v>
      </c>
    </row>
    <row r="16" spans="1:10" s="2204" customFormat="1" ht="60">
      <c r="A16" s="1729">
        <v>630</v>
      </c>
      <c r="B16" s="2197">
        <v>63095</v>
      </c>
      <c r="C16" s="2198" t="s">
        <v>101</v>
      </c>
      <c r="D16" s="2199" t="s">
        <v>104</v>
      </c>
      <c r="E16" s="2208" t="s">
        <v>105</v>
      </c>
      <c r="F16" s="2201"/>
      <c r="G16" s="2201">
        <v>2006</v>
      </c>
      <c r="H16" s="2202">
        <f t="shared" si="0"/>
        <v>297002</v>
      </c>
      <c r="I16" s="2202">
        <v>114420</v>
      </c>
      <c r="J16" s="2206">
        <v>182582</v>
      </c>
    </row>
    <row r="17" spans="1:10" s="2204" customFormat="1" ht="60">
      <c r="A17" s="1729">
        <v>750</v>
      </c>
      <c r="B17" s="2197">
        <v>75075</v>
      </c>
      <c r="C17" s="2198" t="s">
        <v>101</v>
      </c>
      <c r="D17" s="2199" t="s">
        <v>106</v>
      </c>
      <c r="E17" s="2208" t="s">
        <v>105</v>
      </c>
      <c r="F17" s="2201"/>
      <c r="G17" s="2201">
        <v>2006</v>
      </c>
      <c r="H17" s="2202">
        <f t="shared" si="0"/>
        <v>173046</v>
      </c>
      <c r="I17" s="2202">
        <v>66666</v>
      </c>
      <c r="J17" s="2206">
        <v>106380</v>
      </c>
    </row>
    <row r="18" spans="1:10" s="2204" customFormat="1" ht="75">
      <c r="A18" s="1729"/>
      <c r="B18" s="2197">
        <v>75075</v>
      </c>
      <c r="C18" s="2198" t="s">
        <v>107</v>
      </c>
      <c r="D18" s="2199" t="s">
        <v>108</v>
      </c>
      <c r="E18" s="2208" t="s">
        <v>105</v>
      </c>
      <c r="F18" s="2201"/>
      <c r="G18" s="2201">
        <v>2006</v>
      </c>
      <c r="H18" s="2202">
        <f t="shared" si="0"/>
        <v>131052</v>
      </c>
      <c r="I18" s="2202">
        <v>51410</v>
      </c>
      <c r="J18" s="2206">
        <v>79642</v>
      </c>
    </row>
    <row r="19" spans="1:10" s="2204" customFormat="1" ht="60">
      <c r="A19" s="1729">
        <v>750</v>
      </c>
      <c r="B19" s="2197">
        <v>75075</v>
      </c>
      <c r="C19" s="2198" t="s">
        <v>109</v>
      </c>
      <c r="D19" s="2199" t="s">
        <v>110</v>
      </c>
      <c r="E19" s="2208" t="s">
        <v>105</v>
      </c>
      <c r="F19" s="2201"/>
      <c r="G19" s="2201"/>
      <c r="H19" s="2202">
        <f t="shared" si="0"/>
        <v>131782</v>
      </c>
      <c r="I19" s="2202">
        <v>48102</v>
      </c>
      <c r="J19" s="2206">
        <v>83680</v>
      </c>
    </row>
    <row r="20" spans="1:10" s="2204" customFormat="1" ht="60">
      <c r="A20" s="1729">
        <v>803</v>
      </c>
      <c r="B20" s="2197">
        <v>80309</v>
      </c>
      <c r="C20" s="2198" t="s">
        <v>111</v>
      </c>
      <c r="D20" s="2199" t="s">
        <v>112</v>
      </c>
      <c r="E20" s="2208" t="s">
        <v>96</v>
      </c>
      <c r="F20" s="2201">
        <v>2005</v>
      </c>
      <c r="G20" s="2201">
        <v>2006</v>
      </c>
      <c r="H20" s="2202">
        <f t="shared" si="0"/>
        <v>40988</v>
      </c>
      <c r="I20" s="2202"/>
      <c r="J20" s="2206">
        <v>40988</v>
      </c>
    </row>
    <row r="21" spans="1:10" s="2204" customFormat="1" ht="90">
      <c r="A21" s="1729">
        <v>854</v>
      </c>
      <c r="B21" s="2197">
        <v>85415</v>
      </c>
      <c r="C21" s="2198" t="s">
        <v>113</v>
      </c>
      <c r="D21" s="2199" t="s">
        <v>114</v>
      </c>
      <c r="E21" s="2200" t="s">
        <v>96</v>
      </c>
      <c r="F21" s="2201">
        <v>2005</v>
      </c>
      <c r="G21" s="2201">
        <v>2006</v>
      </c>
      <c r="H21" s="2202">
        <f t="shared" si="0"/>
        <v>528300</v>
      </c>
      <c r="I21" s="2202"/>
      <c r="J21" s="2206">
        <v>528300</v>
      </c>
    </row>
    <row r="22" spans="1:10" s="2204" customFormat="1" ht="60.75" thickBot="1">
      <c r="A22" s="1924">
        <v>921</v>
      </c>
      <c r="B22" s="2197">
        <v>92118</v>
      </c>
      <c r="C22" s="2198" t="s">
        <v>94</v>
      </c>
      <c r="D22" s="2199" t="s">
        <v>115</v>
      </c>
      <c r="E22" s="2200" t="s">
        <v>96</v>
      </c>
      <c r="F22" s="2201">
        <v>2005</v>
      </c>
      <c r="G22" s="2201">
        <v>2006</v>
      </c>
      <c r="H22" s="2202">
        <f t="shared" si="0"/>
        <v>1494031</v>
      </c>
      <c r="I22" s="2202">
        <v>367391</v>
      </c>
      <c r="J22" s="2206">
        <v>1126640</v>
      </c>
    </row>
    <row r="23" spans="1:10" s="2204" customFormat="1" ht="17.25" thickBot="1" thickTop="1">
      <c r="A23" s="2209"/>
      <c r="B23" s="2210"/>
      <c r="C23" s="2211"/>
      <c r="D23" s="2212" t="s">
        <v>116</v>
      </c>
      <c r="E23" s="2212"/>
      <c r="F23" s="2212"/>
      <c r="G23" s="2212"/>
      <c r="H23" s="2213">
        <f t="shared" si="0"/>
        <v>22006752</v>
      </c>
      <c r="I23" s="2213">
        <f>SUM(I12:I22)</f>
        <v>4967335</v>
      </c>
      <c r="J23" s="2214">
        <f>SUM(J12:J22)</f>
        <v>17039417</v>
      </c>
    </row>
    <row r="24" spans="1:10" s="2176" customFormat="1" ht="13.5" thickTop="1">
      <c r="A24" s="91"/>
      <c r="C24" s="2215"/>
      <c r="H24" s="2178"/>
      <c r="I24" s="2178"/>
      <c r="J24" s="2181"/>
    </row>
    <row r="25" spans="1:10" s="2176" customFormat="1" ht="12.75">
      <c r="A25" s="91"/>
      <c r="C25" s="2215"/>
      <c r="H25" s="2178"/>
      <c r="I25" s="2178"/>
      <c r="J25" s="2181"/>
    </row>
    <row r="26" spans="3:10" s="2176" customFormat="1" ht="12.75">
      <c r="C26" s="2215"/>
      <c r="H26" s="2178"/>
      <c r="I26" s="2178"/>
      <c r="J26" s="2181"/>
    </row>
    <row r="27" spans="3:10" s="2176" customFormat="1" ht="12.75">
      <c r="C27" s="2215"/>
      <c r="D27" s="1045"/>
      <c r="E27" s="1045"/>
      <c r="F27" s="1045"/>
      <c r="G27" s="1045"/>
      <c r="H27" s="920"/>
      <c r="I27" s="920"/>
      <c r="J27" s="2181"/>
    </row>
    <row r="28" spans="3:10" s="2176" customFormat="1" ht="12.75">
      <c r="C28" s="2215"/>
      <c r="D28" s="1045"/>
      <c r="E28" s="1045"/>
      <c r="F28" s="1045"/>
      <c r="G28" s="1045"/>
      <c r="H28" s="920"/>
      <c r="I28" s="920"/>
      <c r="J28" s="2181"/>
    </row>
    <row r="29" spans="3:10" s="2176" customFormat="1" ht="12.75">
      <c r="C29" s="2215"/>
      <c r="D29" s="1045"/>
      <c r="E29" s="1045"/>
      <c r="F29" s="1045"/>
      <c r="G29" s="1045"/>
      <c r="H29" s="920"/>
      <c r="I29" s="920"/>
      <c r="J29" s="2181"/>
    </row>
    <row r="30" spans="3:15" s="2176" customFormat="1" ht="12.75">
      <c r="C30" s="2215"/>
      <c r="D30" s="1045"/>
      <c r="E30" s="1045"/>
      <c r="F30" s="1045"/>
      <c r="G30" s="1045"/>
      <c r="H30" s="920"/>
      <c r="I30" s="920"/>
      <c r="J30" s="920"/>
      <c r="K30"/>
      <c r="L30"/>
      <c r="M30"/>
      <c r="N30"/>
      <c r="O30"/>
    </row>
    <row r="31" spans="3:49" s="2176" customFormat="1" ht="12.75">
      <c r="C31" s="2215"/>
      <c r="D31" s="1045"/>
      <c r="E31" s="1045"/>
      <c r="F31" s="1045"/>
      <c r="G31" s="1045"/>
      <c r="H31" s="920"/>
      <c r="I31" s="920"/>
      <c r="J31" s="9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</sheetData>
  <mergeCells count="2">
    <mergeCell ref="F9:G9"/>
    <mergeCell ref="I9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1">
      <selection activeCell="D3" sqref="D3"/>
    </sheetView>
  </sheetViews>
  <sheetFormatPr defaultColWidth="9.00390625" defaultRowHeight="12.75"/>
  <cols>
    <col min="1" max="1" width="5.00390625" style="348" customWidth="1"/>
    <col min="2" max="2" width="37.125" style="349" customWidth="1"/>
    <col min="3" max="3" width="13.875" style="349" customWidth="1"/>
    <col min="4" max="4" width="9.625" style="349" customWidth="1"/>
    <col min="5" max="5" width="10.875" style="349" customWidth="1"/>
    <col min="6" max="6" width="8.625" style="349" customWidth="1"/>
    <col min="7" max="7" width="11.25390625" style="349" customWidth="1"/>
    <col min="8" max="8" width="9.625" style="349" customWidth="1"/>
    <col min="9" max="9" width="11.25390625" style="349" customWidth="1"/>
    <col min="10" max="10" width="9.125" style="349" customWidth="1"/>
    <col min="11" max="11" width="10.75390625" style="349" customWidth="1"/>
    <col min="12" max="16384" width="10.00390625" style="349" customWidth="1"/>
  </cols>
  <sheetData>
    <row r="1" spans="7:14" ht="12" customHeight="1">
      <c r="G1" s="350"/>
      <c r="I1" s="351" t="s">
        <v>237</v>
      </c>
      <c r="K1" s="105"/>
      <c r="L1" s="102"/>
      <c r="M1" s="106"/>
      <c r="N1" s="352"/>
    </row>
    <row r="2" spans="7:14" ht="12" customHeight="1">
      <c r="G2" s="350"/>
      <c r="H2" s="353"/>
      <c r="I2" s="351" t="s">
        <v>118</v>
      </c>
      <c r="J2" s="104"/>
      <c r="K2" s="105"/>
      <c r="L2" s="102"/>
      <c r="M2" s="106"/>
      <c r="N2" s="352"/>
    </row>
    <row r="3" spans="8:14" ht="10.5" customHeight="1">
      <c r="H3" s="353"/>
      <c r="I3" s="354" t="s">
        <v>119</v>
      </c>
      <c r="J3" s="104"/>
      <c r="K3" s="105"/>
      <c r="L3" s="102"/>
      <c r="M3" s="106"/>
      <c r="N3" s="352"/>
    </row>
    <row r="4" spans="1:14" s="366" customFormat="1" ht="19.5" customHeight="1">
      <c r="A4" s="355" t="s">
        <v>238</v>
      </c>
      <c r="B4" s="356"/>
      <c r="C4" s="357"/>
      <c r="D4" s="357"/>
      <c r="E4" s="357"/>
      <c r="F4" s="358"/>
      <c r="G4" s="359"/>
      <c r="H4" s="360"/>
      <c r="I4" s="361" t="s">
        <v>120</v>
      </c>
      <c r="J4" s="361"/>
      <c r="K4" s="362"/>
      <c r="L4" s="363"/>
      <c r="M4" s="364"/>
      <c r="N4" s="365"/>
    </row>
    <row r="5" spans="1:11" s="368" customFormat="1" ht="16.5" customHeight="1" thickBot="1">
      <c r="A5" s="367" t="s">
        <v>239</v>
      </c>
      <c r="C5" s="369"/>
      <c r="D5" s="370"/>
      <c r="E5" s="370"/>
      <c r="F5" s="370"/>
      <c r="G5" s="370"/>
      <c r="H5" s="371"/>
      <c r="I5" s="372"/>
      <c r="J5" s="373"/>
      <c r="K5" s="374" t="s">
        <v>123</v>
      </c>
    </row>
    <row r="6" spans="1:11" s="384" customFormat="1" ht="24" customHeight="1" thickBot="1" thickTop="1">
      <c r="A6" s="375"/>
      <c r="B6" s="376"/>
      <c r="C6" s="377" t="s">
        <v>186</v>
      </c>
      <c r="D6" s="378" t="s">
        <v>240</v>
      </c>
      <c r="E6" s="379"/>
      <c r="F6" s="379"/>
      <c r="G6" s="380"/>
      <c r="H6" s="381" t="s">
        <v>241</v>
      </c>
      <c r="I6" s="382"/>
      <c r="J6" s="382"/>
      <c r="K6" s="383"/>
    </row>
    <row r="7" spans="1:11" s="384" customFormat="1" ht="28.5" customHeight="1" thickBot="1" thickTop="1">
      <c r="A7" s="385" t="s">
        <v>242</v>
      </c>
      <c r="B7" s="386" t="s">
        <v>125</v>
      </c>
      <c r="C7" s="387" t="s">
        <v>126</v>
      </c>
      <c r="D7" s="388" t="s">
        <v>243</v>
      </c>
      <c r="E7" s="389" t="s">
        <v>244</v>
      </c>
      <c r="F7" s="390" t="s">
        <v>245</v>
      </c>
      <c r="G7" s="391" t="s">
        <v>246</v>
      </c>
      <c r="H7" s="388" t="s">
        <v>247</v>
      </c>
      <c r="I7" s="389" t="s">
        <v>244</v>
      </c>
      <c r="J7" s="390" t="s">
        <v>248</v>
      </c>
      <c r="K7" s="391" t="s">
        <v>246</v>
      </c>
    </row>
    <row r="8" spans="1:11" s="397" customFormat="1" ht="7.5" customHeight="1" thickBot="1" thickTop="1">
      <c r="A8" s="392">
        <v>1</v>
      </c>
      <c r="B8" s="393">
        <v>2</v>
      </c>
      <c r="C8" s="394">
        <v>3</v>
      </c>
      <c r="D8" s="394">
        <v>4</v>
      </c>
      <c r="E8" s="395">
        <v>5</v>
      </c>
      <c r="F8" s="393">
        <v>6</v>
      </c>
      <c r="G8" s="396">
        <v>7</v>
      </c>
      <c r="H8" s="394">
        <v>8</v>
      </c>
      <c r="I8" s="395">
        <v>9</v>
      </c>
      <c r="J8" s="393">
        <v>10</v>
      </c>
      <c r="K8" s="396">
        <v>11</v>
      </c>
    </row>
    <row r="9" spans="1:11" s="406" customFormat="1" ht="21" customHeight="1" thickTop="1">
      <c r="A9" s="398" t="s">
        <v>136</v>
      </c>
      <c r="B9" s="399" t="s">
        <v>137</v>
      </c>
      <c r="C9" s="400">
        <f>G9+K9</f>
        <v>14917130</v>
      </c>
      <c r="D9" s="401">
        <v>1508855</v>
      </c>
      <c r="E9" s="402"/>
      <c r="F9" s="403"/>
      <c r="G9" s="403">
        <f>SUM(D9:F9)</f>
        <v>1508855</v>
      </c>
      <c r="H9" s="404">
        <v>13408275</v>
      </c>
      <c r="I9" s="402"/>
      <c r="J9" s="403"/>
      <c r="K9" s="405">
        <f aca="true" t="shared" si="0" ref="K9:K23">SUM(H9:J9)</f>
        <v>13408275</v>
      </c>
    </row>
    <row r="10" spans="1:11" s="406" customFormat="1" ht="18" customHeight="1">
      <c r="A10" s="398" t="s">
        <v>138</v>
      </c>
      <c r="B10" s="399" t="s">
        <v>249</v>
      </c>
      <c r="C10" s="400">
        <f>G10+K10</f>
        <v>205345</v>
      </c>
      <c r="D10" s="404">
        <v>205345</v>
      </c>
      <c r="E10" s="402"/>
      <c r="F10" s="403"/>
      <c r="G10" s="403">
        <f>SUM(D10:F10)</f>
        <v>205345</v>
      </c>
      <c r="H10" s="404"/>
      <c r="I10" s="402"/>
      <c r="J10" s="403"/>
      <c r="K10" s="405"/>
    </row>
    <row r="11" spans="1:11" s="406" customFormat="1" ht="18" customHeight="1">
      <c r="A11" s="398" t="s">
        <v>140</v>
      </c>
      <c r="B11" s="399" t="s">
        <v>141</v>
      </c>
      <c r="C11" s="400">
        <f aca="true" t="shared" si="1" ref="C11:C24">G11+K11</f>
        <v>16767950</v>
      </c>
      <c r="D11" s="404">
        <v>16027950</v>
      </c>
      <c r="E11" s="402"/>
      <c r="F11" s="403"/>
      <c r="G11" s="403">
        <f aca="true" t="shared" si="2" ref="G11:G23">SUM(D11:F11)</f>
        <v>16027950</v>
      </c>
      <c r="H11" s="404">
        <v>700000</v>
      </c>
      <c r="I11" s="402"/>
      <c r="J11" s="403">
        <v>40000</v>
      </c>
      <c r="K11" s="405">
        <f t="shared" si="0"/>
        <v>740000</v>
      </c>
    </row>
    <row r="12" spans="1:11" s="407" customFormat="1" ht="19.5" customHeight="1">
      <c r="A12" s="398">
        <v>710</v>
      </c>
      <c r="B12" s="399" t="s">
        <v>250</v>
      </c>
      <c r="C12" s="400">
        <f t="shared" si="1"/>
        <v>1260100</v>
      </c>
      <c r="D12" s="404">
        <v>1010000</v>
      </c>
      <c r="E12" s="402"/>
      <c r="F12" s="403"/>
      <c r="G12" s="403">
        <f t="shared" si="2"/>
        <v>1010000</v>
      </c>
      <c r="H12" s="404"/>
      <c r="I12" s="402"/>
      <c r="J12" s="403">
        <v>250100</v>
      </c>
      <c r="K12" s="405">
        <f t="shared" si="0"/>
        <v>250100</v>
      </c>
    </row>
    <row r="13" spans="1:11" s="407" customFormat="1" ht="16.5" customHeight="1">
      <c r="A13" s="398" t="s">
        <v>144</v>
      </c>
      <c r="B13" s="399" t="s">
        <v>251</v>
      </c>
      <c r="C13" s="408">
        <f t="shared" si="1"/>
        <v>3761802</v>
      </c>
      <c r="D13" s="404">
        <v>740902</v>
      </c>
      <c r="E13" s="402"/>
      <c r="F13" s="403">
        <v>727000</v>
      </c>
      <c r="G13" s="403">
        <f t="shared" si="2"/>
        <v>1467902</v>
      </c>
      <c r="H13" s="404">
        <v>2017400</v>
      </c>
      <c r="I13" s="402">
        <v>8500</v>
      </c>
      <c r="J13" s="403">
        <v>268000</v>
      </c>
      <c r="K13" s="405">
        <f t="shared" si="0"/>
        <v>2293900</v>
      </c>
    </row>
    <row r="14" spans="1:11" s="407" customFormat="1" ht="25.5" customHeight="1">
      <c r="A14" s="398" t="s">
        <v>146</v>
      </c>
      <c r="B14" s="399" t="s">
        <v>147</v>
      </c>
      <c r="C14" s="400">
        <f t="shared" si="1"/>
        <v>18425</v>
      </c>
      <c r="D14" s="400"/>
      <c r="E14" s="409"/>
      <c r="F14" s="410">
        <v>18425</v>
      </c>
      <c r="G14" s="403">
        <f t="shared" si="2"/>
        <v>18425</v>
      </c>
      <c r="H14" s="400"/>
      <c r="I14" s="409"/>
      <c r="J14" s="410"/>
      <c r="K14" s="405"/>
    </row>
    <row r="15" spans="1:11" s="407" customFormat="1" ht="24.75" customHeight="1">
      <c r="A15" s="398" t="s">
        <v>150</v>
      </c>
      <c r="B15" s="399" t="s">
        <v>252</v>
      </c>
      <c r="C15" s="400">
        <f t="shared" si="1"/>
        <v>5215500</v>
      </c>
      <c r="D15" s="400"/>
      <c r="E15" s="409"/>
      <c r="F15" s="410"/>
      <c r="G15" s="403"/>
      <c r="H15" s="400"/>
      <c r="I15" s="409"/>
      <c r="J15" s="410">
        <v>5215500</v>
      </c>
      <c r="K15" s="405">
        <f t="shared" si="0"/>
        <v>5215500</v>
      </c>
    </row>
    <row r="16" spans="1:11" s="407" customFormat="1" ht="33" customHeight="1">
      <c r="A16" s="398" t="s">
        <v>152</v>
      </c>
      <c r="B16" s="399" t="s">
        <v>253</v>
      </c>
      <c r="C16" s="400">
        <f t="shared" si="1"/>
        <v>114724272</v>
      </c>
      <c r="D16" s="404">
        <v>98965497</v>
      </c>
      <c r="E16" s="402"/>
      <c r="F16" s="403"/>
      <c r="G16" s="403">
        <f t="shared" si="2"/>
        <v>98965497</v>
      </c>
      <c r="H16" s="404">
        <v>15758775</v>
      </c>
      <c r="I16" s="402"/>
      <c r="J16" s="403"/>
      <c r="K16" s="405">
        <f t="shared" si="0"/>
        <v>15758775</v>
      </c>
    </row>
    <row r="17" spans="1:11" s="407" customFormat="1" ht="17.25" customHeight="1">
      <c r="A17" s="398" t="s">
        <v>156</v>
      </c>
      <c r="B17" s="399" t="s">
        <v>157</v>
      </c>
      <c r="C17" s="400">
        <f t="shared" si="1"/>
        <v>77358644</v>
      </c>
      <c r="D17" s="404">
        <v>35264392</v>
      </c>
      <c r="E17" s="402"/>
      <c r="F17" s="403"/>
      <c r="G17" s="403">
        <f t="shared" si="2"/>
        <v>35264392</v>
      </c>
      <c r="H17" s="404">
        <v>42094252</v>
      </c>
      <c r="I17" s="402"/>
      <c r="J17" s="403"/>
      <c r="K17" s="405">
        <f t="shared" si="0"/>
        <v>42094252</v>
      </c>
    </row>
    <row r="18" spans="1:11" s="407" customFormat="1" ht="18.75" customHeight="1">
      <c r="A18" s="398" t="s">
        <v>158</v>
      </c>
      <c r="B18" s="399" t="s">
        <v>159</v>
      </c>
      <c r="C18" s="400">
        <f t="shared" si="1"/>
        <v>616200</v>
      </c>
      <c r="D18" s="404">
        <v>337200</v>
      </c>
      <c r="E18" s="402"/>
      <c r="F18" s="403"/>
      <c r="G18" s="403">
        <f t="shared" si="2"/>
        <v>337200</v>
      </c>
      <c r="H18" s="404">
        <v>279000</v>
      </c>
      <c r="I18" s="402"/>
      <c r="J18" s="403"/>
      <c r="K18" s="405">
        <f t="shared" si="0"/>
        <v>279000</v>
      </c>
    </row>
    <row r="19" spans="1:11" s="407" customFormat="1" ht="18" customHeight="1">
      <c r="A19" s="398" t="s">
        <v>160</v>
      </c>
      <c r="B19" s="399" t="s">
        <v>161</v>
      </c>
      <c r="C19" s="400">
        <f>G19+K19</f>
        <v>40988</v>
      </c>
      <c r="D19" s="404">
        <v>40988</v>
      </c>
      <c r="E19" s="402"/>
      <c r="F19" s="403"/>
      <c r="G19" s="403">
        <f>SUM(D19:F19)</f>
        <v>40988</v>
      </c>
      <c r="H19" s="404"/>
      <c r="I19" s="402"/>
      <c r="J19" s="403"/>
      <c r="K19" s="405"/>
    </row>
    <row r="20" spans="1:11" s="411" customFormat="1" ht="18.75" customHeight="1">
      <c r="A20" s="398" t="s">
        <v>162</v>
      </c>
      <c r="B20" s="399" t="s">
        <v>163</v>
      </c>
      <c r="C20" s="400">
        <f t="shared" si="1"/>
        <v>7000</v>
      </c>
      <c r="D20" s="404"/>
      <c r="E20" s="402"/>
      <c r="F20" s="403"/>
      <c r="G20" s="403"/>
      <c r="H20" s="404"/>
      <c r="I20" s="402"/>
      <c r="J20" s="403">
        <v>7000</v>
      </c>
      <c r="K20" s="405">
        <f t="shared" si="0"/>
        <v>7000</v>
      </c>
    </row>
    <row r="21" spans="1:11" s="411" customFormat="1" ht="18" customHeight="1">
      <c r="A21" s="398" t="s">
        <v>164</v>
      </c>
      <c r="B21" s="399" t="s">
        <v>254</v>
      </c>
      <c r="C21" s="400">
        <f>G21+K21</f>
        <v>29935300</v>
      </c>
      <c r="D21" s="404">
        <v>3390300</v>
      </c>
      <c r="E21" s="412"/>
      <c r="F21" s="402">
        <v>26545000</v>
      </c>
      <c r="G21" s="403">
        <f>SUM(D21:F21)</f>
        <v>29935300</v>
      </c>
      <c r="H21" s="404"/>
      <c r="I21" s="402"/>
      <c r="J21" s="403"/>
      <c r="K21" s="405"/>
    </row>
    <row r="22" spans="1:11" s="411" customFormat="1" ht="25.5" customHeight="1">
      <c r="A22" s="398" t="s">
        <v>166</v>
      </c>
      <c r="B22" s="399" t="s">
        <v>167</v>
      </c>
      <c r="C22" s="400">
        <f t="shared" si="1"/>
        <v>173200</v>
      </c>
      <c r="D22" s="404"/>
      <c r="E22" s="402"/>
      <c r="F22" s="403"/>
      <c r="G22" s="403"/>
      <c r="H22" s="404">
        <v>67200</v>
      </c>
      <c r="I22" s="402"/>
      <c r="J22" s="403">
        <v>106000</v>
      </c>
      <c r="K22" s="405">
        <f t="shared" si="0"/>
        <v>173200</v>
      </c>
    </row>
    <row r="23" spans="1:11" s="411" customFormat="1" ht="18.75" customHeight="1">
      <c r="A23" s="398" t="s">
        <v>168</v>
      </c>
      <c r="B23" s="399" t="s">
        <v>255</v>
      </c>
      <c r="C23" s="400">
        <f t="shared" si="1"/>
        <v>897100</v>
      </c>
      <c r="D23" s="413">
        <v>93000</v>
      </c>
      <c r="E23" s="414"/>
      <c r="F23" s="415"/>
      <c r="G23" s="403">
        <f t="shared" si="2"/>
        <v>93000</v>
      </c>
      <c r="H23" s="404">
        <v>804100</v>
      </c>
      <c r="I23" s="402"/>
      <c r="J23" s="403"/>
      <c r="K23" s="405">
        <f t="shared" si="0"/>
        <v>804100</v>
      </c>
    </row>
    <row r="24" spans="1:11" s="411" customFormat="1" ht="24" customHeight="1">
      <c r="A24" s="398" t="s">
        <v>170</v>
      </c>
      <c r="B24" s="399" t="s">
        <v>256</v>
      </c>
      <c r="C24" s="400">
        <f t="shared" si="1"/>
        <v>3000</v>
      </c>
      <c r="D24" s="404">
        <v>3000</v>
      </c>
      <c r="E24" s="402"/>
      <c r="F24" s="403"/>
      <c r="G24" s="403">
        <f>SUM(D24:F24)</f>
        <v>3000</v>
      </c>
      <c r="H24" s="416"/>
      <c r="I24" s="414"/>
      <c r="J24" s="415"/>
      <c r="K24" s="405"/>
    </row>
    <row r="25" spans="1:11" s="411" customFormat="1" ht="18.75" customHeight="1" thickBot="1">
      <c r="A25" s="398" t="s">
        <v>172</v>
      </c>
      <c r="B25" s="399" t="s">
        <v>173</v>
      </c>
      <c r="C25" s="400">
        <f>G25+K25</f>
        <v>1126640</v>
      </c>
      <c r="D25" s="413"/>
      <c r="E25" s="414"/>
      <c r="F25" s="415"/>
      <c r="G25" s="403"/>
      <c r="H25" s="404">
        <v>1126640</v>
      </c>
      <c r="I25" s="402"/>
      <c r="J25" s="403"/>
      <c r="K25" s="405">
        <f>SUM(H25:J25)</f>
        <v>1126640</v>
      </c>
    </row>
    <row r="26" spans="1:11" s="424" customFormat="1" ht="21.75" customHeight="1" thickBot="1" thickTop="1">
      <c r="A26" s="417"/>
      <c r="B26" s="418" t="s">
        <v>186</v>
      </c>
      <c r="C26" s="419">
        <f>SUM(C9:C25)</f>
        <v>267028596</v>
      </c>
      <c r="D26" s="420">
        <f>SUM(D9:D25)</f>
        <v>157587429</v>
      </c>
      <c r="E26" s="421"/>
      <c r="F26" s="421">
        <f>SUM(F9:F24)</f>
        <v>27290425</v>
      </c>
      <c r="G26" s="422">
        <f>SUM(G9:G24)</f>
        <v>184877854</v>
      </c>
      <c r="H26" s="420">
        <f>SUM(H9:H25)</f>
        <v>76255642</v>
      </c>
      <c r="I26" s="421">
        <f>SUM(I9:I25)</f>
        <v>8500</v>
      </c>
      <c r="J26" s="421">
        <f>SUM(J9:J25)</f>
        <v>5886600</v>
      </c>
      <c r="K26" s="423">
        <f>SUM(K9:K25)</f>
        <v>82150742</v>
      </c>
    </row>
    <row r="27" spans="2:7" ht="16.5" thickTop="1">
      <c r="B27" s="91"/>
      <c r="G27" s="425"/>
    </row>
    <row r="28" spans="2:7" ht="15.75">
      <c r="B28" s="91"/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  <row r="266" ht="15.75">
      <c r="G266" s="4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6"/>
  <sheetViews>
    <sheetView workbookViewId="0" topLeftCell="A1">
      <selection activeCell="F4" sqref="F4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10.00390625" style="428" customWidth="1"/>
    <col min="6" max="6" width="10.875" style="428" customWidth="1"/>
    <col min="7" max="7" width="10.00390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257</v>
      </c>
      <c r="H1" s="3"/>
    </row>
    <row r="2" spans="7:8" ht="12.75">
      <c r="G2" s="3" t="s">
        <v>118</v>
      </c>
      <c r="H2" s="3"/>
    </row>
    <row r="3" spans="7:8" ht="12.75">
      <c r="G3" s="3" t="s">
        <v>119</v>
      </c>
      <c r="H3" s="3"/>
    </row>
    <row r="4" spans="7:8" ht="12.75">
      <c r="G4" s="3" t="s">
        <v>120</v>
      </c>
      <c r="H4" s="3"/>
    </row>
    <row r="5" ht="12.75">
      <c r="H5" s="3"/>
    </row>
    <row r="6" spans="1:9" s="434" customFormat="1" ht="27" customHeight="1">
      <c r="A6" s="430" t="s">
        <v>258</v>
      </c>
      <c r="B6" s="431"/>
      <c r="C6" s="432"/>
      <c r="D6" s="432"/>
      <c r="E6" s="432"/>
      <c r="F6" s="432"/>
      <c r="G6" s="433"/>
      <c r="H6" s="432"/>
      <c r="I6" s="433"/>
    </row>
    <row r="7" spans="1:9" s="434" customFormat="1" ht="15.75">
      <c r="A7" s="435" t="s">
        <v>259</v>
      </c>
      <c r="B7" s="431"/>
      <c r="C7" s="432"/>
      <c r="D7" s="432"/>
      <c r="E7" s="432"/>
      <c r="F7" s="432"/>
      <c r="G7" s="433"/>
      <c r="H7" s="432"/>
      <c r="I7" s="433"/>
    </row>
    <row r="8" spans="1:9" ht="13.5" thickBot="1">
      <c r="A8" s="436"/>
      <c r="B8" s="437"/>
      <c r="C8" s="437"/>
      <c r="D8" s="437"/>
      <c r="E8" s="437"/>
      <c r="F8" s="437"/>
      <c r="G8" s="438"/>
      <c r="H8" s="437"/>
      <c r="I8" s="438" t="s">
        <v>123</v>
      </c>
    </row>
    <row r="9" spans="1:9" ht="19.5" customHeight="1" thickTop="1">
      <c r="A9" s="439"/>
      <c r="B9" s="440"/>
      <c r="C9" s="441" t="s">
        <v>186</v>
      </c>
      <c r="D9" s="442"/>
      <c r="E9" s="443"/>
      <c r="F9" s="444" t="s">
        <v>187</v>
      </c>
      <c r="G9" s="445"/>
      <c r="H9" s="444" t="s">
        <v>188</v>
      </c>
      <c r="I9" s="446"/>
    </row>
    <row r="10" spans="1:9" ht="41.25" customHeight="1" thickBot="1">
      <c r="A10" s="447" t="s">
        <v>260</v>
      </c>
      <c r="B10" s="448" t="s">
        <v>261</v>
      </c>
      <c r="C10" s="449" t="s">
        <v>262</v>
      </c>
      <c r="D10" s="450" t="s">
        <v>263</v>
      </c>
      <c r="E10" s="451" t="s">
        <v>264</v>
      </c>
      <c r="F10" s="452" t="s">
        <v>263</v>
      </c>
      <c r="G10" s="451" t="s">
        <v>264</v>
      </c>
      <c r="H10" s="452" t="s">
        <v>263</v>
      </c>
      <c r="I10" s="453" t="s">
        <v>265</v>
      </c>
    </row>
    <row r="11" spans="1:9" s="462" customFormat="1" ht="11.25" customHeight="1" thickBot="1" thickTop="1">
      <c r="A11" s="454">
        <v>1</v>
      </c>
      <c r="B11" s="455">
        <v>2</v>
      </c>
      <c r="C11" s="456">
        <v>3</v>
      </c>
      <c r="D11" s="457">
        <v>4</v>
      </c>
      <c r="E11" s="458">
        <v>5</v>
      </c>
      <c r="F11" s="459">
        <v>6</v>
      </c>
      <c r="G11" s="460">
        <v>7</v>
      </c>
      <c r="H11" s="459">
        <v>8</v>
      </c>
      <c r="I11" s="461">
        <v>9</v>
      </c>
    </row>
    <row r="12" spans="1:9" s="468" customFormat="1" ht="27" thickBot="1" thickTop="1">
      <c r="A12" s="463" t="s">
        <v>133</v>
      </c>
      <c r="B12" s="464" t="s">
        <v>134</v>
      </c>
      <c r="C12" s="465">
        <f>C15</f>
        <v>1600</v>
      </c>
      <c r="D12" s="419">
        <f>D15</f>
        <v>1600</v>
      </c>
      <c r="E12" s="466"/>
      <c r="F12" s="467">
        <f>F15</f>
        <v>1600</v>
      </c>
      <c r="G12" s="466"/>
      <c r="H12" s="467"/>
      <c r="I12" s="423"/>
    </row>
    <row r="13" spans="1:9" ht="13.5" hidden="1" thickTop="1">
      <c r="A13" s="469"/>
      <c r="B13" s="470" t="s">
        <v>266</v>
      </c>
      <c r="C13" s="471">
        <f>SUM(C14)</f>
        <v>0</v>
      </c>
      <c r="D13" s="472"/>
      <c r="E13" s="473">
        <f>G13+I13</f>
        <v>0</v>
      </c>
      <c r="F13" s="474"/>
      <c r="G13" s="475"/>
      <c r="H13" s="474"/>
      <c r="I13" s="476">
        <f>SUM(I14)</f>
        <v>0</v>
      </c>
    </row>
    <row r="14" spans="1:9" s="485" customFormat="1" ht="13.5" hidden="1" thickTop="1">
      <c r="A14" s="477"/>
      <c r="B14" s="478" t="s">
        <v>267</v>
      </c>
      <c r="C14" s="479">
        <f>SUM(D14:E14)</f>
        <v>0</v>
      </c>
      <c r="D14" s="480"/>
      <c r="E14" s="481">
        <f>G14+I14</f>
        <v>0</v>
      </c>
      <c r="F14" s="482"/>
      <c r="G14" s="483"/>
      <c r="H14" s="482"/>
      <c r="I14" s="484"/>
    </row>
    <row r="15" spans="1:9" s="493" customFormat="1" ht="15" customHeight="1" thickTop="1">
      <c r="A15" s="486" t="s">
        <v>268</v>
      </c>
      <c r="B15" s="487" t="s">
        <v>269</v>
      </c>
      <c r="C15" s="488">
        <f>C16</f>
        <v>1600</v>
      </c>
      <c r="D15" s="489">
        <f>D16</f>
        <v>1600</v>
      </c>
      <c r="E15" s="490"/>
      <c r="F15" s="491">
        <f>F16</f>
        <v>1600</v>
      </c>
      <c r="G15" s="490"/>
      <c r="H15" s="491"/>
      <c r="I15" s="492"/>
    </row>
    <row r="16" spans="1:9" s="497" customFormat="1" ht="12.75">
      <c r="A16" s="469"/>
      <c r="B16" s="494" t="s">
        <v>270</v>
      </c>
      <c r="C16" s="471">
        <f>SUM(C17)</f>
        <v>1600</v>
      </c>
      <c r="D16" s="472">
        <f>SUM(D17)</f>
        <v>1600</v>
      </c>
      <c r="E16" s="473"/>
      <c r="F16" s="474">
        <f>SUM(F17)</f>
        <v>1600</v>
      </c>
      <c r="G16" s="475"/>
      <c r="H16" s="495"/>
      <c r="I16" s="496"/>
    </row>
    <row r="17" spans="1:9" s="485" customFormat="1" ht="13.5" thickBot="1">
      <c r="A17" s="477"/>
      <c r="B17" s="498" t="s">
        <v>271</v>
      </c>
      <c r="C17" s="479">
        <f>SUM(D17:E17)</f>
        <v>1600</v>
      </c>
      <c r="D17" s="480">
        <f>F17+H17</f>
        <v>1600</v>
      </c>
      <c r="E17" s="481"/>
      <c r="F17" s="499">
        <v>1600</v>
      </c>
      <c r="G17" s="483"/>
      <c r="H17" s="482"/>
      <c r="I17" s="484"/>
    </row>
    <row r="18" spans="1:9" s="468" customFormat="1" ht="14.25" hidden="1" thickBot="1" thickTop="1">
      <c r="A18" s="463" t="s">
        <v>272</v>
      </c>
      <c r="B18" s="464" t="s">
        <v>273</v>
      </c>
      <c r="C18" s="465">
        <f aca="true" t="shared" si="0" ref="C18:H20">SUM(C19)</f>
        <v>0</v>
      </c>
      <c r="D18" s="419">
        <f t="shared" si="0"/>
        <v>0</v>
      </c>
      <c r="E18" s="466"/>
      <c r="F18" s="467"/>
      <c r="G18" s="466"/>
      <c r="H18" s="467">
        <f t="shared" si="0"/>
        <v>0</v>
      </c>
      <c r="I18" s="423"/>
    </row>
    <row r="19" spans="1:9" s="493" customFormat="1" ht="24.75" hidden="1" thickBot="1">
      <c r="A19" s="486" t="s">
        <v>274</v>
      </c>
      <c r="B19" s="487" t="s">
        <v>275</v>
      </c>
      <c r="C19" s="500">
        <f t="shared" si="0"/>
        <v>0</v>
      </c>
      <c r="D19" s="501">
        <f t="shared" si="0"/>
        <v>0</v>
      </c>
      <c r="E19" s="502"/>
      <c r="F19" s="503"/>
      <c r="G19" s="502"/>
      <c r="H19" s="503">
        <f t="shared" si="0"/>
        <v>0</v>
      </c>
      <c r="I19" s="504"/>
    </row>
    <row r="20" spans="1:9" s="497" customFormat="1" ht="13.5" hidden="1" thickBot="1">
      <c r="A20" s="469"/>
      <c r="B20" s="494" t="s">
        <v>270</v>
      </c>
      <c r="C20" s="471">
        <f t="shared" si="0"/>
        <v>0</v>
      </c>
      <c r="D20" s="472">
        <f t="shared" si="0"/>
        <v>0</v>
      </c>
      <c r="E20" s="473"/>
      <c r="F20" s="474"/>
      <c r="G20" s="475"/>
      <c r="H20" s="474">
        <f t="shared" si="0"/>
        <v>0</v>
      </c>
      <c r="I20" s="476"/>
    </row>
    <row r="21" spans="1:9" s="506" customFormat="1" ht="12.75" hidden="1" thickBot="1">
      <c r="A21" s="477"/>
      <c r="B21" s="498" t="s">
        <v>271</v>
      </c>
      <c r="C21" s="479">
        <f>SUM(D21:E21)</f>
        <v>0</v>
      </c>
      <c r="D21" s="480">
        <f>F21+H21</f>
        <v>0</v>
      </c>
      <c r="E21" s="481"/>
      <c r="F21" s="499"/>
      <c r="G21" s="481"/>
      <c r="H21" s="499"/>
      <c r="I21" s="505"/>
    </row>
    <row r="22" spans="1:9" s="468" customFormat="1" ht="15.75" customHeight="1" thickBot="1" thickTop="1">
      <c r="A22" s="507">
        <v>500</v>
      </c>
      <c r="B22" s="464" t="s">
        <v>135</v>
      </c>
      <c r="C22" s="465">
        <f aca="true" t="shared" si="1" ref="C22:F23">SUM(C23)</f>
        <v>354000</v>
      </c>
      <c r="D22" s="419">
        <f t="shared" si="1"/>
        <v>354000</v>
      </c>
      <c r="E22" s="466"/>
      <c r="F22" s="467">
        <f t="shared" si="1"/>
        <v>354000</v>
      </c>
      <c r="G22" s="466"/>
      <c r="H22" s="467"/>
      <c r="I22" s="423"/>
    </row>
    <row r="23" spans="1:9" s="493" customFormat="1" ht="15.75" customHeight="1" thickTop="1">
      <c r="A23" s="508">
        <v>50095</v>
      </c>
      <c r="B23" s="487" t="s">
        <v>276</v>
      </c>
      <c r="C23" s="500">
        <f t="shared" si="1"/>
        <v>354000</v>
      </c>
      <c r="D23" s="501">
        <f t="shared" si="1"/>
        <v>354000</v>
      </c>
      <c r="E23" s="502"/>
      <c r="F23" s="503">
        <f t="shared" si="1"/>
        <v>354000</v>
      </c>
      <c r="G23" s="502"/>
      <c r="H23" s="503"/>
      <c r="I23" s="504"/>
    </row>
    <row r="24" spans="1:9" s="497" customFormat="1" ht="12.75">
      <c r="A24" s="469"/>
      <c r="B24" s="494" t="s">
        <v>270</v>
      </c>
      <c r="C24" s="471">
        <f>SUM(C25)</f>
        <v>354000</v>
      </c>
      <c r="D24" s="472">
        <f>SUM(D25)</f>
        <v>354000</v>
      </c>
      <c r="E24" s="473"/>
      <c r="F24" s="474">
        <f>SUM(F25)</f>
        <v>354000</v>
      </c>
      <c r="G24" s="475"/>
      <c r="H24" s="474"/>
      <c r="I24" s="476"/>
    </row>
    <row r="25" spans="1:9" s="506" customFormat="1" ht="12">
      <c r="A25" s="477"/>
      <c r="B25" s="498" t="s">
        <v>271</v>
      </c>
      <c r="C25" s="479">
        <f>SUM(D25:E25)</f>
        <v>354000</v>
      </c>
      <c r="D25" s="480">
        <f>F25+H25</f>
        <v>354000</v>
      </c>
      <c r="E25" s="481"/>
      <c r="F25" s="499">
        <v>354000</v>
      </c>
      <c r="G25" s="481"/>
      <c r="H25" s="499"/>
      <c r="I25" s="505"/>
    </row>
    <row r="26" spans="1:9" s="506" customFormat="1" ht="11.25" customHeight="1" thickBot="1">
      <c r="A26" s="477"/>
      <c r="B26" s="498" t="s">
        <v>277</v>
      </c>
      <c r="C26" s="479">
        <f>SUM(D26:E26)</f>
        <v>220000</v>
      </c>
      <c r="D26" s="480">
        <f>F26+H26</f>
        <v>220000</v>
      </c>
      <c r="E26" s="481"/>
      <c r="F26" s="499">
        <v>220000</v>
      </c>
      <c r="G26" s="481"/>
      <c r="H26" s="499"/>
      <c r="I26" s="505"/>
    </row>
    <row r="27" spans="1:9" s="468" customFormat="1" ht="27" thickBot="1" thickTop="1">
      <c r="A27" s="507">
        <v>600</v>
      </c>
      <c r="B27" s="464" t="s">
        <v>137</v>
      </c>
      <c r="C27" s="465">
        <f>SUM(C48+C60+C42+C37+C54)</f>
        <v>46279882</v>
      </c>
      <c r="D27" s="419">
        <f>SUM(D48+D60+D42+D37+D54)</f>
        <v>46279882</v>
      </c>
      <c r="E27" s="466"/>
      <c r="F27" s="467">
        <f>SUM(F48+F60+F42+F37+F54)</f>
        <v>20329882</v>
      </c>
      <c r="G27" s="466"/>
      <c r="H27" s="467">
        <f>SUM(H48+H60+H42+H54)</f>
        <v>25950000</v>
      </c>
      <c r="I27" s="423"/>
    </row>
    <row r="28" spans="1:9" s="468" customFormat="1" ht="13.5" thickTop="1">
      <c r="A28" s="509"/>
      <c r="B28" s="510" t="s">
        <v>270</v>
      </c>
      <c r="C28" s="511">
        <f>D28+E28</f>
        <v>12525682</v>
      </c>
      <c r="D28" s="512">
        <f>F28+H28</f>
        <v>12525682</v>
      </c>
      <c r="E28" s="513"/>
      <c r="F28" s="514">
        <f>F38+F43+F49+F55+F61</f>
        <v>10075682</v>
      </c>
      <c r="G28" s="515"/>
      <c r="H28" s="516">
        <f>H38+H43+H49+H55+H61</f>
        <v>2450000</v>
      </c>
      <c r="I28" s="517"/>
    </row>
    <row r="29" spans="1:9" s="520" customFormat="1" ht="12.75">
      <c r="A29" s="518"/>
      <c r="B29" s="498" t="s">
        <v>278</v>
      </c>
      <c r="C29" s="479">
        <f>D29+E29</f>
        <v>2802974</v>
      </c>
      <c r="D29" s="480">
        <f>F29+F29</f>
        <v>2802974</v>
      </c>
      <c r="E29" s="481"/>
      <c r="F29" s="519">
        <f>F62</f>
        <v>1401487</v>
      </c>
      <c r="G29" s="481"/>
      <c r="H29" s="499"/>
      <c r="I29" s="484"/>
    </row>
    <row r="30" spans="1:9" s="520" customFormat="1" ht="12.75">
      <c r="A30" s="518"/>
      <c r="B30" s="498" t="s">
        <v>279</v>
      </c>
      <c r="C30" s="479"/>
      <c r="D30" s="480"/>
      <c r="E30" s="481"/>
      <c r="F30" s="519"/>
      <c r="G30" s="481"/>
      <c r="H30" s="499"/>
      <c r="I30" s="484"/>
    </row>
    <row r="31" spans="1:9" s="520" customFormat="1" ht="12.75">
      <c r="A31" s="518"/>
      <c r="B31" s="498" t="s">
        <v>271</v>
      </c>
      <c r="C31" s="479">
        <f>SUM(D31:E31)</f>
        <v>11124195</v>
      </c>
      <c r="D31" s="480">
        <f aca="true" t="shared" si="2" ref="D31:D36">F31+H31</f>
        <v>11124195</v>
      </c>
      <c r="E31" s="481"/>
      <c r="F31" s="519">
        <f>F39+F44+F50+F56+F64</f>
        <v>8674195</v>
      </c>
      <c r="G31" s="481"/>
      <c r="H31" s="499">
        <f>H39+H44+H50+H56+H64</f>
        <v>2450000</v>
      </c>
      <c r="I31" s="484"/>
    </row>
    <row r="32" spans="1:9" s="493" customFormat="1" ht="12">
      <c r="A32" s="521"/>
      <c r="B32" s="522" t="s">
        <v>277</v>
      </c>
      <c r="C32" s="471">
        <f>SUM(D32:E32)</f>
        <v>4966700</v>
      </c>
      <c r="D32" s="472">
        <f t="shared" si="2"/>
        <v>4966700</v>
      </c>
      <c r="E32" s="513"/>
      <c r="F32" s="523">
        <f>F45+F51+F57+F65</f>
        <v>3016700</v>
      </c>
      <c r="G32" s="473"/>
      <c r="H32" s="495">
        <f>H45+H51+H57+H65</f>
        <v>1950000</v>
      </c>
      <c r="I32" s="496"/>
    </row>
    <row r="33" spans="1:9" s="468" customFormat="1" ht="12.75">
      <c r="A33" s="509"/>
      <c r="B33" s="524" t="s">
        <v>266</v>
      </c>
      <c r="C33" s="525">
        <f>SUM(D33:E33)</f>
        <v>33754200</v>
      </c>
      <c r="D33" s="526">
        <f t="shared" si="2"/>
        <v>33754200</v>
      </c>
      <c r="E33" s="527"/>
      <c r="F33" s="528">
        <f>F40+F46+F52+F58+F66</f>
        <v>10254200</v>
      </c>
      <c r="G33" s="527"/>
      <c r="H33" s="529">
        <f>H40+H46+H52+H58+H66</f>
        <v>23500000</v>
      </c>
      <c r="I33" s="530"/>
    </row>
    <row r="34" spans="1:9" s="533" customFormat="1" ht="13.5">
      <c r="A34" s="531"/>
      <c r="B34" s="478" t="s">
        <v>280</v>
      </c>
      <c r="C34" s="479">
        <f>E34+D34</f>
        <v>29731200</v>
      </c>
      <c r="D34" s="480">
        <f t="shared" si="2"/>
        <v>29731200</v>
      </c>
      <c r="E34" s="532"/>
      <c r="F34" s="519">
        <f>F47+F53+F59+F67</f>
        <v>6231200</v>
      </c>
      <c r="G34" s="481"/>
      <c r="H34" s="499">
        <f>H47+H53+H59+H67</f>
        <v>23500000</v>
      </c>
      <c r="I34" s="484"/>
    </row>
    <row r="35" spans="1:9" s="533" customFormat="1" ht="13.5">
      <c r="A35" s="531"/>
      <c r="B35" s="478" t="s">
        <v>267</v>
      </c>
      <c r="C35" s="479">
        <f>E35+D35</f>
        <v>23000</v>
      </c>
      <c r="D35" s="480">
        <f t="shared" si="2"/>
        <v>23000</v>
      </c>
      <c r="E35" s="532"/>
      <c r="F35" s="519">
        <f>F68</f>
        <v>23000</v>
      </c>
      <c r="G35" s="481"/>
      <c r="H35" s="499"/>
      <c r="I35" s="484"/>
    </row>
    <row r="36" spans="1:9" s="533" customFormat="1" ht="14.25" thickBot="1">
      <c r="A36" s="534"/>
      <c r="B36" s="535" t="s">
        <v>281</v>
      </c>
      <c r="C36" s="536">
        <f>E36+D36</f>
        <v>4000000</v>
      </c>
      <c r="D36" s="537">
        <f t="shared" si="2"/>
        <v>4000000</v>
      </c>
      <c r="E36" s="538"/>
      <c r="F36" s="539">
        <f>F41</f>
        <v>4000000</v>
      </c>
      <c r="G36" s="540"/>
      <c r="H36" s="541"/>
      <c r="I36" s="542"/>
    </row>
    <row r="37" spans="1:9" s="493" customFormat="1" ht="26.25" customHeight="1" thickTop="1">
      <c r="A37" s="543">
        <v>60004</v>
      </c>
      <c r="B37" s="544" t="s">
        <v>282</v>
      </c>
      <c r="C37" s="545">
        <f>C38+C40</f>
        <v>8500000</v>
      </c>
      <c r="D37" s="546">
        <f>D38+D40</f>
        <v>8500000</v>
      </c>
      <c r="E37" s="547"/>
      <c r="F37" s="548">
        <f>F38+F40</f>
        <v>8500000</v>
      </c>
      <c r="G37" s="547"/>
      <c r="H37" s="548"/>
      <c r="I37" s="549"/>
    </row>
    <row r="38" spans="1:9" s="497" customFormat="1" ht="14.25" customHeight="1">
      <c r="A38" s="469"/>
      <c r="B38" s="470" t="s">
        <v>283</v>
      </c>
      <c r="C38" s="471">
        <f>SUM(C39)</f>
        <v>4500000</v>
      </c>
      <c r="D38" s="472">
        <f>SUM(D39)</f>
        <v>4500000</v>
      </c>
      <c r="E38" s="473"/>
      <c r="F38" s="474">
        <f>SUM(F39)</f>
        <v>4500000</v>
      </c>
      <c r="G38" s="475"/>
      <c r="H38" s="474"/>
      <c r="I38" s="476"/>
    </row>
    <row r="39" spans="1:9" s="506" customFormat="1" ht="12">
      <c r="A39" s="477"/>
      <c r="B39" s="498" t="s">
        <v>271</v>
      </c>
      <c r="C39" s="479">
        <f>SUM(D39:E39)</f>
        <v>4500000</v>
      </c>
      <c r="D39" s="480">
        <f>F39+H39</f>
        <v>4500000</v>
      </c>
      <c r="E39" s="481"/>
      <c r="F39" s="499">
        <v>4500000</v>
      </c>
      <c r="G39" s="481"/>
      <c r="H39" s="499"/>
      <c r="I39" s="505"/>
    </row>
    <row r="40" spans="1:9" ht="14.25" customHeight="1">
      <c r="A40" s="469"/>
      <c r="B40" s="470" t="s">
        <v>284</v>
      </c>
      <c r="C40" s="471">
        <f>SUM(D40:E40)</f>
        <v>4000000</v>
      </c>
      <c r="D40" s="550">
        <f>F40+H40</f>
        <v>4000000</v>
      </c>
      <c r="E40" s="473"/>
      <c r="F40" s="495">
        <f>F41</f>
        <v>4000000</v>
      </c>
      <c r="G40" s="475"/>
      <c r="H40" s="474"/>
      <c r="I40" s="484"/>
    </row>
    <row r="41" spans="1:9" ht="12.75">
      <c r="A41" s="469"/>
      <c r="B41" s="551" t="s">
        <v>281</v>
      </c>
      <c r="C41" s="552">
        <f>SUM(D41:E41)</f>
        <v>4000000</v>
      </c>
      <c r="D41" s="480">
        <f>F41+H41</f>
        <v>4000000</v>
      </c>
      <c r="E41" s="481"/>
      <c r="F41" s="499">
        <v>4000000</v>
      </c>
      <c r="G41" s="475"/>
      <c r="H41" s="474"/>
      <c r="I41" s="484"/>
    </row>
    <row r="42" spans="1:9" s="493" customFormat="1" ht="39.75" customHeight="1">
      <c r="A42" s="508">
        <v>60015</v>
      </c>
      <c r="B42" s="553" t="s">
        <v>285</v>
      </c>
      <c r="C42" s="488">
        <f>C43+C46</f>
        <v>25950000</v>
      </c>
      <c r="D42" s="489">
        <f>D43+D46</f>
        <v>25950000</v>
      </c>
      <c r="E42" s="490"/>
      <c r="F42" s="491"/>
      <c r="G42" s="490"/>
      <c r="H42" s="491">
        <f>H43+H46</f>
        <v>25950000</v>
      </c>
      <c r="I42" s="492"/>
    </row>
    <row r="43" spans="1:9" s="497" customFormat="1" ht="12.75">
      <c r="A43" s="469"/>
      <c r="B43" s="494" t="s">
        <v>270</v>
      </c>
      <c r="C43" s="471">
        <f>SUM(C44)</f>
        <v>2450000</v>
      </c>
      <c r="D43" s="472">
        <f>SUM(D44)</f>
        <v>2450000</v>
      </c>
      <c r="E43" s="473"/>
      <c r="F43" s="474"/>
      <c r="G43" s="475"/>
      <c r="H43" s="474">
        <f>SUM(H44)</f>
        <v>2450000</v>
      </c>
      <c r="I43" s="476"/>
    </row>
    <row r="44" spans="1:9" s="506" customFormat="1" ht="12">
      <c r="A44" s="477"/>
      <c r="B44" s="498" t="s">
        <v>271</v>
      </c>
      <c r="C44" s="479">
        <f>SUM(D44:E44)</f>
        <v>2450000</v>
      </c>
      <c r="D44" s="480">
        <f>F44+H44</f>
        <v>2450000</v>
      </c>
      <c r="E44" s="481"/>
      <c r="F44" s="499"/>
      <c r="G44" s="481"/>
      <c r="H44" s="499">
        <v>2450000</v>
      </c>
      <c r="I44" s="505"/>
    </row>
    <row r="45" spans="1:9" s="506" customFormat="1" ht="9" customHeight="1">
      <c r="A45" s="477"/>
      <c r="B45" s="498" t="s">
        <v>277</v>
      </c>
      <c r="C45" s="479">
        <f>SUM(D45:E45)</f>
        <v>1950000</v>
      </c>
      <c r="D45" s="480">
        <f>F45+H45</f>
        <v>1950000</v>
      </c>
      <c r="E45" s="481"/>
      <c r="F45" s="499"/>
      <c r="G45" s="481"/>
      <c r="H45" s="499">
        <v>1950000</v>
      </c>
      <c r="I45" s="505"/>
    </row>
    <row r="46" spans="1:9" ht="11.25" customHeight="1">
      <c r="A46" s="469"/>
      <c r="B46" s="470" t="s">
        <v>266</v>
      </c>
      <c r="C46" s="471">
        <f>SUM(C47)</f>
        <v>23500000</v>
      </c>
      <c r="D46" s="472">
        <f>F46+H46</f>
        <v>23500000</v>
      </c>
      <c r="E46" s="473"/>
      <c r="F46" s="474"/>
      <c r="G46" s="475"/>
      <c r="H46" s="474">
        <f>SUM(H47)</f>
        <v>23500000</v>
      </c>
      <c r="I46" s="476"/>
    </row>
    <row r="47" spans="1:9" s="485" customFormat="1" ht="12.75">
      <c r="A47" s="477"/>
      <c r="B47" s="478" t="s">
        <v>280</v>
      </c>
      <c r="C47" s="479">
        <f>SUM(D47:E47)</f>
        <v>23500000</v>
      </c>
      <c r="D47" s="480">
        <f>F47+H47</f>
        <v>23500000</v>
      </c>
      <c r="E47" s="481"/>
      <c r="F47" s="482"/>
      <c r="G47" s="483"/>
      <c r="H47" s="499">
        <v>23500000</v>
      </c>
      <c r="I47" s="484"/>
    </row>
    <row r="48" spans="1:9" s="493" customFormat="1" ht="18.75" customHeight="1">
      <c r="A48" s="508">
        <v>60016</v>
      </c>
      <c r="B48" s="487" t="s">
        <v>286</v>
      </c>
      <c r="C48" s="488">
        <f>C49+C52</f>
        <v>7207800</v>
      </c>
      <c r="D48" s="489">
        <f>D49+D52</f>
        <v>7207800</v>
      </c>
      <c r="E48" s="490"/>
      <c r="F48" s="491">
        <f>F49+F52</f>
        <v>7207800</v>
      </c>
      <c r="G48" s="490"/>
      <c r="H48" s="491"/>
      <c r="I48" s="492"/>
    </row>
    <row r="49" spans="1:9" ht="14.25" customHeight="1">
      <c r="A49" s="469"/>
      <c r="B49" s="494" t="s">
        <v>270</v>
      </c>
      <c r="C49" s="471">
        <f>SUM(C50)</f>
        <v>2327600</v>
      </c>
      <c r="D49" s="472">
        <f>SUM(D50)</f>
        <v>2327600</v>
      </c>
      <c r="E49" s="473"/>
      <c r="F49" s="474">
        <f>SUM(F50)</f>
        <v>2327600</v>
      </c>
      <c r="G49" s="554"/>
      <c r="H49" s="555"/>
      <c r="I49" s="556"/>
    </row>
    <row r="50" spans="1:9" ht="12.75" customHeight="1">
      <c r="A50" s="469"/>
      <c r="B50" s="498" t="s">
        <v>271</v>
      </c>
      <c r="C50" s="479">
        <f>SUM(D50:E50)</f>
        <v>2327600</v>
      </c>
      <c r="D50" s="480">
        <f>F50+H50</f>
        <v>2327600</v>
      </c>
      <c r="E50" s="481"/>
      <c r="F50" s="499">
        <v>2327600</v>
      </c>
      <c r="G50" s="475"/>
      <c r="H50" s="474"/>
      <c r="I50" s="476"/>
    </row>
    <row r="51" spans="1:9" s="485" customFormat="1" ht="14.25" customHeight="1">
      <c r="A51" s="477"/>
      <c r="B51" s="498" t="s">
        <v>277</v>
      </c>
      <c r="C51" s="479">
        <f>SUM(D51:E51)</f>
        <v>2020000</v>
      </c>
      <c r="D51" s="480">
        <f>F51+H51</f>
        <v>2020000</v>
      </c>
      <c r="E51" s="481"/>
      <c r="F51" s="499">
        <v>2020000</v>
      </c>
      <c r="G51" s="483"/>
      <c r="H51" s="482"/>
      <c r="I51" s="484"/>
    </row>
    <row r="52" spans="1:9" ht="13.5" customHeight="1">
      <c r="A52" s="469"/>
      <c r="B52" s="470" t="s">
        <v>266</v>
      </c>
      <c r="C52" s="471">
        <f>SUM(C53)</f>
        <v>4880200</v>
      </c>
      <c r="D52" s="472">
        <f>F52+H52</f>
        <v>4880200</v>
      </c>
      <c r="E52" s="473"/>
      <c r="F52" s="474">
        <f>SUM(F53)</f>
        <v>4880200</v>
      </c>
      <c r="G52" s="475"/>
      <c r="H52" s="474"/>
      <c r="I52" s="476"/>
    </row>
    <row r="53" spans="1:9" ht="13.5" customHeight="1">
      <c r="A53" s="557"/>
      <c r="B53" s="558" t="s">
        <v>280</v>
      </c>
      <c r="C53" s="552">
        <f>SUM(D53:E53)</f>
        <v>4880200</v>
      </c>
      <c r="D53" s="559">
        <f>F53+H53</f>
        <v>4880200</v>
      </c>
      <c r="E53" s="560"/>
      <c r="F53" s="561">
        <v>4880200</v>
      </c>
      <c r="G53" s="562"/>
      <c r="H53" s="563"/>
      <c r="I53" s="564"/>
    </row>
    <row r="54" spans="1:9" s="493" customFormat="1" ht="18" customHeight="1">
      <c r="A54" s="508">
        <v>60017</v>
      </c>
      <c r="B54" s="487" t="s">
        <v>287</v>
      </c>
      <c r="C54" s="488">
        <f>C55+C58</f>
        <v>2344700</v>
      </c>
      <c r="D54" s="489">
        <f>D55+D58</f>
        <v>2344700</v>
      </c>
      <c r="E54" s="490"/>
      <c r="F54" s="491">
        <f>F55+F58</f>
        <v>2344700</v>
      </c>
      <c r="G54" s="490"/>
      <c r="H54" s="491"/>
      <c r="I54" s="492"/>
    </row>
    <row r="55" spans="1:9" ht="12.75">
      <c r="A55" s="469"/>
      <c r="B55" s="494" t="s">
        <v>270</v>
      </c>
      <c r="C55" s="471">
        <f>SUM(C56)</f>
        <v>994700</v>
      </c>
      <c r="D55" s="472">
        <f>SUM(D56)</f>
        <v>994700</v>
      </c>
      <c r="E55" s="473"/>
      <c r="F55" s="474">
        <f>SUM(F56)</f>
        <v>994700</v>
      </c>
      <c r="G55" s="554"/>
      <c r="H55" s="555"/>
      <c r="I55" s="556"/>
    </row>
    <row r="56" spans="1:9" ht="13.5" customHeight="1">
      <c r="A56" s="469"/>
      <c r="B56" s="498" t="s">
        <v>271</v>
      </c>
      <c r="C56" s="479">
        <f>SUM(D56:E56)</f>
        <v>994700</v>
      </c>
      <c r="D56" s="480">
        <f>F56+H56</f>
        <v>994700</v>
      </c>
      <c r="E56" s="481"/>
      <c r="F56" s="499">
        <v>994700</v>
      </c>
      <c r="G56" s="475"/>
      <c r="H56" s="474"/>
      <c r="I56" s="476"/>
    </row>
    <row r="57" spans="1:9" s="485" customFormat="1" ht="11.25" customHeight="1">
      <c r="A57" s="477"/>
      <c r="B57" s="498" t="s">
        <v>277</v>
      </c>
      <c r="C57" s="479">
        <f>SUM(D57:E57)</f>
        <v>991700</v>
      </c>
      <c r="D57" s="480">
        <f>F57+H57</f>
        <v>991700</v>
      </c>
      <c r="E57" s="481"/>
      <c r="F57" s="499">
        <v>991700</v>
      </c>
      <c r="G57" s="483"/>
      <c r="H57" s="482"/>
      <c r="I57" s="484"/>
    </row>
    <row r="58" spans="1:9" ht="10.5" customHeight="1">
      <c r="A58" s="469"/>
      <c r="B58" s="470" t="s">
        <v>266</v>
      </c>
      <c r="C58" s="471">
        <f>SUM(C59)</f>
        <v>1350000</v>
      </c>
      <c r="D58" s="472">
        <f>F58+H58</f>
        <v>1350000</v>
      </c>
      <c r="E58" s="473"/>
      <c r="F58" s="474">
        <f>SUM(F59)</f>
        <v>1350000</v>
      </c>
      <c r="G58" s="475"/>
      <c r="H58" s="474"/>
      <c r="I58" s="476"/>
    </row>
    <row r="59" spans="1:9" ht="12.75" customHeight="1">
      <c r="A59" s="469"/>
      <c r="B59" s="478" t="s">
        <v>280</v>
      </c>
      <c r="C59" s="552">
        <f>SUM(D59:E59)</f>
        <v>1350000</v>
      </c>
      <c r="D59" s="480">
        <f>F59+H59</f>
        <v>1350000</v>
      </c>
      <c r="E59" s="481"/>
      <c r="F59" s="499">
        <v>1350000</v>
      </c>
      <c r="G59" s="475"/>
      <c r="H59" s="474"/>
      <c r="I59" s="476"/>
    </row>
    <row r="60" spans="1:9" ht="14.25" customHeight="1">
      <c r="A60" s="508">
        <v>60095</v>
      </c>
      <c r="B60" s="565" t="s">
        <v>276</v>
      </c>
      <c r="C60" s="500">
        <f>C61+C66</f>
        <v>2277382</v>
      </c>
      <c r="D60" s="501">
        <f>D61+D66</f>
        <v>2277382</v>
      </c>
      <c r="E60" s="502"/>
      <c r="F60" s="503">
        <f>F61+F66</f>
        <v>2277382</v>
      </c>
      <c r="G60" s="502"/>
      <c r="H60" s="503"/>
      <c r="I60" s="504"/>
    </row>
    <row r="61" spans="1:9" ht="12">
      <c r="A61" s="469"/>
      <c r="B61" s="494" t="s">
        <v>270</v>
      </c>
      <c r="C61" s="566">
        <f>SUM(C62:C64)</f>
        <v>2253382</v>
      </c>
      <c r="D61" s="472">
        <f>SUM(D62:D64)</f>
        <v>2253382</v>
      </c>
      <c r="E61" s="473"/>
      <c r="F61" s="495">
        <f>SUM(F62:F64)</f>
        <v>2253382</v>
      </c>
      <c r="G61" s="473"/>
      <c r="H61" s="495"/>
      <c r="I61" s="496"/>
    </row>
    <row r="62" spans="1:9" s="570" customFormat="1" ht="12">
      <c r="A62" s="567"/>
      <c r="B62" s="498" t="s">
        <v>278</v>
      </c>
      <c r="C62" s="479">
        <f>SUM(D62:E62)</f>
        <v>1401487</v>
      </c>
      <c r="D62" s="480">
        <f>F62+H62</f>
        <v>1401487</v>
      </c>
      <c r="E62" s="532"/>
      <c r="F62" s="568">
        <v>1401487</v>
      </c>
      <c r="G62" s="532"/>
      <c r="H62" s="568"/>
      <c r="I62" s="569"/>
    </row>
    <row r="63" spans="1:9" s="570" customFormat="1" ht="11.25" customHeight="1">
      <c r="A63" s="567"/>
      <c r="B63" s="498" t="s">
        <v>279</v>
      </c>
      <c r="C63" s="479"/>
      <c r="D63" s="480"/>
      <c r="E63" s="532"/>
      <c r="F63" s="568"/>
      <c r="G63" s="532"/>
      <c r="H63" s="568"/>
      <c r="I63" s="569"/>
    </row>
    <row r="64" spans="1:9" s="485" customFormat="1" ht="11.25" customHeight="1">
      <c r="A64" s="477"/>
      <c r="B64" s="498" t="s">
        <v>271</v>
      </c>
      <c r="C64" s="479">
        <f>SUM(D64:E64)</f>
        <v>851895</v>
      </c>
      <c r="D64" s="480">
        <f>F64+H64</f>
        <v>851895</v>
      </c>
      <c r="E64" s="481"/>
      <c r="F64" s="499">
        <v>851895</v>
      </c>
      <c r="G64" s="483"/>
      <c r="H64" s="482"/>
      <c r="I64" s="484"/>
    </row>
    <row r="65" spans="1:9" s="485" customFormat="1" ht="10.5" customHeight="1">
      <c r="A65" s="477"/>
      <c r="B65" s="498" t="s">
        <v>277</v>
      </c>
      <c r="C65" s="479">
        <f>SUM(D65:E65)</f>
        <v>5000</v>
      </c>
      <c r="D65" s="480">
        <f>F65+H65</f>
        <v>5000</v>
      </c>
      <c r="E65" s="481"/>
      <c r="F65" s="499">
        <v>5000</v>
      </c>
      <c r="G65" s="483"/>
      <c r="H65" s="482"/>
      <c r="I65" s="484"/>
    </row>
    <row r="66" spans="1:9" ht="10.5" customHeight="1">
      <c r="A66" s="469"/>
      <c r="B66" s="470" t="s">
        <v>266</v>
      </c>
      <c r="C66" s="571">
        <f>SUM(C67:C68)</f>
        <v>24000</v>
      </c>
      <c r="D66" s="572">
        <f>SUM(D67:D68)</f>
        <v>24000</v>
      </c>
      <c r="E66" s="473"/>
      <c r="F66" s="474">
        <f>SUM(F67:F68)</f>
        <v>24000</v>
      </c>
      <c r="G66" s="475"/>
      <c r="H66" s="474"/>
      <c r="I66" s="476"/>
    </row>
    <row r="67" spans="1:9" ht="13.5" customHeight="1">
      <c r="A67" s="469"/>
      <c r="B67" s="478" t="s">
        <v>280</v>
      </c>
      <c r="C67" s="479">
        <f>SUM(D67:E67)</f>
        <v>1000</v>
      </c>
      <c r="D67" s="480">
        <f>F67+H67</f>
        <v>1000</v>
      </c>
      <c r="E67" s="473"/>
      <c r="F67" s="482">
        <v>1000</v>
      </c>
      <c r="G67" s="475"/>
      <c r="H67" s="474"/>
      <c r="I67" s="476"/>
    </row>
    <row r="68" spans="1:9" ht="12" customHeight="1" thickBot="1">
      <c r="A68" s="469"/>
      <c r="B68" s="478" t="s">
        <v>267</v>
      </c>
      <c r="C68" s="479">
        <f>SUM(D68:E68)</f>
        <v>23000</v>
      </c>
      <c r="D68" s="480">
        <f>F68+H68</f>
        <v>23000</v>
      </c>
      <c r="E68" s="481"/>
      <c r="F68" s="499">
        <v>23000</v>
      </c>
      <c r="G68" s="475"/>
      <c r="H68" s="474"/>
      <c r="I68" s="476"/>
    </row>
    <row r="69" spans="1:9" s="468" customFormat="1" ht="17.25" customHeight="1" thickBot="1" thickTop="1">
      <c r="A69" s="507">
        <v>630</v>
      </c>
      <c r="B69" s="464" t="s">
        <v>249</v>
      </c>
      <c r="C69" s="465">
        <f>C73+C77</f>
        <v>455353</v>
      </c>
      <c r="D69" s="419">
        <f>D73+D77</f>
        <v>455353</v>
      </c>
      <c r="E69" s="466"/>
      <c r="F69" s="467">
        <f>SUM(F73)+F77</f>
        <v>455353</v>
      </c>
      <c r="G69" s="466"/>
      <c r="H69" s="467"/>
      <c r="I69" s="423"/>
    </row>
    <row r="70" spans="1:9" s="468" customFormat="1" ht="13.5" customHeight="1" thickTop="1">
      <c r="A70" s="509"/>
      <c r="B70" s="494" t="s">
        <v>270</v>
      </c>
      <c r="C70" s="571">
        <f>D70+E70</f>
        <v>455353</v>
      </c>
      <c r="D70" s="572">
        <f>F70+H70</f>
        <v>455353</v>
      </c>
      <c r="E70" s="527"/>
      <c r="F70" s="474">
        <f>F74+F78</f>
        <v>455353</v>
      </c>
      <c r="G70" s="527"/>
      <c r="H70" s="529"/>
      <c r="I70" s="530"/>
    </row>
    <row r="71" spans="1:9" s="533" customFormat="1" ht="13.5" customHeight="1">
      <c r="A71" s="531"/>
      <c r="B71" s="498" t="s">
        <v>288</v>
      </c>
      <c r="C71" s="573">
        <f>D71+E71</f>
        <v>14000</v>
      </c>
      <c r="D71" s="574">
        <f>F71+H71</f>
        <v>14000</v>
      </c>
      <c r="E71" s="575"/>
      <c r="F71" s="482">
        <f>F75</f>
        <v>14000</v>
      </c>
      <c r="G71" s="575"/>
      <c r="H71" s="576"/>
      <c r="I71" s="577"/>
    </row>
    <row r="72" spans="1:9" s="533" customFormat="1" ht="13.5" customHeight="1" thickBot="1">
      <c r="A72" s="534"/>
      <c r="B72" s="578" t="s">
        <v>271</v>
      </c>
      <c r="C72" s="579">
        <f>D72+E72</f>
        <v>441353</v>
      </c>
      <c r="D72" s="580">
        <f>F72+H72</f>
        <v>441353</v>
      </c>
      <c r="E72" s="581"/>
      <c r="F72" s="582">
        <f>F76+F79</f>
        <v>441353</v>
      </c>
      <c r="G72" s="581"/>
      <c r="H72" s="583"/>
      <c r="I72" s="584"/>
    </row>
    <row r="73" spans="1:9" ht="36" customHeight="1" thickTop="1">
      <c r="A73" s="543">
        <v>63003</v>
      </c>
      <c r="B73" s="585" t="s">
        <v>289</v>
      </c>
      <c r="C73" s="586">
        <f>C74</f>
        <v>128000</v>
      </c>
      <c r="D73" s="587">
        <f>D74</f>
        <v>128000</v>
      </c>
      <c r="E73" s="588"/>
      <c r="F73" s="589">
        <f>F74</f>
        <v>128000</v>
      </c>
      <c r="G73" s="588"/>
      <c r="H73" s="589"/>
      <c r="I73" s="590"/>
    </row>
    <row r="74" spans="1:9" s="497" customFormat="1" ht="15" customHeight="1">
      <c r="A74" s="469"/>
      <c r="B74" s="494" t="s">
        <v>270</v>
      </c>
      <c r="C74" s="571">
        <f>SUM(C75:C76)</f>
        <v>128000</v>
      </c>
      <c r="D74" s="572">
        <f>SUM(D75:D76)</f>
        <v>128000</v>
      </c>
      <c r="E74" s="473"/>
      <c r="F74" s="474">
        <f>SUM(F75:F76)</f>
        <v>128000</v>
      </c>
      <c r="G74" s="475"/>
      <c r="H74" s="474"/>
      <c r="I74" s="476"/>
    </row>
    <row r="75" spans="1:9" s="506" customFormat="1" ht="11.25" customHeight="1">
      <c r="A75" s="477"/>
      <c r="B75" s="498" t="s">
        <v>288</v>
      </c>
      <c r="C75" s="479">
        <f>SUM(D75:E75)</f>
        <v>14000</v>
      </c>
      <c r="D75" s="480">
        <f>F75+H75</f>
        <v>14000</v>
      </c>
      <c r="E75" s="481"/>
      <c r="F75" s="499">
        <v>14000</v>
      </c>
      <c r="G75" s="483"/>
      <c r="H75" s="482"/>
      <c r="I75" s="484"/>
    </row>
    <row r="76" spans="1:9" s="506" customFormat="1" ht="10.5" customHeight="1">
      <c r="A76" s="591"/>
      <c r="B76" s="592" t="s">
        <v>271</v>
      </c>
      <c r="C76" s="552">
        <f>SUM(D76:E76)</f>
        <v>114000</v>
      </c>
      <c r="D76" s="559">
        <f>F76+H76</f>
        <v>114000</v>
      </c>
      <c r="E76" s="560"/>
      <c r="F76" s="561">
        <v>114000</v>
      </c>
      <c r="G76" s="593"/>
      <c r="H76" s="594"/>
      <c r="I76" s="595"/>
    </row>
    <row r="77" spans="1:9" s="493" customFormat="1" ht="12">
      <c r="A77" s="508">
        <v>63095</v>
      </c>
      <c r="B77" s="596" t="s">
        <v>276</v>
      </c>
      <c r="C77" s="500">
        <f>SUM(C78)</f>
        <v>327353</v>
      </c>
      <c r="D77" s="501">
        <f>SUM(D78)</f>
        <v>327353</v>
      </c>
      <c r="E77" s="502"/>
      <c r="F77" s="503">
        <f>SUM(F78)</f>
        <v>327353</v>
      </c>
      <c r="G77" s="502"/>
      <c r="H77" s="503"/>
      <c r="I77" s="504"/>
    </row>
    <row r="78" spans="1:9" ht="14.25" customHeight="1">
      <c r="A78" s="469"/>
      <c r="B78" s="494" t="s">
        <v>270</v>
      </c>
      <c r="C78" s="471">
        <f>SUM(C79)</f>
        <v>327353</v>
      </c>
      <c r="D78" s="472">
        <f>SUM(D79)</f>
        <v>327353</v>
      </c>
      <c r="E78" s="473"/>
      <c r="F78" s="474">
        <f>SUM(F79)</f>
        <v>327353</v>
      </c>
      <c r="G78" s="554"/>
      <c r="H78" s="555"/>
      <c r="I78" s="476"/>
    </row>
    <row r="79" spans="1:9" ht="14.25" customHeight="1" thickBot="1">
      <c r="A79" s="469"/>
      <c r="B79" s="498" t="s">
        <v>271</v>
      </c>
      <c r="C79" s="479">
        <f>SUM(D79:E79)</f>
        <v>327353</v>
      </c>
      <c r="D79" s="480">
        <f>F79+H79</f>
        <v>327353</v>
      </c>
      <c r="E79" s="481"/>
      <c r="F79" s="499">
        <v>327353</v>
      </c>
      <c r="G79" s="475"/>
      <c r="H79" s="474"/>
      <c r="I79" s="484"/>
    </row>
    <row r="80" spans="1:9" s="597" customFormat="1" ht="27" thickBot="1" thickTop="1">
      <c r="A80" s="507">
        <v>700</v>
      </c>
      <c r="B80" s="464" t="s">
        <v>290</v>
      </c>
      <c r="C80" s="465">
        <f>C90+C97+C100+C105+C108</f>
        <v>15226400</v>
      </c>
      <c r="D80" s="422">
        <f>D90+D97+D100+D105+D108</f>
        <v>15186400</v>
      </c>
      <c r="E80" s="466">
        <f>E90+E97+E100+E108</f>
        <v>40000</v>
      </c>
      <c r="F80" s="467">
        <f>F90+F97+F100+F105+F108</f>
        <v>15186400</v>
      </c>
      <c r="G80" s="466"/>
      <c r="H80" s="467"/>
      <c r="I80" s="423">
        <f>I90+I97+I100+I108</f>
        <v>40000</v>
      </c>
    </row>
    <row r="81" spans="1:9" s="468" customFormat="1" ht="13.5" thickTop="1">
      <c r="A81" s="509"/>
      <c r="B81" s="598" t="s">
        <v>270</v>
      </c>
      <c r="C81" s="525">
        <f>D81+E81</f>
        <v>1086400</v>
      </c>
      <c r="D81" s="599">
        <f>F81+H81</f>
        <v>1046400</v>
      </c>
      <c r="E81" s="527">
        <f>G81+I81</f>
        <v>40000</v>
      </c>
      <c r="F81" s="600">
        <f>F101+F109</f>
        <v>1046400</v>
      </c>
      <c r="G81" s="599"/>
      <c r="H81" s="600"/>
      <c r="I81" s="517">
        <f>I101+I109</f>
        <v>40000</v>
      </c>
    </row>
    <row r="82" spans="1:9" s="520" customFormat="1" ht="13.5">
      <c r="A82" s="531"/>
      <c r="B82" s="478" t="s">
        <v>291</v>
      </c>
      <c r="C82" s="479">
        <f aca="true" t="shared" si="3" ref="C82:C89">D82+E82</f>
        <v>5500</v>
      </c>
      <c r="D82" s="601">
        <f aca="true" t="shared" si="4" ref="D82:D89">F82+H82</f>
        <v>5500</v>
      </c>
      <c r="E82" s="481"/>
      <c r="F82" s="499">
        <f>F110</f>
        <v>5500</v>
      </c>
      <c r="G82" s="601"/>
      <c r="H82" s="499"/>
      <c r="I82" s="505"/>
    </row>
    <row r="83" spans="1:9" s="520" customFormat="1" ht="13.5">
      <c r="A83" s="531"/>
      <c r="B83" s="478" t="s">
        <v>292</v>
      </c>
      <c r="C83" s="479"/>
      <c r="D83" s="601"/>
      <c r="E83" s="481"/>
      <c r="F83" s="499"/>
      <c r="G83" s="602"/>
      <c r="H83" s="499"/>
      <c r="I83" s="505"/>
    </row>
    <row r="84" spans="1:9" s="520" customFormat="1" ht="13.5">
      <c r="A84" s="531"/>
      <c r="B84" s="498" t="s">
        <v>271</v>
      </c>
      <c r="C84" s="479">
        <f t="shared" si="3"/>
        <v>1080900</v>
      </c>
      <c r="D84" s="601">
        <f t="shared" si="4"/>
        <v>1040900</v>
      </c>
      <c r="E84" s="481">
        <f>G84+I84</f>
        <v>40000</v>
      </c>
      <c r="F84" s="499">
        <f>F102+F112</f>
        <v>1040900</v>
      </c>
      <c r="G84" s="601"/>
      <c r="H84" s="499"/>
      <c r="I84" s="505">
        <f>I102+I112</f>
        <v>40000</v>
      </c>
    </row>
    <row r="85" spans="1:9" s="468" customFormat="1" ht="12.75">
      <c r="A85" s="509"/>
      <c r="B85" s="524" t="s">
        <v>266</v>
      </c>
      <c r="C85" s="525">
        <f t="shared" si="3"/>
        <v>14140000</v>
      </c>
      <c r="D85" s="599">
        <f t="shared" si="4"/>
        <v>14140000</v>
      </c>
      <c r="E85" s="527"/>
      <c r="F85" s="529">
        <f>F94+F103+F106+F113</f>
        <v>14140000</v>
      </c>
      <c r="G85" s="599"/>
      <c r="H85" s="529"/>
      <c r="I85" s="530"/>
    </row>
    <row r="86" spans="1:9" s="520" customFormat="1" ht="13.5">
      <c r="A86" s="531"/>
      <c r="B86" s="478" t="s">
        <v>280</v>
      </c>
      <c r="C86" s="479">
        <f t="shared" si="3"/>
        <v>8070000</v>
      </c>
      <c r="D86" s="601">
        <f t="shared" si="4"/>
        <v>8070000</v>
      </c>
      <c r="E86" s="481"/>
      <c r="F86" s="499">
        <f>F95+F114</f>
        <v>8070000</v>
      </c>
      <c r="G86" s="601"/>
      <c r="H86" s="499"/>
      <c r="I86" s="505"/>
    </row>
    <row r="87" spans="1:9" ht="12">
      <c r="A87" s="521"/>
      <c r="B87" s="470" t="s">
        <v>293</v>
      </c>
      <c r="C87" s="471">
        <f t="shared" si="3"/>
        <v>6500000</v>
      </c>
      <c r="D87" s="550">
        <f t="shared" si="4"/>
        <v>6500000</v>
      </c>
      <c r="E87" s="473"/>
      <c r="F87" s="495">
        <f>F96</f>
        <v>6500000</v>
      </c>
      <c r="G87" s="550"/>
      <c r="H87" s="495"/>
      <c r="I87" s="496"/>
    </row>
    <row r="88" spans="1:9" s="520" customFormat="1" ht="13.5">
      <c r="A88" s="531"/>
      <c r="B88" s="478" t="s">
        <v>267</v>
      </c>
      <c r="C88" s="479">
        <f t="shared" si="3"/>
        <v>500000</v>
      </c>
      <c r="D88" s="601">
        <f t="shared" si="4"/>
        <v>500000</v>
      </c>
      <c r="E88" s="481"/>
      <c r="F88" s="499">
        <f>F104</f>
        <v>500000</v>
      </c>
      <c r="G88" s="601"/>
      <c r="H88" s="499"/>
      <c r="I88" s="505"/>
    </row>
    <row r="89" spans="1:9" s="520" customFormat="1" ht="14.25" thickBot="1">
      <c r="A89" s="534"/>
      <c r="B89" s="603" t="s">
        <v>281</v>
      </c>
      <c r="C89" s="536">
        <f t="shared" si="3"/>
        <v>5570000</v>
      </c>
      <c r="D89" s="604">
        <f t="shared" si="4"/>
        <v>5570000</v>
      </c>
      <c r="E89" s="540"/>
      <c r="F89" s="541">
        <f>F107</f>
        <v>5570000</v>
      </c>
      <c r="G89" s="604"/>
      <c r="H89" s="541"/>
      <c r="I89" s="605"/>
    </row>
    <row r="90" spans="1:9" s="493" customFormat="1" ht="24.75" thickTop="1">
      <c r="A90" s="543">
        <v>70001</v>
      </c>
      <c r="B90" s="585" t="s">
        <v>294</v>
      </c>
      <c r="C90" s="586">
        <f>SUM(C91)+C94</f>
        <v>6500000</v>
      </c>
      <c r="D90" s="587">
        <f>SUM(D91)+D94</f>
        <v>6500000</v>
      </c>
      <c r="E90" s="588"/>
      <c r="F90" s="589">
        <f>SUM(F91)+F94</f>
        <v>6500000</v>
      </c>
      <c r="G90" s="588"/>
      <c r="H90" s="589"/>
      <c r="I90" s="590"/>
    </row>
    <row r="91" spans="1:9" ht="12.75" hidden="1">
      <c r="A91" s="469"/>
      <c r="B91" s="494" t="s">
        <v>270</v>
      </c>
      <c r="C91" s="471">
        <f>SUM(C92)</f>
        <v>0</v>
      </c>
      <c r="D91" s="472">
        <f>SUM(D92)</f>
        <v>0</v>
      </c>
      <c r="E91" s="473"/>
      <c r="F91" s="474">
        <f>SUM(F92)</f>
        <v>0</v>
      </c>
      <c r="G91" s="554"/>
      <c r="H91" s="555"/>
      <c r="I91" s="556"/>
    </row>
    <row r="92" spans="1:9" ht="11.25" customHeight="1" hidden="1">
      <c r="A92" s="469"/>
      <c r="B92" s="498" t="s">
        <v>288</v>
      </c>
      <c r="C92" s="479">
        <f>SUM(D92:E92)</f>
        <v>0</v>
      </c>
      <c r="D92" s="480">
        <f>F92+H92</f>
        <v>0</v>
      </c>
      <c r="E92" s="481"/>
      <c r="F92" s="499"/>
      <c r="G92" s="475"/>
      <c r="H92" s="474"/>
      <c r="I92" s="476"/>
    </row>
    <row r="93" spans="1:9" ht="11.25" customHeight="1" hidden="1">
      <c r="A93" s="469"/>
      <c r="B93" s="498" t="s">
        <v>295</v>
      </c>
      <c r="C93" s="479">
        <f>SUM(D93:E93)</f>
        <v>0</v>
      </c>
      <c r="D93" s="480">
        <f>F93+H93</f>
        <v>0</v>
      </c>
      <c r="E93" s="481"/>
      <c r="F93" s="499"/>
      <c r="G93" s="475"/>
      <c r="H93" s="474"/>
      <c r="I93" s="476"/>
    </row>
    <row r="94" spans="1:9" ht="10.5" customHeight="1">
      <c r="A94" s="469"/>
      <c r="B94" s="470" t="s">
        <v>266</v>
      </c>
      <c r="C94" s="571">
        <f>SUM(C95)</f>
        <v>6500000</v>
      </c>
      <c r="D94" s="572">
        <f>SUM(D95)</f>
        <v>6500000</v>
      </c>
      <c r="E94" s="473"/>
      <c r="F94" s="474">
        <f>SUM(F95)</f>
        <v>6500000</v>
      </c>
      <c r="G94" s="475"/>
      <c r="H94" s="474"/>
      <c r="I94" s="476"/>
    </row>
    <row r="95" spans="1:9" ht="12" customHeight="1">
      <c r="A95" s="469"/>
      <c r="B95" s="478" t="s">
        <v>280</v>
      </c>
      <c r="C95" s="479">
        <f>SUM(D95:E95)</f>
        <v>6500000</v>
      </c>
      <c r="D95" s="480">
        <f>F95+H95</f>
        <v>6500000</v>
      </c>
      <c r="E95" s="473"/>
      <c r="F95" s="482">
        <v>6500000</v>
      </c>
      <c r="G95" s="475"/>
      <c r="H95" s="474"/>
      <c r="I95" s="476"/>
    </row>
    <row r="96" spans="1:9" s="613" customFormat="1" ht="12" customHeight="1">
      <c r="A96" s="606"/>
      <c r="B96" s="607" t="s">
        <v>293</v>
      </c>
      <c r="C96" s="608">
        <f>SUM(D96:E96)</f>
        <v>6500000</v>
      </c>
      <c r="D96" s="609">
        <f>F96+H96</f>
        <v>6500000</v>
      </c>
      <c r="E96" s="610"/>
      <c r="F96" s="611">
        <v>6500000</v>
      </c>
      <c r="G96" s="610"/>
      <c r="H96" s="611"/>
      <c r="I96" s="612"/>
    </row>
    <row r="97" spans="1:9" s="493" customFormat="1" ht="48" hidden="1">
      <c r="A97" s="508">
        <v>70004</v>
      </c>
      <c r="B97" s="596" t="s">
        <v>296</v>
      </c>
      <c r="C97" s="500">
        <f>SUM(C99)</f>
        <v>0</v>
      </c>
      <c r="D97" s="501">
        <f>SUM(D99)</f>
        <v>0</v>
      </c>
      <c r="E97" s="502"/>
      <c r="F97" s="503">
        <f>SUM(F99)</f>
        <v>0</v>
      </c>
      <c r="G97" s="502"/>
      <c r="H97" s="503"/>
      <c r="I97" s="504"/>
    </row>
    <row r="98" spans="1:9" ht="12.75" hidden="1">
      <c r="A98" s="469"/>
      <c r="B98" s="494" t="s">
        <v>270</v>
      </c>
      <c r="C98" s="471">
        <f>SUM(C99)</f>
        <v>0</v>
      </c>
      <c r="D98" s="472">
        <f>SUM(D99)</f>
        <v>0</v>
      </c>
      <c r="E98" s="473"/>
      <c r="F98" s="474">
        <f>SUM(F99)</f>
        <v>0</v>
      </c>
      <c r="G98" s="554"/>
      <c r="H98" s="555"/>
      <c r="I98" s="556"/>
    </row>
    <row r="99" spans="1:9" ht="12.75" hidden="1">
      <c r="A99" s="469"/>
      <c r="B99" s="498" t="s">
        <v>271</v>
      </c>
      <c r="C99" s="479">
        <f>SUM(D99:E99)</f>
        <v>0</v>
      </c>
      <c r="D99" s="480">
        <f>F99+H99</f>
        <v>0</v>
      </c>
      <c r="E99" s="481"/>
      <c r="F99" s="482">
        <v>0</v>
      </c>
      <c r="G99" s="475"/>
      <c r="H99" s="474"/>
      <c r="I99" s="476"/>
    </row>
    <row r="100" spans="1:9" s="493" customFormat="1" ht="24.75" customHeight="1">
      <c r="A100" s="508">
        <v>70005</v>
      </c>
      <c r="B100" s="596" t="s">
        <v>297</v>
      </c>
      <c r="C100" s="500">
        <f>C101+C103</f>
        <v>1567000</v>
      </c>
      <c r="D100" s="501">
        <f>D101+D103</f>
        <v>1527000</v>
      </c>
      <c r="E100" s="502">
        <f>E101+E103</f>
        <v>40000</v>
      </c>
      <c r="F100" s="503">
        <f>F101+F103</f>
        <v>1527000</v>
      </c>
      <c r="G100" s="502"/>
      <c r="H100" s="503"/>
      <c r="I100" s="504">
        <f>I101+I103</f>
        <v>40000</v>
      </c>
    </row>
    <row r="101" spans="1:9" ht="15.75" customHeight="1">
      <c r="A101" s="614"/>
      <c r="B101" s="615" t="s">
        <v>270</v>
      </c>
      <c r="C101" s="566">
        <f>SUM(C102)</f>
        <v>1067000</v>
      </c>
      <c r="D101" s="616">
        <f>SUM(D102)</f>
        <v>1027000</v>
      </c>
      <c r="E101" s="617">
        <f>SUM(E102)</f>
        <v>40000</v>
      </c>
      <c r="F101" s="618">
        <f>SUM(F102)</f>
        <v>1027000</v>
      </c>
      <c r="G101" s="619"/>
      <c r="H101" s="620"/>
      <c r="I101" s="621">
        <f>SUM(I102)</f>
        <v>40000</v>
      </c>
    </row>
    <row r="102" spans="1:9" ht="15.75" customHeight="1">
      <c r="A102" s="469"/>
      <c r="B102" s="498" t="s">
        <v>271</v>
      </c>
      <c r="C102" s="479">
        <f>SUM(D102:E102)</f>
        <v>1067000</v>
      </c>
      <c r="D102" s="480">
        <f>F102+H102</f>
        <v>1027000</v>
      </c>
      <c r="E102" s="481">
        <f>G102+I102</f>
        <v>40000</v>
      </c>
      <c r="F102" s="499">
        <v>1027000</v>
      </c>
      <c r="G102" s="473"/>
      <c r="H102" s="495"/>
      <c r="I102" s="505">
        <v>40000</v>
      </c>
    </row>
    <row r="103" spans="1:9" ht="15.75" customHeight="1">
      <c r="A103" s="469"/>
      <c r="B103" s="470" t="s">
        <v>266</v>
      </c>
      <c r="C103" s="471">
        <f>SUM(C104)</f>
        <v>500000</v>
      </c>
      <c r="D103" s="472">
        <f>F103+H103</f>
        <v>500000</v>
      </c>
      <c r="E103" s="473"/>
      <c r="F103" s="474">
        <f>SUM(F104)</f>
        <v>500000</v>
      </c>
      <c r="G103" s="475"/>
      <c r="H103" s="474"/>
      <c r="I103" s="476"/>
    </row>
    <row r="104" spans="1:9" ht="15.75" customHeight="1">
      <c r="A104" s="557"/>
      <c r="B104" s="558" t="s">
        <v>267</v>
      </c>
      <c r="C104" s="552">
        <f>SUM(D104:E104)</f>
        <v>500000</v>
      </c>
      <c r="D104" s="559">
        <f>F104+H104</f>
        <v>500000</v>
      </c>
      <c r="E104" s="560"/>
      <c r="F104" s="561">
        <v>500000</v>
      </c>
      <c r="G104" s="562"/>
      <c r="H104" s="563"/>
      <c r="I104" s="595"/>
    </row>
    <row r="105" spans="1:9" ht="36">
      <c r="A105" s="508">
        <v>70021</v>
      </c>
      <c r="B105" s="596" t="s">
        <v>298</v>
      </c>
      <c r="C105" s="500">
        <f>C106</f>
        <v>5570000</v>
      </c>
      <c r="D105" s="501">
        <f>D106</f>
        <v>5570000</v>
      </c>
      <c r="E105" s="502"/>
      <c r="F105" s="503">
        <f>F106</f>
        <v>5570000</v>
      </c>
      <c r="G105" s="502"/>
      <c r="H105" s="503"/>
      <c r="I105" s="504"/>
    </row>
    <row r="106" spans="1:9" ht="12.75">
      <c r="A106" s="469"/>
      <c r="B106" s="470" t="s">
        <v>284</v>
      </c>
      <c r="C106" s="622">
        <f>SUM(D106:E106)</f>
        <v>5570000</v>
      </c>
      <c r="D106" s="550">
        <f>F106+H106</f>
        <v>5570000</v>
      </c>
      <c r="E106" s="481"/>
      <c r="F106" s="499">
        <f>F107</f>
        <v>5570000</v>
      </c>
      <c r="G106" s="475"/>
      <c r="H106" s="474"/>
      <c r="I106" s="484"/>
    </row>
    <row r="107" spans="1:9" ht="12.75">
      <c r="A107" s="469"/>
      <c r="B107" s="478" t="s">
        <v>281</v>
      </c>
      <c r="C107" s="552">
        <f>SUM(D107:E107)</f>
        <v>5570000</v>
      </c>
      <c r="D107" s="480">
        <f>F107+H107</f>
        <v>5570000</v>
      </c>
      <c r="E107" s="481"/>
      <c r="F107" s="499">
        <v>5570000</v>
      </c>
      <c r="G107" s="475"/>
      <c r="H107" s="474"/>
      <c r="I107" s="484"/>
    </row>
    <row r="108" spans="1:9" s="493" customFormat="1" ht="12">
      <c r="A108" s="508">
        <v>70095</v>
      </c>
      <c r="B108" s="596" t="s">
        <v>276</v>
      </c>
      <c r="C108" s="500">
        <f>C109+C113</f>
        <v>1589400</v>
      </c>
      <c r="D108" s="501">
        <f>D109+D113</f>
        <v>1589400</v>
      </c>
      <c r="E108" s="502"/>
      <c r="F108" s="503">
        <f>F109+F113</f>
        <v>1589400</v>
      </c>
      <c r="G108" s="502"/>
      <c r="H108" s="503"/>
      <c r="I108" s="504"/>
    </row>
    <row r="109" spans="1:9" ht="12.75">
      <c r="A109" s="469"/>
      <c r="B109" s="494" t="s">
        <v>270</v>
      </c>
      <c r="C109" s="471">
        <f>SUM(C110:C112)</f>
        <v>19400</v>
      </c>
      <c r="D109" s="472">
        <f>SUM(D110:D112)</f>
        <v>19400</v>
      </c>
      <c r="E109" s="473"/>
      <c r="F109" s="474">
        <f>SUM(F110:F112)</f>
        <v>19400</v>
      </c>
      <c r="G109" s="554"/>
      <c r="H109" s="555"/>
      <c r="I109" s="476"/>
    </row>
    <row r="110" spans="1:9" ht="12.75">
      <c r="A110" s="469"/>
      <c r="B110" s="478" t="s">
        <v>291</v>
      </c>
      <c r="C110" s="479">
        <f>SUM(D110:E110)</f>
        <v>5500</v>
      </c>
      <c r="D110" s="480">
        <f>F110+H110</f>
        <v>5500</v>
      </c>
      <c r="E110" s="473"/>
      <c r="F110" s="474">
        <v>5500</v>
      </c>
      <c r="G110" s="554"/>
      <c r="H110" s="555"/>
      <c r="I110" s="476"/>
    </row>
    <row r="111" spans="1:9" ht="12.75">
      <c r="A111" s="469"/>
      <c r="B111" s="478" t="s">
        <v>292</v>
      </c>
      <c r="C111" s="479"/>
      <c r="D111" s="480"/>
      <c r="E111" s="473"/>
      <c r="F111" s="474"/>
      <c r="G111" s="554"/>
      <c r="H111" s="555"/>
      <c r="I111" s="476"/>
    </row>
    <row r="112" spans="1:9" ht="11.25" customHeight="1">
      <c r="A112" s="469"/>
      <c r="B112" s="498" t="s">
        <v>271</v>
      </c>
      <c r="C112" s="479">
        <f>SUM(D112:E112)</f>
        <v>13900</v>
      </c>
      <c r="D112" s="480">
        <f>F112+H112</f>
        <v>13900</v>
      </c>
      <c r="E112" s="481"/>
      <c r="F112" s="499">
        <v>13900</v>
      </c>
      <c r="G112" s="475"/>
      <c r="H112" s="474"/>
      <c r="I112" s="484"/>
    </row>
    <row r="113" spans="1:9" ht="12" customHeight="1">
      <c r="A113" s="469"/>
      <c r="B113" s="470" t="s">
        <v>266</v>
      </c>
      <c r="C113" s="471">
        <f>SUM(C114:C115)</f>
        <v>1570000</v>
      </c>
      <c r="D113" s="472">
        <f>F113+H113</f>
        <v>1570000</v>
      </c>
      <c r="E113" s="473"/>
      <c r="F113" s="474">
        <f>SUM(F114:F115)</f>
        <v>1570000</v>
      </c>
      <c r="G113" s="475"/>
      <c r="H113" s="474"/>
      <c r="I113" s="476"/>
    </row>
    <row r="114" spans="1:9" s="485" customFormat="1" ht="14.25" customHeight="1" thickBot="1">
      <c r="A114" s="477"/>
      <c r="B114" s="478" t="s">
        <v>280</v>
      </c>
      <c r="C114" s="479">
        <f>SUM(D114:E114)</f>
        <v>1570000</v>
      </c>
      <c r="D114" s="480">
        <f>F114+H114</f>
        <v>1570000</v>
      </c>
      <c r="E114" s="481"/>
      <c r="F114" s="499">
        <v>1570000</v>
      </c>
      <c r="G114" s="481"/>
      <c r="H114" s="499"/>
      <c r="I114" s="505"/>
    </row>
    <row r="115" spans="1:9" ht="12.75" hidden="1" thickBot="1">
      <c r="A115" s="469"/>
      <c r="B115" s="478" t="s">
        <v>299</v>
      </c>
      <c r="C115" s="552">
        <f>SUM(D115:E115)</f>
        <v>0</v>
      </c>
      <c r="D115" s="480">
        <f>F115+H115</f>
        <v>0</v>
      </c>
      <c r="E115" s="481"/>
      <c r="F115" s="499">
        <v>0</v>
      </c>
      <c r="G115" s="473"/>
      <c r="H115" s="495"/>
      <c r="I115" s="496"/>
    </row>
    <row r="116" spans="1:9" s="597" customFormat="1" ht="30" customHeight="1" thickBot="1" thickTop="1">
      <c r="A116" s="507">
        <v>710</v>
      </c>
      <c r="B116" s="464" t="s">
        <v>143</v>
      </c>
      <c r="C116" s="465">
        <f>C126+C129+C132+C139+C121+C144</f>
        <v>2909300</v>
      </c>
      <c r="D116" s="467">
        <f>D126+D129+D132+D139+D121+D144</f>
        <v>2659200</v>
      </c>
      <c r="E116" s="466">
        <f>E126+E129+E132+E139</f>
        <v>250100</v>
      </c>
      <c r="F116" s="467">
        <f>F126+F129+F132+F139+F121+F144</f>
        <v>2517200</v>
      </c>
      <c r="G116" s="466"/>
      <c r="H116" s="467">
        <f>H126+H129+H132+H139+H121</f>
        <v>142000</v>
      </c>
      <c r="I116" s="423">
        <f>I126+I129+I132+I139+I121</f>
        <v>250100</v>
      </c>
    </row>
    <row r="117" spans="1:9" s="468" customFormat="1" ht="14.25" customHeight="1" thickTop="1">
      <c r="A117" s="509"/>
      <c r="B117" s="598" t="s">
        <v>270</v>
      </c>
      <c r="C117" s="525">
        <f>D117+E117</f>
        <v>2909300</v>
      </c>
      <c r="D117" s="599">
        <f>F117+H117</f>
        <v>2659200</v>
      </c>
      <c r="E117" s="527">
        <f>G117+I117</f>
        <v>250100</v>
      </c>
      <c r="F117" s="600">
        <f>F122+F127+F130+F133+F140</f>
        <v>2517200</v>
      </c>
      <c r="G117" s="623"/>
      <c r="H117" s="528">
        <f>H122+H127+H130+H133+H140</f>
        <v>142000</v>
      </c>
      <c r="I117" s="517">
        <f>I122+I127+I130+I133+I140</f>
        <v>250100</v>
      </c>
    </row>
    <row r="118" spans="1:9" s="520" customFormat="1" ht="14.25" customHeight="1">
      <c r="A118" s="531"/>
      <c r="B118" s="478" t="s">
        <v>291</v>
      </c>
      <c r="C118" s="573">
        <f>D118+E118</f>
        <v>276030</v>
      </c>
      <c r="D118" s="624">
        <f>F118+H118</f>
        <v>124100</v>
      </c>
      <c r="E118" s="483">
        <f>G118+I118</f>
        <v>151930</v>
      </c>
      <c r="F118" s="625">
        <f>F123+F134</f>
        <v>7200</v>
      </c>
      <c r="G118" s="483"/>
      <c r="H118" s="625">
        <f>H134</f>
        <v>116900</v>
      </c>
      <c r="I118" s="484">
        <f>I134</f>
        <v>151930</v>
      </c>
    </row>
    <row r="119" spans="1:9" s="520" customFormat="1" ht="14.25" customHeight="1">
      <c r="A119" s="531"/>
      <c r="B119" s="478" t="s">
        <v>292</v>
      </c>
      <c r="C119" s="573"/>
      <c r="D119" s="624"/>
      <c r="E119" s="483"/>
      <c r="F119" s="482"/>
      <c r="G119" s="483"/>
      <c r="H119" s="625"/>
      <c r="I119" s="484"/>
    </row>
    <row r="120" spans="1:9" s="520" customFormat="1" ht="14.25" customHeight="1" thickBot="1">
      <c r="A120" s="534"/>
      <c r="B120" s="578" t="s">
        <v>271</v>
      </c>
      <c r="C120" s="579">
        <f>D120+E120</f>
        <v>2633270</v>
      </c>
      <c r="D120" s="626">
        <f>F120+H120</f>
        <v>2535100</v>
      </c>
      <c r="E120" s="627">
        <f>G120+I120</f>
        <v>98170</v>
      </c>
      <c r="F120" s="582">
        <f>F125+F128+F131+F136+F141</f>
        <v>2510000</v>
      </c>
      <c r="G120" s="627"/>
      <c r="H120" s="628">
        <f>H125+H128+H131+H136</f>
        <v>25100</v>
      </c>
      <c r="I120" s="542">
        <f>I125+I128+I131+I136</f>
        <v>98170</v>
      </c>
    </row>
    <row r="121" spans="1:9" s="493" customFormat="1" ht="27" customHeight="1" thickTop="1">
      <c r="A121" s="543">
        <v>71004</v>
      </c>
      <c r="B121" s="585" t="s">
        <v>300</v>
      </c>
      <c r="C121" s="586">
        <f>SUM(C122)</f>
        <v>1507200</v>
      </c>
      <c r="D121" s="587">
        <f>D122+D126</f>
        <v>1507200</v>
      </c>
      <c r="E121" s="588"/>
      <c r="F121" s="589">
        <f>SUM(F122)</f>
        <v>1507200</v>
      </c>
      <c r="G121" s="588"/>
      <c r="H121" s="589"/>
      <c r="I121" s="590"/>
    </row>
    <row r="122" spans="1:9" ht="13.5" customHeight="1">
      <c r="A122" s="469"/>
      <c r="B122" s="494" t="s">
        <v>270</v>
      </c>
      <c r="C122" s="471">
        <f>SUM(C125)+C123</f>
        <v>1507200</v>
      </c>
      <c r="D122" s="472">
        <f>SUM(D125)+D123</f>
        <v>1507200</v>
      </c>
      <c r="E122" s="473"/>
      <c r="F122" s="474">
        <f>F123+F125</f>
        <v>1507200</v>
      </c>
      <c r="G122" s="554"/>
      <c r="H122" s="555"/>
      <c r="I122" s="476"/>
    </row>
    <row r="123" spans="1:9" ht="12.75">
      <c r="A123" s="469"/>
      <c r="B123" s="478" t="s">
        <v>291</v>
      </c>
      <c r="C123" s="479">
        <f>SUM(D123:E123)</f>
        <v>7200</v>
      </c>
      <c r="D123" s="480">
        <f>F123+H123</f>
        <v>7200</v>
      </c>
      <c r="E123" s="473"/>
      <c r="F123" s="474">
        <v>7200</v>
      </c>
      <c r="G123" s="554"/>
      <c r="H123" s="555"/>
      <c r="I123" s="476"/>
    </row>
    <row r="124" spans="1:9" ht="12.75">
      <c r="A124" s="469"/>
      <c r="B124" s="478" t="s">
        <v>292</v>
      </c>
      <c r="C124" s="479"/>
      <c r="D124" s="480"/>
      <c r="E124" s="473"/>
      <c r="F124" s="474"/>
      <c r="G124" s="554"/>
      <c r="H124" s="555"/>
      <c r="I124" s="476"/>
    </row>
    <row r="125" spans="1:9" ht="12" customHeight="1">
      <c r="A125" s="469"/>
      <c r="B125" s="498" t="s">
        <v>271</v>
      </c>
      <c r="C125" s="479">
        <f>SUM(D125:E125)</f>
        <v>1500000</v>
      </c>
      <c r="D125" s="480">
        <f>F125+H125</f>
        <v>1500000</v>
      </c>
      <c r="E125" s="481"/>
      <c r="F125" s="499">
        <v>1500000</v>
      </c>
      <c r="G125" s="473"/>
      <c r="H125" s="495"/>
      <c r="I125" s="505"/>
    </row>
    <row r="126" spans="1:9" s="493" customFormat="1" ht="24.75" customHeight="1">
      <c r="A126" s="508">
        <v>71013</v>
      </c>
      <c r="B126" s="596" t="s">
        <v>301</v>
      </c>
      <c r="C126" s="500">
        <f aca="true" t="shared" si="5" ref="C126:E127">SUM(C127)</f>
        <v>47000</v>
      </c>
      <c r="D126" s="501"/>
      <c r="E126" s="502">
        <f t="shared" si="5"/>
        <v>47000</v>
      </c>
      <c r="F126" s="503"/>
      <c r="G126" s="502"/>
      <c r="H126" s="503"/>
      <c r="I126" s="504">
        <f>SUM(I127)</f>
        <v>47000</v>
      </c>
    </row>
    <row r="127" spans="1:9" ht="15.75" customHeight="1">
      <c r="A127" s="469"/>
      <c r="B127" s="494" t="s">
        <v>270</v>
      </c>
      <c r="C127" s="471">
        <f t="shared" si="5"/>
        <v>47000</v>
      </c>
      <c r="D127" s="472"/>
      <c r="E127" s="473">
        <f t="shared" si="5"/>
        <v>47000</v>
      </c>
      <c r="F127" s="474"/>
      <c r="G127" s="554"/>
      <c r="H127" s="555"/>
      <c r="I127" s="476">
        <f>SUM(I128)</f>
        <v>47000</v>
      </c>
    </row>
    <row r="128" spans="1:9" ht="13.5" customHeight="1">
      <c r="A128" s="469"/>
      <c r="B128" s="498" t="s">
        <v>271</v>
      </c>
      <c r="C128" s="479">
        <f>SUM(D128:E128)</f>
        <v>47000</v>
      </c>
      <c r="D128" s="480"/>
      <c r="E128" s="481">
        <f>G128+I128</f>
        <v>47000</v>
      </c>
      <c r="F128" s="499"/>
      <c r="G128" s="473"/>
      <c r="H128" s="495"/>
      <c r="I128" s="505">
        <v>47000</v>
      </c>
    </row>
    <row r="129" spans="1:9" s="493" customFormat="1" ht="36" customHeight="1">
      <c r="A129" s="508">
        <v>71014</v>
      </c>
      <c r="B129" s="596" t="s">
        <v>302</v>
      </c>
      <c r="C129" s="500">
        <f>SUM(C131)</f>
        <v>17000</v>
      </c>
      <c r="D129" s="501"/>
      <c r="E129" s="502">
        <f>SUM(E130)</f>
        <v>17000</v>
      </c>
      <c r="F129" s="503"/>
      <c r="G129" s="502"/>
      <c r="H129" s="503"/>
      <c r="I129" s="504">
        <f>SUM(I130)</f>
        <v>17000</v>
      </c>
    </row>
    <row r="130" spans="1:9" ht="15.75" customHeight="1">
      <c r="A130" s="469"/>
      <c r="B130" s="494" t="s">
        <v>270</v>
      </c>
      <c r="C130" s="471">
        <f>SUM(C131)</f>
        <v>17000</v>
      </c>
      <c r="D130" s="472"/>
      <c r="E130" s="473">
        <f>SUM(E131)</f>
        <v>17000</v>
      </c>
      <c r="F130" s="474"/>
      <c r="G130" s="554"/>
      <c r="H130" s="555"/>
      <c r="I130" s="476">
        <f>SUM(I131)</f>
        <v>17000</v>
      </c>
    </row>
    <row r="131" spans="1:9" ht="12" customHeight="1">
      <c r="A131" s="557"/>
      <c r="B131" s="592" t="s">
        <v>271</v>
      </c>
      <c r="C131" s="552">
        <f>SUM(D131:E131)</f>
        <v>17000</v>
      </c>
      <c r="D131" s="559"/>
      <c r="E131" s="560">
        <f>G131+I131</f>
        <v>17000</v>
      </c>
      <c r="F131" s="561"/>
      <c r="G131" s="629"/>
      <c r="H131" s="630"/>
      <c r="I131" s="631">
        <v>17000</v>
      </c>
    </row>
    <row r="132" spans="1:9" s="493" customFormat="1" ht="15.75" customHeight="1">
      <c r="A132" s="508">
        <v>71015</v>
      </c>
      <c r="B132" s="596" t="s">
        <v>303</v>
      </c>
      <c r="C132" s="500">
        <f>C133+C137</f>
        <v>328100</v>
      </c>
      <c r="D132" s="501">
        <f>D133+D137</f>
        <v>142000</v>
      </c>
      <c r="E132" s="502">
        <f>E133+E137</f>
        <v>186100</v>
      </c>
      <c r="F132" s="503"/>
      <c r="G132" s="502"/>
      <c r="H132" s="503">
        <f>H133+H137</f>
        <v>142000</v>
      </c>
      <c r="I132" s="632">
        <f>I133+I137</f>
        <v>186100</v>
      </c>
    </row>
    <row r="133" spans="1:9" ht="12">
      <c r="A133" s="469"/>
      <c r="B133" s="494" t="s">
        <v>270</v>
      </c>
      <c r="C133" s="471">
        <f>SUM(C134:C136)</f>
        <v>328100</v>
      </c>
      <c r="D133" s="472">
        <f>SUM(D134:D136)</f>
        <v>142000</v>
      </c>
      <c r="E133" s="473">
        <f>SUM(E134:E136)</f>
        <v>186100</v>
      </c>
      <c r="F133" s="495"/>
      <c r="G133" s="473"/>
      <c r="H133" s="495">
        <f>SUM(H134:H136)</f>
        <v>142000</v>
      </c>
      <c r="I133" s="633">
        <f>SUM(I134:I136)</f>
        <v>186100</v>
      </c>
    </row>
    <row r="134" spans="1:9" ht="12">
      <c r="A134" s="469"/>
      <c r="B134" s="478" t="s">
        <v>291</v>
      </c>
      <c r="C134" s="479">
        <f>SUM(D134:E134)</f>
        <v>268830</v>
      </c>
      <c r="D134" s="480">
        <f>F134+H134</f>
        <v>116900</v>
      </c>
      <c r="E134" s="481">
        <f>G134+I134</f>
        <v>151930</v>
      </c>
      <c r="F134" s="499"/>
      <c r="G134" s="473"/>
      <c r="H134" s="499">
        <v>116900</v>
      </c>
      <c r="I134" s="634">
        <v>151930</v>
      </c>
    </row>
    <row r="135" spans="1:9" ht="12">
      <c r="A135" s="469"/>
      <c r="B135" s="478" t="s">
        <v>292</v>
      </c>
      <c r="C135" s="479"/>
      <c r="D135" s="480"/>
      <c r="E135" s="481"/>
      <c r="F135" s="499"/>
      <c r="G135" s="473"/>
      <c r="H135" s="499"/>
      <c r="I135" s="634"/>
    </row>
    <row r="136" spans="1:9" ht="14.25" customHeight="1">
      <c r="A136" s="557"/>
      <c r="B136" s="592" t="s">
        <v>271</v>
      </c>
      <c r="C136" s="552">
        <f>SUM(D136:E136)</f>
        <v>59270</v>
      </c>
      <c r="D136" s="559">
        <f>F136+H136</f>
        <v>25100</v>
      </c>
      <c r="E136" s="560">
        <f>G136+I136</f>
        <v>34170</v>
      </c>
      <c r="F136" s="561"/>
      <c r="G136" s="629"/>
      <c r="H136" s="561">
        <v>25100</v>
      </c>
      <c r="I136" s="635">
        <v>34170</v>
      </c>
    </row>
    <row r="137" spans="1:9" ht="12.75" hidden="1">
      <c r="A137" s="469"/>
      <c r="B137" s="470" t="s">
        <v>266</v>
      </c>
      <c r="C137" s="471">
        <f>SUM(C138)</f>
        <v>0</v>
      </c>
      <c r="D137" s="480"/>
      <c r="E137" s="473">
        <f>SUM(E138)</f>
        <v>0</v>
      </c>
      <c r="F137" s="482"/>
      <c r="G137" s="475"/>
      <c r="H137" s="474">
        <f>SUM(H138)</f>
        <v>0</v>
      </c>
      <c r="I137" s="636">
        <f>SUM(I138)</f>
        <v>0</v>
      </c>
    </row>
    <row r="138" spans="1:9" ht="12.75" hidden="1">
      <c r="A138" s="469"/>
      <c r="B138" s="478" t="s">
        <v>267</v>
      </c>
      <c r="C138" s="479">
        <f>SUM(D138:E138)</f>
        <v>0</v>
      </c>
      <c r="D138" s="480"/>
      <c r="E138" s="481">
        <f>G138+I138</f>
        <v>0</v>
      </c>
      <c r="F138" s="482"/>
      <c r="G138" s="475"/>
      <c r="H138" s="594"/>
      <c r="I138" s="637"/>
    </row>
    <row r="139" spans="1:9" s="493" customFormat="1" ht="13.5" customHeight="1">
      <c r="A139" s="508">
        <v>71035</v>
      </c>
      <c r="B139" s="596" t="s">
        <v>304</v>
      </c>
      <c r="C139" s="500">
        <f>SUM(C141)</f>
        <v>1010000</v>
      </c>
      <c r="D139" s="501">
        <f>D140</f>
        <v>1010000</v>
      </c>
      <c r="E139" s="502"/>
      <c r="F139" s="503">
        <f>F140</f>
        <v>1010000</v>
      </c>
      <c r="G139" s="502"/>
      <c r="H139" s="503"/>
      <c r="I139" s="504"/>
    </row>
    <row r="140" spans="1:9" ht="13.5" customHeight="1">
      <c r="A140" s="614"/>
      <c r="B140" s="615" t="s">
        <v>270</v>
      </c>
      <c r="C140" s="566">
        <f>SUM(C141)</f>
        <v>1010000</v>
      </c>
      <c r="D140" s="616">
        <f>SUM(D141)</f>
        <v>1010000</v>
      </c>
      <c r="E140" s="617"/>
      <c r="F140" s="618">
        <f>SUM(F141)</f>
        <v>1010000</v>
      </c>
      <c r="G140" s="638"/>
      <c r="H140" s="620"/>
      <c r="I140" s="621"/>
    </row>
    <row r="141" spans="1:9" ht="13.5" customHeight="1" thickBot="1">
      <c r="A141" s="469"/>
      <c r="B141" s="498" t="s">
        <v>271</v>
      </c>
      <c r="C141" s="479">
        <f>SUM(D141:E141)</f>
        <v>1010000</v>
      </c>
      <c r="D141" s="480">
        <f>F141+H141</f>
        <v>1010000</v>
      </c>
      <c r="E141" s="481"/>
      <c r="F141" s="499">
        <v>1010000</v>
      </c>
      <c r="G141" s="481"/>
      <c r="H141" s="495"/>
      <c r="I141" s="505"/>
    </row>
    <row r="142" spans="1:9" s="485" customFormat="1" ht="3" customHeight="1" hidden="1">
      <c r="A142" s="639"/>
      <c r="B142" s="640" t="s">
        <v>277</v>
      </c>
      <c r="C142" s="641">
        <f>SUM(D142:E142)</f>
        <v>0</v>
      </c>
      <c r="D142" s="642">
        <f>F142+H142</f>
        <v>0</v>
      </c>
      <c r="E142" s="643"/>
      <c r="F142" s="644"/>
      <c r="G142" s="643"/>
      <c r="H142" s="644"/>
      <c r="I142" s="645"/>
    </row>
    <row r="143" spans="1:9" s="485" customFormat="1" ht="3" customHeight="1" hidden="1">
      <c r="A143" s="591"/>
      <c r="B143" s="592"/>
      <c r="C143" s="552"/>
      <c r="D143" s="559"/>
      <c r="E143" s="560"/>
      <c r="F143" s="561"/>
      <c r="G143" s="560"/>
      <c r="H143" s="561"/>
      <c r="I143" s="631"/>
    </row>
    <row r="144" spans="1:9" s="485" customFormat="1" ht="0.75" customHeight="1" hidden="1">
      <c r="A144" s="508">
        <v>71095</v>
      </c>
      <c r="B144" s="487" t="s">
        <v>276</v>
      </c>
      <c r="C144" s="500">
        <f>SUM(C146)</f>
        <v>0</v>
      </c>
      <c r="D144" s="501">
        <f>D145</f>
        <v>0</v>
      </c>
      <c r="E144" s="502"/>
      <c r="F144" s="503">
        <f>F145</f>
        <v>0</v>
      </c>
      <c r="G144" s="502"/>
      <c r="H144" s="503"/>
      <c r="I144" s="504"/>
    </row>
    <row r="145" spans="1:9" s="485" customFormat="1" ht="16.5" customHeight="1" hidden="1">
      <c r="A145" s="477"/>
      <c r="B145" s="494" t="s">
        <v>305</v>
      </c>
      <c r="C145" s="566">
        <f>SUM(C146)</f>
        <v>0</v>
      </c>
      <c r="D145" s="616">
        <f>SUM(D146)</f>
        <v>0</v>
      </c>
      <c r="E145" s="481"/>
      <c r="F145" s="495">
        <f>F146</f>
        <v>0</v>
      </c>
      <c r="G145" s="481"/>
      <c r="H145" s="499"/>
      <c r="I145" s="505"/>
    </row>
    <row r="146" spans="1:9" s="485" customFormat="1" ht="16.5" customHeight="1" hidden="1">
      <c r="A146" s="477"/>
      <c r="B146" s="498" t="s">
        <v>306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540"/>
      <c r="H146" s="499"/>
      <c r="I146" s="505"/>
    </row>
    <row r="147" spans="1:9" s="468" customFormat="1" ht="27.75" customHeight="1" thickBot="1" thickTop="1">
      <c r="A147" s="507">
        <v>750</v>
      </c>
      <c r="B147" s="464" t="s">
        <v>145</v>
      </c>
      <c r="C147" s="465">
        <f aca="true" t="shared" si="6" ref="C147:I147">C156+C168+C171+C191+C161+C180+C185</f>
        <v>26569737</v>
      </c>
      <c r="D147" s="419">
        <f t="shared" si="6"/>
        <v>25566237</v>
      </c>
      <c r="E147" s="466">
        <f t="shared" si="6"/>
        <v>1003500</v>
      </c>
      <c r="F147" s="467">
        <f t="shared" si="6"/>
        <v>21791245</v>
      </c>
      <c r="G147" s="466">
        <f t="shared" si="6"/>
        <v>727000</v>
      </c>
      <c r="H147" s="467">
        <f t="shared" si="6"/>
        <v>3774992</v>
      </c>
      <c r="I147" s="423">
        <f t="shared" si="6"/>
        <v>276500</v>
      </c>
    </row>
    <row r="148" spans="1:9" s="468" customFormat="1" ht="12.75" customHeight="1" thickTop="1">
      <c r="A148" s="646"/>
      <c r="B148" s="647" t="s">
        <v>270</v>
      </c>
      <c r="C148" s="648">
        <f>D148+E148</f>
        <v>25876337</v>
      </c>
      <c r="D148" s="649">
        <f>F148+H148</f>
        <v>24872837</v>
      </c>
      <c r="E148" s="623">
        <f>G148+I148</f>
        <v>1003500</v>
      </c>
      <c r="F148" s="650">
        <f>F157+F162+F169+F172+F181+F186+F192</f>
        <v>21097845</v>
      </c>
      <c r="G148" s="651">
        <f>G157+G162+G169+G172+G181+G186+G192</f>
        <v>727000</v>
      </c>
      <c r="H148" s="600">
        <f>H157+H162+H169+H172+H181+H186+H192</f>
        <v>3774992</v>
      </c>
      <c r="I148" s="517">
        <f>I157+I162+I169+I172+I181+I186+I192</f>
        <v>276500</v>
      </c>
    </row>
    <row r="149" spans="1:9" s="520" customFormat="1" ht="12.75" customHeight="1">
      <c r="A149" s="518"/>
      <c r="B149" s="478" t="s">
        <v>291</v>
      </c>
      <c r="C149" s="573">
        <f aca="true" t="shared" si="7" ref="C149:C155">D149+E149</f>
        <v>16021445</v>
      </c>
      <c r="D149" s="574">
        <f>F149+H149</f>
        <v>15037145</v>
      </c>
      <c r="E149" s="483">
        <f>G149+I149</f>
        <v>984300</v>
      </c>
      <c r="F149" s="625">
        <f>F158+F163+F173+F182+F187+F193</f>
        <v>13908795</v>
      </c>
      <c r="G149" s="652">
        <f>G158+G163+G173+G182+G187+G193</f>
        <v>727000</v>
      </c>
      <c r="H149" s="482">
        <f>H158+H163+H173+H182+H187+H193</f>
        <v>1128350</v>
      </c>
      <c r="I149" s="484">
        <f>I158+I163+I173+I182+I187+I193</f>
        <v>257300</v>
      </c>
    </row>
    <row r="150" spans="1:9" s="520" customFormat="1" ht="12.75" customHeight="1">
      <c r="A150" s="518"/>
      <c r="B150" s="478" t="s">
        <v>292</v>
      </c>
      <c r="C150" s="573"/>
      <c r="D150" s="574"/>
      <c r="E150" s="483"/>
      <c r="F150" s="625"/>
      <c r="G150" s="652"/>
      <c r="H150" s="482"/>
      <c r="I150" s="484"/>
    </row>
    <row r="151" spans="1:9" s="520" customFormat="1" ht="12.75" customHeight="1">
      <c r="A151" s="518"/>
      <c r="B151" s="498" t="s">
        <v>288</v>
      </c>
      <c r="C151" s="573">
        <f t="shared" si="7"/>
        <v>1630472</v>
      </c>
      <c r="D151" s="574">
        <f>F151+H151</f>
        <v>1630472</v>
      </c>
      <c r="E151" s="483"/>
      <c r="F151" s="625">
        <f>F166+F195</f>
        <v>462000</v>
      </c>
      <c r="G151" s="652"/>
      <c r="H151" s="482">
        <f>H166+H195</f>
        <v>1168472</v>
      </c>
      <c r="I151" s="484"/>
    </row>
    <row r="152" spans="1:9" s="520" customFormat="1" ht="12.75" customHeight="1">
      <c r="A152" s="518"/>
      <c r="B152" s="478" t="s">
        <v>271</v>
      </c>
      <c r="C152" s="573">
        <f t="shared" si="7"/>
        <v>8224420</v>
      </c>
      <c r="D152" s="574">
        <f aca="true" t="shared" si="8" ref="D152:E155">F152+H152</f>
        <v>8205220</v>
      </c>
      <c r="E152" s="483">
        <f t="shared" si="8"/>
        <v>19200</v>
      </c>
      <c r="F152" s="625">
        <f>F160+F167+F170+F175+F184+F189+F196</f>
        <v>6727050</v>
      </c>
      <c r="G152" s="652"/>
      <c r="H152" s="482">
        <f>H160+H167+H170+H175+H184+H189+H196</f>
        <v>1478170</v>
      </c>
      <c r="I152" s="484">
        <f>I160+I167+I170+I175+I184+I189+I196</f>
        <v>19200</v>
      </c>
    </row>
    <row r="153" spans="1:9" ht="12.75" customHeight="1">
      <c r="A153" s="469"/>
      <c r="B153" s="478" t="s">
        <v>295</v>
      </c>
      <c r="C153" s="471">
        <f t="shared" si="7"/>
        <v>555000</v>
      </c>
      <c r="D153" s="472">
        <f t="shared" si="8"/>
        <v>555000</v>
      </c>
      <c r="E153" s="473"/>
      <c r="F153" s="523">
        <f>F176</f>
        <v>555000</v>
      </c>
      <c r="G153" s="653"/>
      <c r="H153" s="495"/>
      <c r="I153" s="496"/>
    </row>
    <row r="154" spans="1:9" s="468" customFormat="1" ht="12.75" customHeight="1">
      <c r="A154" s="509"/>
      <c r="B154" s="647" t="s">
        <v>266</v>
      </c>
      <c r="C154" s="525">
        <f t="shared" si="7"/>
        <v>693400</v>
      </c>
      <c r="D154" s="526">
        <f t="shared" si="8"/>
        <v>693400</v>
      </c>
      <c r="E154" s="527"/>
      <c r="F154" s="528">
        <f>F177</f>
        <v>693400</v>
      </c>
      <c r="G154" s="654"/>
      <c r="H154" s="529"/>
      <c r="I154" s="530"/>
    </row>
    <row r="155" spans="1:9" s="520" customFormat="1" ht="13.5" customHeight="1">
      <c r="A155" s="655"/>
      <c r="B155" s="558" t="s">
        <v>267</v>
      </c>
      <c r="C155" s="656">
        <f t="shared" si="7"/>
        <v>693400</v>
      </c>
      <c r="D155" s="657">
        <f t="shared" si="8"/>
        <v>693400</v>
      </c>
      <c r="E155" s="593"/>
      <c r="F155" s="658">
        <f>F179</f>
        <v>693400</v>
      </c>
      <c r="G155" s="659"/>
      <c r="H155" s="594"/>
      <c r="I155" s="595"/>
    </row>
    <row r="156" spans="1:9" ht="15" customHeight="1">
      <c r="A156" s="543">
        <v>75011</v>
      </c>
      <c r="B156" s="585" t="s">
        <v>307</v>
      </c>
      <c r="C156" s="586">
        <f>SUM(C157)</f>
        <v>1478340</v>
      </c>
      <c r="D156" s="587">
        <f>SUM(D157)</f>
        <v>519340</v>
      </c>
      <c r="E156" s="588">
        <f>SUM(E157)</f>
        <v>959000</v>
      </c>
      <c r="F156" s="589">
        <f>SUM(F157)</f>
        <v>519340</v>
      </c>
      <c r="G156" s="588">
        <f>G157</f>
        <v>727000</v>
      </c>
      <c r="H156" s="589"/>
      <c r="I156" s="590">
        <f>I157</f>
        <v>232000</v>
      </c>
    </row>
    <row r="157" spans="1:9" ht="12.75" customHeight="1">
      <c r="A157" s="469"/>
      <c r="B157" s="470" t="s">
        <v>270</v>
      </c>
      <c r="C157" s="471">
        <f>SUM(C158:C160)</f>
        <v>1478340</v>
      </c>
      <c r="D157" s="472">
        <f>SUM(D158:D160)</f>
        <v>519340</v>
      </c>
      <c r="E157" s="473">
        <f>SUM(E158:E160)</f>
        <v>959000</v>
      </c>
      <c r="F157" s="495">
        <f>SUM(F158:F160)</f>
        <v>519340</v>
      </c>
      <c r="G157" s="473">
        <f>SUM(G158:G160)</f>
        <v>727000</v>
      </c>
      <c r="H157" s="495"/>
      <c r="I157" s="496">
        <f>SUM(I158:I160)</f>
        <v>232000</v>
      </c>
    </row>
    <row r="158" spans="1:9" s="485" customFormat="1" ht="14.25" customHeight="1">
      <c r="A158" s="477"/>
      <c r="B158" s="478" t="s">
        <v>291</v>
      </c>
      <c r="C158" s="479">
        <f>SUM(D158:E158)</f>
        <v>1141500</v>
      </c>
      <c r="D158" s="480">
        <f>F158+H158</f>
        <v>182500</v>
      </c>
      <c r="E158" s="481">
        <f>G158+I158</f>
        <v>959000</v>
      </c>
      <c r="F158" s="499">
        <v>182500</v>
      </c>
      <c r="G158" s="481">
        <v>727000</v>
      </c>
      <c r="H158" s="499"/>
      <c r="I158" s="505">
        <v>232000</v>
      </c>
    </row>
    <row r="159" spans="1:9" s="485" customFormat="1" ht="12">
      <c r="A159" s="477"/>
      <c r="B159" s="478" t="s">
        <v>292</v>
      </c>
      <c r="C159" s="479"/>
      <c r="D159" s="480"/>
      <c r="E159" s="481"/>
      <c r="F159" s="499"/>
      <c r="G159" s="481"/>
      <c r="H159" s="499"/>
      <c r="I159" s="505"/>
    </row>
    <row r="160" spans="1:9" s="485" customFormat="1" ht="10.5" customHeight="1">
      <c r="A160" s="591"/>
      <c r="B160" s="558" t="s">
        <v>271</v>
      </c>
      <c r="C160" s="552">
        <f>SUM(D160:E160)</f>
        <v>336840</v>
      </c>
      <c r="D160" s="559">
        <f>F160+H160</f>
        <v>336840</v>
      </c>
      <c r="E160" s="560"/>
      <c r="F160" s="561">
        <v>336840</v>
      </c>
      <c r="G160" s="560"/>
      <c r="H160" s="561"/>
      <c r="I160" s="631"/>
    </row>
    <row r="161" spans="1:9" ht="14.25" customHeight="1">
      <c r="A161" s="508">
        <v>75020</v>
      </c>
      <c r="B161" s="596" t="s">
        <v>308</v>
      </c>
      <c r="C161" s="500">
        <f>SUM(C162)</f>
        <v>3771992</v>
      </c>
      <c r="D161" s="503">
        <f>SUM(D162)</f>
        <v>3771992</v>
      </c>
      <c r="E161" s="502"/>
      <c r="F161" s="660"/>
      <c r="G161" s="661"/>
      <c r="H161" s="503">
        <f>SUM(H162)</f>
        <v>3771992</v>
      </c>
      <c r="I161" s="504"/>
    </row>
    <row r="162" spans="1:9" ht="14.25" customHeight="1">
      <c r="A162" s="469"/>
      <c r="B162" s="470" t="s">
        <v>270</v>
      </c>
      <c r="C162" s="471">
        <f>SUM(C163:C167)</f>
        <v>3771992</v>
      </c>
      <c r="D162" s="472">
        <f>SUM(D163:D167)</f>
        <v>3771992</v>
      </c>
      <c r="E162" s="473"/>
      <c r="F162" s="495"/>
      <c r="G162" s="473"/>
      <c r="H162" s="495">
        <f>SUM(H163:H167)</f>
        <v>3771992</v>
      </c>
      <c r="I162" s="496"/>
    </row>
    <row r="163" spans="1:9" s="485" customFormat="1" ht="12">
      <c r="A163" s="477"/>
      <c r="B163" s="478" t="s">
        <v>291</v>
      </c>
      <c r="C163" s="479">
        <f>SUM(D163:E163)</f>
        <v>1128350</v>
      </c>
      <c r="D163" s="480">
        <f>F163+H163</f>
        <v>1128350</v>
      </c>
      <c r="E163" s="481"/>
      <c r="F163" s="499"/>
      <c r="G163" s="481"/>
      <c r="H163" s="499">
        <v>1128350</v>
      </c>
      <c r="I163" s="505"/>
    </row>
    <row r="164" spans="1:9" s="485" customFormat="1" ht="12">
      <c r="A164" s="477"/>
      <c r="B164" s="478" t="s">
        <v>292</v>
      </c>
      <c r="C164" s="479"/>
      <c r="D164" s="480"/>
      <c r="E164" s="481"/>
      <c r="F164" s="499"/>
      <c r="G164" s="481"/>
      <c r="H164" s="499"/>
      <c r="I164" s="505"/>
    </row>
    <row r="165" spans="1:9" s="485" customFormat="1" ht="12" hidden="1">
      <c r="A165" s="477"/>
      <c r="B165" s="498" t="s">
        <v>288</v>
      </c>
      <c r="C165" s="479">
        <f>SUM(D165:E165)</f>
        <v>0</v>
      </c>
      <c r="D165" s="480">
        <f>F165+H165</f>
        <v>0</v>
      </c>
      <c r="E165" s="481"/>
      <c r="F165" s="499"/>
      <c r="G165" s="481"/>
      <c r="H165" s="499"/>
      <c r="I165" s="505"/>
    </row>
    <row r="166" spans="1:9" s="485" customFormat="1" ht="12">
      <c r="A166" s="477"/>
      <c r="B166" s="498" t="s">
        <v>288</v>
      </c>
      <c r="C166" s="479">
        <f>SUM(D166:E166)</f>
        <v>1168472</v>
      </c>
      <c r="D166" s="480">
        <f>F166+H166</f>
        <v>1168472</v>
      </c>
      <c r="E166" s="481"/>
      <c r="F166" s="499"/>
      <c r="G166" s="481"/>
      <c r="H166" s="499">
        <v>1168472</v>
      </c>
      <c r="I166" s="505"/>
    </row>
    <row r="167" spans="1:9" s="485" customFormat="1" ht="12.75">
      <c r="A167" s="477"/>
      <c r="B167" s="478" t="s">
        <v>271</v>
      </c>
      <c r="C167" s="479">
        <f>SUM(D167:E167)</f>
        <v>1475170</v>
      </c>
      <c r="D167" s="480">
        <f>F167+H167</f>
        <v>1475170</v>
      </c>
      <c r="E167" s="481"/>
      <c r="F167" s="482"/>
      <c r="G167" s="483"/>
      <c r="H167" s="499">
        <v>1475170</v>
      </c>
      <c r="I167" s="484"/>
    </row>
    <row r="168" spans="1:9" ht="18" customHeight="1">
      <c r="A168" s="508">
        <v>75022</v>
      </c>
      <c r="B168" s="596" t="s">
        <v>309</v>
      </c>
      <c r="C168" s="500">
        <f>C169</f>
        <v>466200</v>
      </c>
      <c r="D168" s="501">
        <f>SUM(D169)</f>
        <v>466200</v>
      </c>
      <c r="E168" s="502"/>
      <c r="F168" s="503">
        <f>SUM(F169)</f>
        <v>466200</v>
      </c>
      <c r="G168" s="502"/>
      <c r="H168" s="503"/>
      <c r="I168" s="504"/>
    </row>
    <row r="169" spans="1:9" ht="12.75">
      <c r="A169" s="469"/>
      <c r="B169" s="494" t="s">
        <v>270</v>
      </c>
      <c r="C169" s="471">
        <f>SUM(C170)</f>
        <v>466200</v>
      </c>
      <c r="D169" s="472">
        <f>SUM(D170)</f>
        <v>466200</v>
      </c>
      <c r="E169" s="473"/>
      <c r="F169" s="474">
        <f>SUM(F170)</f>
        <v>466200</v>
      </c>
      <c r="G169" s="554"/>
      <c r="H169" s="555"/>
      <c r="I169" s="556"/>
    </row>
    <row r="170" spans="1:9" ht="12.75">
      <c r="A170" s="557"/>
      <c r="B170" s="592" t="s">
        <v>271</v>
      </c>
      <c r="C170" s="552">
        <f>SUM(D170:E170)</f>
        <v>466200</v>
      </c>
      <c r="D170" s="559">
        <f>F170+H170</f>
        <v>466200</v>
      </c>
      <c r="E170" s="560"/>
      <c r="F170" s="561">
        <v>466200</v>
      </c>
      <c r="G170" s="562"/>
      <c r="H170" s="563"/>
      <c r="I170" s="564"/>
    </row>
    <row r="171" spans="1:9" ht="15" customHeight="1">
      <c r="A171" s="508">
        <v>75023</v>
      </c>
      <c r="B171" s="662" t="s">
        <v>310</v>
      </c>
      <c r="C171" s="500">
        <f>C172+C177</f>
        <v>18468215</v>
      </c>
      <c r="D171" s="501">
        <f>D172+D177</f>
        <v>18468215</v>
      </c>
      <c r="E171" s="502"/>
      <c r="F171" s="503">
        <f>F172+F177</f>
        <v>18468215</v>
      </c>
      <c r="G171" s="502"/>
      <c r="H171" s="503"/>
      <c r="I171" s="504"/>
    </row>
    <row r="172" spans="1:9" ht="12">
      <c r="A172" s="469"/>
      <c r="B172" s="470" t="s">
        <v>270</v>
      </c>
      <c r="C172" s="471">
        <f>SUM(C173:C175)</f>
        <v>17774815</v>
      </c>
      <c r="D172" s="472">
        <f>SUM(D173:D175)</f>
        <v>17774815</v>
      </c>
      <c r="E172" s="473"/>
      <c r="F172" s="495">
        <f>SUM(F173:F175)</f>
        <v>17774815</v>
      </c>
      <c r="G172" s="473"/>
      <c r="H172" s="495"/>
      <c r="I172" s="496"/>
    </row>
    <row r="173" spans="1:9" s="485" customFormat="1" ht="12">
      <c r="A173" s="477"/>
      <c r="B173" s="478" t="s">
        <v>291</v>
      </c>
      <c r="C173" s="479">
        <f>SUM(D173:E173)</f>
        <v>13685005</v>
      </c>
      <c r="D173" s="480">
        <f>F173+H173</f>
        <v>13685005</v>
      </c>
      <c r="E173" s="481"/>
      <c r="F173" s="499">
        <v>13685005</v>
      </c>
      <c r="G173" s="481"/>
      <c r="H173" s="499"/>
      <c r="I173" s="505"/>
    </row>
    <row r="174" spans="1:9" s="485" customFormat="1" ht="12">
      <c r="A174" s="477"/>
      <c r="B174" s="478" t="s">
        <v>292</v>
      </c>
      <c r="C174" s="479"/>
      <c r="D174" s="480"/>
      <c r="E174" s="481"/>
      <c r="F174" s="499"/>
      <c r="G174" s="481"/>
      <c r="H174" s="499"/>
      <c r="I174" s="505"/>
    </row>
    <row r="175" spans="1:9" s="485" customFormat="1" ht="12">
      <c r="A175" s="477"/>
      <c r="B175" s="478" t="s">
        <v>271</v>
      </c>
      <c r="C175" s="479">
        <f>SUM(D175:E175)</f>
        <v>4089810</v>
      </c>
      <c r="D175" s="480">
        <f>F175+H175</f>
        <v>4089810</v>
      </c>
      <c r="E175" s="481"/>
      <c r="F175" s="499">
        <v>4089810</v>
      </c>
      <c r="G175" s="481"/>
      <c r="H175" s="499"/>
      <c r="I175" s="505"/>
    </row>
    <row r="176" spans="1:9" s="485" customFormat="1" ht="11.25" customHeight="1">
      <c r="A176" s="477"/>
      <c r="B176" s="478" t="s">
        <v>295</v>
      </c>
      <c r="C176" s="479">
        <f>SUM(D176:E176)</f>
        <v>555000</v>
      </c>
      <c r="D176" s="480">
        <f>F176+H176</f>
        <v>555000</v>
      </c>
      <c r="E176" s="481"/>
      <c r="F176" s="499">
        <v>555000</v>
      </c>
      <c r="G176" s="483"/>
      <c r="H176" s="482"/>
      <c r="I176" s="484"/>
    </row>
    <row r="177" spans="1:9" ht="12" customHeight="1">
      <c r="A177" s="469"/>
      <c r="B177" s="470" t="s">
        <v>266</v>
      </c>
      <c r="C177" s="471">
        <f>SUM(C178:C179)</f>
        <v>693400</v>
      </c>
      <c r="D177" s="472">
        <f>SUM(D178:D179)</f>
        <v>693400</v>
      </c>
      <c r="E177" s="473"/>
      <c r="F177" s="474">
        <f>SUM(F178:F179)</f>
        <v>693400</v>
      </c>
      <c r="G177" s="475"/>
      <c r="H177" s="474"/>
      <c r="I177" s="476"/>
    </row>
    <row r="178" spans="1:9" s="485" customFormat="1" ht="12" customHeight="1" hidden="1">
      <c r="A178" s="477"/>
      <c r="B178" s="478" t="s">
        <v>280</v>
      </c>
      <c r="C178" s="479">
        <f>SUM(D178:E178)</f>
        <v>0</v>
      </c>
      <c r="D178" s="480">
        <f>F178+H178</f>
        <v>0</v>
      </c>
      <c r="E178" s="481"/>
      <c r="F178" s="499"/>
      <c r="G178" s="483"/>
      <c r="H178" s="482"/>
      <c r="I178" s="484"/>
    </row>
    <row r="179" spans="1:9" ht="15.75" customHeight="1">
      <c r="A179" s="469"/>
      <c r="B179" s="478" t="s">
        <v>267</v>
      </c>
      <c r="C179" s="479">
        <f>SUM(D179:E179)</f>
        <v>693400</v>
      </c>
      <c r="D179" s="480">
        <f>F179+H179</f>
        <v>693400</v>
      </c>
      <c r="E179" s="481"/>
      <c r="F179" s="499">
        <v>693400</v>
      </c>
      <c r="G179" s="475"/>
      <c r="H179" s="474"/>
      <c r="I179" s="476"/>
    </row>
    <row r="180" spans="1:9" ht="13.5" customHeight="1">
      <c r="A180" s="508">
        <v>75045</v>
      </c>
      <c r="B180" s="596" t="s">
        <v>311</v>
      </c>
      <c r="C180" s="500">
        <f>SUM(C182:C184)</f>
        <v>47500</v>
      </c>
      <c r="D180" s="503">
        <f>SUM(D181)</f>
        <v>3000</v>
      </c>
      <c r="E180" s="502">
        <f>SUM(E181)</f>
        <v>44500</v>
      </c>
      <c r="F180" s="660"/>
      <c r="G180" s="661"/>
      <c r="H180" s="503">
        <f>SUM(H181)</f>
        <v>3000</v>
      </c>
      <c r="I180" s="632">
        <f>SUM(I181)</f>
        <v>44500</v>
      </c>
    </row>
    <row r="181" spans="1:9" ht="12.75" customHeight="1">
      <c r="A181" s="469"/>
      <c r="B181" s="470" t="s">
        <v>270</v>
      </c>
      <c r="C181" s="471">
        <f>SUM(C182:C184)</f>
        <v>47500</v>
      </c>
      <c r="D181" s="495">
        <f>SUM(D182:D184)</f>
        <v>3000</v>
      </c>
      <c r="E181" s="473">
        <f>SUM(E182:E184)</f>
        <v>44500</v>
      </c>
      <c r="F181" s="495"/>
      <c r="G181" s="473"/>
      <c r="H181" s="495">
        <f>SUM(H182:H184)</f>
        <v>3000</v>
      </c>
      <c r="I181" s="633">
        <f>SUM(I182:I184)</f>
        <v>44500</v>
      </c>
    </row>
    <row r="182" spans="1:9" s="485" customFormat="1" ht="13.5" customHeight="1">
      <c r="A182" s="477"/>
      <c r="B182" s="478" t="s">
        <v>291</v>
      </c>
      <c r="C182" s="479">
        <f>SUM(D182:E182)</f>
        <v>25300</v>
      </c>
      <c r="D182" s="480"/>
      <c r="E182" s="481">
        <f>G182+I182</f>
        <v>25300</v>
      </c>
      <c r="F182" s="499"/>
      <c r="G182" s="481"/>
      <c r="H182" s="499"/>
      <c r="I182" s="634">
        <v>25300</v>
      </c>
    </row>
    <row r="183" spans="1:9" s="485" customFormat="1" ht="11.25" customHeight="1">
      <c r="A183" s="477"/>
      <c r="B183" s="478" t="s">
        <v>292</v>
      </c>
      <c r="C183" s="479"/>
      <c r="D183" s="499"/>
      <c r="E183" s="481"/>
      <c r="F183" s="499"/>
      <c r="G183" s="481"/>
      <c r="H183" s="499"/>
      <c r="I183" s="634"/>
    </row>
    <row r="184" spans="1:9" ht="13.5" customHeight="1">
      <c r="A184" s="469"/>
      <c r="B184" s="498" t="s">
        <v>271</v>
      </c>
      <c r="C184" s="479">
        <f>SUM(D184:E184)</f>
        <v>22200</v>
      </c>
      <c r="D184" s="480">
        <f>F184+H184</f>
        <v>3000</v>
      </c>
      <c r="E184" s="481">
        <f>G184+I184</f>
        <v>19200</v>
      </c>
      <c r="F184" s="499"/>
      <c r="G184" s="473"/>
      <c r="H184" s="499">
        <v>3000</v>
      </c>
      <c r="I184" s="634">
        <v>19200</v>
      </c>
    </row>
    <row r="185" spans="1:9" ht="37.5" customHeight="1">
      <c r="A185" s="508">
        <v>75075</v>
      </c>
      <c r="B185" s="596" t="s">
        <v>312</v>
      </c>
      <c r="C185" s="500">
        <f>C186</f>
        <v>1120880</v>
      </c>
      <c r="D185" s="503">
        <f>SUM(D186)</f>
        <v>1120880</v>
      </c>
      <c r="E185" s="502"/>
      <c r="F185" s="503">
        <f>SUM(F186)</f>
        <v>1120880</v>
      </c>
      <c r="G185" s="502"/>
      <c r="H185" s="503"/>
      <c r="I185" s="632"/>
    </row>
    <row r="186" spans="1:9" s="497" customFormat="1" ht="12.75">
      <c r="A186" s="469"/>
      <c r="B186" s="494" t="s">
        <v>270</v>
      </c>
      <c r="C186" s="571">
        <f>C187+C189</f>
        <v>1120880</v>
      </c>
      <c r="D186" s="572">
        <f>D187+D189</f>
        <v>1120880</v>
      </c>
      <c r="E186" s="473"/>
      <c r="F186" s="474">
        <f>F187+F189</f>
        <v>1120880</v>
      </c>
      <c r="G186" s="475"/>
      <c r="H186" s="474"/>
      <c r="I186" s="476"/>
    </row>
    <row r="187" spans="1:9" s="485" customFormat="1" ht="12">
      <c r="A187" s="477"/>
      <c r="B187" s="478" t="s">
        <v>291</v>
      </c>
      <c r="C187" s="479">
        <f>SUM(D187:E187)</f>
        <v>4000</v>
      </c>
      <c r="D187" s="480">
        <f>F187+H187</f>
        <v>4000</v>
      </c>
      <c r="E187" s="481"/>
      <c r="F187" s="499">
        <v>4000</v>
      </c>
      <c r="G187" s="481"/>
      <c r="H187" s="499"/>
      <c r="I187" s="505"/>
    </row>
    <row r="188" spans="1:9" s="485" customFormat="1" ht="12">
      <c r="A188" s="477"/>
      <c r="B188" s="478" t="s">
        <v>292</v>
      </c>
      <c r="C188" s="479"/>
      <c r="D188" s="480"/>
      <c r="E188" s="481"/>
      <c r="F188" s="499"/>
      <c r="G188" s="481"/>
      <c r="H188" s="499"/>
      <c r="I188" s="505"/>
    </row>
    <row r="189" spans="1:9" ht="15" customHeight="1">
      <c r="A189" s="469"/>
      <c r="B189" s="498" t="s">
        <v>271</v>
      </c>
      <c r="C189" s="479">
        <f>SUM(D189:E189)</f>
        <v>1116880</v>
      </c>
      <c r="D189" s="480">
        <f>F189+H189</f>
        <v>1116880</v>
      </c>
      <c r="E189" s="481"/>
      <c r="F189" s="482">
        <v>1116880</v>
      </c>
      <c r="G189" s="483"/>
      <c r="H189" s="482"/>
      <c r="I189" s="637"/>
    </row>
    <row r="190" spans="1:9" ht="9.75" customHeight="1" hidden="1">
      <c r="A190" s="469"/>
      <c r="B190" s="478" t="s">
        <v>295</v>
      </c>
      <c r="C190" s="552">
        <f>E190+G190</f>
        <v>0</v>
      </c>
      <c r="D190" s="559">
        <f>F190+H190</f>
        <v>0</v>
      </c>
      <c r="E190" s="602"/>
      <c r="F190" s="482"/>
      <c r="G190" s="483"/>
      <c r="H190" s="594"/>
      <c r="I190" s="637"/>
    </row>
    <row r="191" spans="1:9" ht="15.75" customHeight="1">
      <c r="A191" s="508">
        <v>75095</v>
      </c>
      <c r="B191" s="596" t="s">
        <v>276</v>
      </c>
      <c r="C191" s="500">
        <f>SUM(C192)</f>
        <v>1216610</v>
      </c>
      <c r="D191" s="501">
        <f>SUM(D192)</f>
        <v>1216610</v>
      </c>
      <c r="E191" s="502"/>
      <c r="F191" s="503">
        <f>SUM(F192)</f>
        <v>1216610</v>
      </c>
      <c r="G191" s="502"/>
      <c r="H191" s="503"/>
      <c r="I191" s="504"/>
    </row>
    <row r="192" spans="1:9" s="497" customFormat="1" ht="12.75">
      <c r="A192" s="469"/>
      <c r="B192" s="494" t="s">
        <v>270</v>
      </c>
      <c r="C192" s="571">
        <f>SUM(C193:C196)</f>
        <v>1216610</v>
      </c>
      <c r="D192" s="572">
        <f>SUM(D193:D196)</f>
        <v>1216610</v>
      </c>
      <c r="E192" s="473"/>
      <c r="F192" s="474">
        <f>SUM(F193:F196)</f>
        <v>1216610</v>
      </c>
      <c r="G192" s="475"/>
      <c r="H192" s="474"/>
      <c r="I192" s="476"/>
    </row>
    <row r="193" spans="1:9" s="485" customFormat="1" ht="12">
      <c r="A193" s="477"/>
      <c r="B193" s="478" t="s">
        <v>291</v>
      </c>
      <c r="C193" s="479">
        <f>SUM(D193:E193)</f>
        <v>37290</v>
      </c>
      <c r="D193" s="480">
        <f>F193+H193</f>
        <v>37290</v>
      </c>
      <c r="E193" s="481"/>
      <c r="F193" s="499">
        <v>37290</v>
      </c>
      <c r="G193" s="481"/>
      <c r="H193" s="499"/>
      <c r="I193" s="505"/>
    </row>
    <row r="194" spans="1:9" s="485" customFormat="1" ht="12">
      <c r="A194" s="477"/>
      <c r="B194" s="478" t="s">
        <v>292</v>
      </c>
      <c r="C194" s="479"/>
      <c r="D194" s="480"/>
      <c r="E194" s="481"/>
      <c r="F194" s="499"/>
      <c r="G194" s="481"/>
      <c r="H194" s="499"/>
      <c r="I194" s="505"/>
    </row>
    <row r="195" spans="1:9" s="506" customFormat="1" ht="12">
      <c r="A195" s="477"/>
      <c r="B195" s="498" t="s">
        <v>288</v>
      </c>
      <c r="C195" s="479">
        <f>SUM(D195:E195)</f>
        <v>462000</v>
      </c>
      <c r="D195" s="480">
        <f>F195+H195</f>
        <v>462000</v>
      </c>
      <c r="E195" s="481"/>
      <c r="F195" s="499">
        <v>462000</v>
      </c>
      <c r="G195" s="481"/>
      <c r="H195" s="499"/>
      <c r="I195" s="505"/>
    </row>
    <row r="196" spans="1:9" s="506" customFormat="1" ht="11.25" customHeight="1" thickBot="1">
      <c r="A196" s="591"/>
      <c r="B196" s="592" t="s">
        <v>271</v>
      </c>
      <c r="C196" s="552">
        <f>SUM(D196:E196)</f>
        <v>717320</v>
      </c>
      <c r="D196" s="559">
        <f>F196+H196</f>
        <v>717320</v>
      </c>
      <c r="E196" s="560"/>
      <c r="F196" s="561">
        <v>717320</v>
      </c>
      <c r="G196" s="560"/>
      <c r="H196" s="561"/>
      <c r="I196" s="631"/>
    </row>
    <row r="197" spans="1:9" s="506" customFormat="1" ht="1.5" customHeight="1" hidden="1">
      <c r="A197" s="477"/>
      <c r="B197" s="478" t="s">
        <v>295</v>
      </c>
      <c r="C197" s="479">
        <f>SUM(D197:E197)</f>
        <v>0</v>
      </c>
      <c r="D197" s="480">
        <f>F197+H197</f>
        <v>0</v>
      </c>
      <c r="E197" s="481"/>
      <c r="F197" s="499">
        <v>0</v>
      </c>
      <c r="G197" s="481"/>
      <c r="H197" s="499"/>
      <c r="I197" s="505"/>
    </row>
    <row r="198" spans="1:9" s="468" customFormat="1" ht="116.25" hidden="1" thickBot="1" thickTop="1">
      <c r="A198" s="463" t="s">
        <v>146</v>
      </c>
      <c r="B198" s="464" t="s">
        <v>147</v>
      </c>
      <c r="C198" s="465">
        <f>SUM(C199)</f>
        <v>0</v>
      </c>
      <c r="D198" s="419"/>
      <c r="E198" s="466">
        <f>E199</f>
        <v>0</v>
      </c>
      <c r="F198" s="467"/>
      <c r="G198" s="466">
        <f>SUM(G199)</f>
        <v>0</v>
      </c>
      <c r="H198" s="467"/>
      <c r="I198" s="423"/>
    </row>
    <row r="199" spans="1:9" s="493" customFormat="1" ht="48.75" hidden="1" thickBot="1">
      <c r="A199" s="486" t="s">
        <v>313</v>
      </c>
      <c r="B199" s="487" t="s">
        <v>314</v>
      </c>
      <c r="C199" s="500">
        <f>SUM(C200)</f>
        <v>0</v>
      </c>
      <c r="D199" s="501"/>
      <c r="E199" s="502">
        <f>E200</f>
        <v>0</v>
      </c>
      <c r="F199" s="503"/>
      <c r="G199" s="502">
        <f>SUM(G200)</f>
        <v>0</v>
      </c>
      <c r="H199" s="503"/>
      <c r="I199" s="504"/>
    </row>
    <row r="200" spans="1:9" s="497" customFormat="1" ht="12.75" customHeight="1" hidden="1">
      <c r="A200" s="614"/>
      <c r="B200" s="615" t="s">
        <v>270</v>
      </c>
      <c r="C200" s="566">
        <f>SUM(C201:C203)</f>
        <v>0</v>
      </c>
      <c r="D200" s="616"/>
      <c r="E200" s="617">
        <f>SUM(E201:E203)</f>
        <v>0</v>
      </c>
      <c r="F200" s="618"/>
      <c r="G200" s="638">
        <f>SUM(G201:G203)</f>
        <v>0</v>
      </c>
      <c r="H200" s="618"/>
      <c r="I200" s="621"/>
    </row>
    <row r="201" spans="1:9" s="497" customFormat="1" ht="13.5" hidden="1" thickBot="1">
      <c r="A201" s="469"/>
      <c r="B201" s="478" t="s">
        <v>291</v>
      </c>
      <c r="C201" s="479">
        <f>SUM(D201:E201)</f>
        <v>0</v>
      </c>
      <c r="D201" s="480"/>
      <c r="E201" s="481">
        <f>G201+I201</f>
        <v>0</v>
      </c>
      <c r="F201" s="474"/>
      <c r="G201" s="475"/>
      <c r="H201" s="474"/>
      <c r="I201" s="476"/>
    </row>
    <row r="202" spans="1:9" s="497" customFormat="1" ht="13.5" hidden="1" thickBot="1">
      <c r="A202" s="469"/>
      <c r="B202" s="478" t="s">
        <v>292</v>
      </c>
      <c r="C202" s="471"/>
      <c r="D202" s="472"/>
      <c r="E202" s="473"/>
      <c r="F202" s="474"/>
      <c r="G202" s="475"/>
      <c r="H202" s="474"/>
      <c r="I202" s="476"/>
    </row>
    <row r="203" spans="1:9" s="506" customFormat="1" ht="0.75" customHeight="1" hidden="1">
      <c r="A203" s="477"/>
      <c r="B203" s="498" t="s">
        <v>271</v>
      </c>
      <c r="C203" s="479">
        <f>SUM(D203:E203)</f>
        <v>0</v>
      </c>
      <c r="D203" s="480"/>
      <c r="E203" s="481">
        <f>G203+I203</f>
        <v>0</v>
      </c>
      <c r="F203" s="499">
        <v>0</v>
      </c>
      <c r="G203" s="481">
        <v>0</v>
      </c>
      <c r="H203" s="499"/>
      <c r="I203" s="505"/>
    </row>
    <row r="204" spans="1:9" s="506" customFormat="1" ht="101.25" customHeight="1" thickTop="1">
      <c r="A204" s="663">
        <v>751</v>
      </c>
      <c r="B204" s="664" t="s">
        <v>147</v>
      </c>
      <c r="C204" s="665">
        <f>C205</f>
        <v>18425</v>
      </c>
      <c r="D204" s="666"/>
      <c r="E204" s="667">
        <f>E205</f>
        <v>18425</v>
      </c>
      <c r="F204" s="668"/>
      <c r="G204" s="669">
        <f>G205</f>
        <v>18425</v>
      </c>
      <c r="H204" s="670"/>
      <c r="I204" s="671"/>
    </row>
    <row r="205" spans="1:9" s="506" customFormat="1" ht="51.75" customHeight="1">
      <c r="A205" s="508">
        <v>75101</v>
      </c>
      <c r="B205" s="487" t="s">
        <v>315</v>
      </c>
      <c r="C205" s="500">
        <f>C206</f>
        <v>18425</v>
      </c>
      <c r="D205" s="501"/>
      <c r="E205" s="672">
        <f>SUM(E206)</f>
        <v>18425</v>
      </c>
      <c r="F205" s="503"/>
      <c r="G205" s="502">
        <f>SUM(G206)</f>
        <v>18425</v>
      </c>
      <c r="H205" s="672"/>
      <c r="I205" s="504"/>
    </row>
    <row r="206" spans="1:9" s="506" customFormat="1" ht="15" customHeight="1">
      <c r="A206" s="673"/>
      <c r="B206" s="615" t="s">
        <v>305</v>
      </c>
      <c r="C206" s="566">
        <f>SUM(C209+C207)</f>
        <v>18425</v>
      </c>
      <c r="D206" s="616"/>
      <c r="E206" s="674">
        <f>SUM(E209)+E207</f>
        <v>18425</v>
      </c>
      <c r="F206" s="618"/>
      <c r="G206" s="674">
        <f>SUM(G209)+G207</f>
        <v>18425</v>
      </c>
      <c r="H206" s="620"/>
      <c r="I206" s="675"/>
    </row>
    <row r="207" spans="1:9" s="485" customFormat="1" ht="12" customHeight="1">
      <c r="A207" s="477"/>
      <c r="B207" s="478" t="s">
        <v>291</v>
      </c>
      <c r="C207" s="479">
        <f>SUM(D207:E207)</f>
        <v>8382</v>
      </c>
      <c r="D207" s="480"/>
      <c r="E207" s="481">
        <f>G207+I207</f>
        <v>8382</v>
      </c>
      <c r="F207" s="499"/>
      <c r="G207" s="481">
        <v>8382</v>
      </c>
      <c r="H207" s="499"/>
      <c r="I207" s="505"/>
    </row>
    <row r="208" spans="1:9" s="485" customFormat="1" ht="12">
      <c r="A208" s="477"/>
      <c r="B208" s="478" t="s">
        <v>292</v>
      </c>
      <c r="C208" s="479"/>
      <c r="D208" s="480"/>
      <c r="E208" s="481"/>
      <c r="F208" s="499"/>
      <c r="G208" s="481"/>
      <c r="H208" s="499"/>
      <c r="I208" s="505"/>
    </row>
    <row r="209" spans="1:9" s="506" customFormat="1" ht="15" customHeight="1" thickBot="1">
      <c r="A209" s="477"/>
      <c r="B209" s="498" t="s">
        <v>271</v>
      </c>
      <c r="C209" s="479">
        <f>SUM(D209:E209)</f>
        <v>10043</v>
      </c>
      <c r="D209" s="480"/>
      <c r="E209" s="602">
        <f>G209+I209</f>
        <v>10043</v>
      </c>
      <c r="F209" s="541"/>
      <c r="G209" s="602">
        <v>10043</v>
      </c>
      <c r="H209" s="499"/>
      <c r="I209" s="505"/>
    </row>
    <row r="210" spans="1:9" s="506" customFormat="1" ht="24" customHeight="1" hidden="1">
      <c r="A210" s="676">
        <v>752</v>
      </c>
      <c r="B210" s="677" t="s">
        <v>149</v>
      </c>
      <c r="C210" s="465">
        <f>C211</f>
        <v>0</v>
      </c>
      <c r="D210" s="419"/>
      <c r="E210" s="466">
        <f>E211</f>
        <v>0</v>
      </c>
      <c r="F210" s="422"/>
      <c r="G210" s="466"/>
      <c r="H210" s="467"/>
      <c r="I210" s="678">
        <f>I211</f>
        <v>0</v>
      </c>
    </row>
    <row r="211" spans="1:9" s="506" customFormat="1" ht="26.25" customHeight="1" hidden="1">
      <c r="A211" s="543">
        <v>75212</v>
      </c>
      <c r="B211" s="544" t="s">
        <v>316</v>
      </c>
      <c r="C211" s="586">
        <f>D211+E211</f>
        <v>0</v>
      </c>
      <c r="D211" s="587"/>
      <c r="E211" s="679">
        <f>I211+G211</f>
        <v>0</v>
      </c>
      <c r="F211" s="589"/>
      <c r="G211" s="588"/>
      <c r="H211" s="589"/>
      <c r="I211" s="590">
        <f>I212</f>
        <v>0</v>
      </c>
    </row>
    <row r="212" spans="1:9" s="506" customFormat="1" ht="15" customHeight="1" hidden="1">
      <c r="A212" s="477"/>
      <c r="B212" s="494" t="s">
        <v>317</v>
      </c>
      <c r="C212" s="566">
        <f>D212+E212</f>
        <v>0</v>
      </c>
      <c r="D212" s="680"/>
      <c r="E212" s="617">
        <f>I212+G212</f>
        <v>0</v>
      </c>
      <c r="F212" s="499"/>
      <c r="G212" s="481"/>
      <c r="H212" s="499"/>
      <c r="I212" s="496">
        <f>SUM(I213)</f>
        <v>0</v>
      </c>
    </row>
    <row r="213" spans="1:9" s="506" customFormat="1" ht="15" customHeight="1" hidden="1">
      <c r="A213" s="477"/>
      <c r="B213" s="498" t="s">
        <v>271</v>
      </c>
      <c r="C213" s="552">
        <f>D213+E213</f>
        <v>0</v>
      </c>
      <c r="D213" s="537"/>
      <c r="E213" s="681">
        <f>I213+G213</f>
        <v>0</v>
      </c>
      <c r="F213" s="499"/>
      <c r="G213" s="481"/>
      <c r="H213" s="499"/>
      <c r="I213" s="505"/>
    </row>
    <row r="214" spans="1:9" s="468" customFormat="1" ht="54" customHeight="1" thickBot="1" thickTop="1">
      <c r="A214" s="507">
        <v>754</v>
      </c>
      <c r="B214" s="682" t="s">
        <v>151</v>
      </c>
      <c r="C214" s="465">
        <f aca="true" t="shared" si="9" ref="C214:I214">C223+C231+C240+C243</f>
        <v>5541000</v>
      </c>
      <c r="D214" s="419">
        <f t="shared" si="9"/>
        <v>325500</v>
      </c>
      <c r="E214" s="466">
        <f t="shared" si="9"/>
        <v>5215500</v>
      </c>
      <c r="F214" s="467">
        <f t="shared" si="9"/>
        <v>35500</v>
      </c>
      <c r="G214" s="466"/>
      <c r="H214" s="467">
        <f t="shared" si="9"/>
        <v>290000</v>
      </c>
      <c r="I214" s="423">
        <f t="shared" si="9"/>
        <v>5215500</v>
      </c>
    </row>
    <row r="215" spans="1:9" s="468" customFormat="1" ht="12.75" customHeight="1" thickTop="1">
      <c r="A215" s="509"/>
      <c r="B215" s="524" t="s">
        <v>270</v>
      </c>
      <c r="C215" s="525">
        <f>D215+E215</f>
        <v>5261000</v>
      </c>
      <c r="D215" s="649">
        <f>F215+H215</f>
        <v>75500</v>
      </c>
      <c r="E215" s="599">
        <f>G215+I215</f>
        <v>5185500</v>
      </c>
      <c r="F215" s="528">
        <f>F232+F241+F244</f>
        <v>35500</v>
      </c>
      <c r="G215" s="651"/>
      <c r="H215" s="600">
        <f>H232+H241+H244</f>
        <v>40000</v>
      </c>
      <c r="I215" s="517">
        <f>I232+I241+I244</f>
        <v>5185500</v>
      </c>
    </row>
    <row r="216" spans="1:9" s="570" customFormat="1" ht="12.75" customHeight="1">
      <c r="A216" s="567"/>
      <c r="B216" s="478" t="s">
        <v>291</v>
      </c>
      <c r="C216" s="479">
        <f aca="true" t="shared" si="10" ref="C216:C222">D216+E216</f>
        <v>4036700</v>
      </c>
      <c r="D216" s="480"/>
      <c r="E216" s="601">
        <f aca="true" t="shared" si="11" ref="D216:E222">G216+I216</f>
        <v>4036700</v>
      </c>
      <c r="F216" s="519"/>
      <c r="G216" s="683"/>
      <c r="H216" s="499"/>
      <c r="I216" s="505">
        <f>I233</f>
        <v>4036700</v>
      </c>
    </row>
    <row r="217" spans="1:9" s="570" customFormat="1" ht="12.75" customHeight="1">
      <c r="A217" s="567"/>
      <c r="B217" s="478" t="s">
        <v>292</v>
      </c>
      <c r="C217" s="479"/>
      <c r="D217" s="480"/>
      <c r="E217" s="601"/>
      <c r="F217" s="519"/>
      <c r="G217" s="683"/>
      <c r="H217" s="499"/>
      <c r="I217" s="505"/>
    </row>
    <row r="218" spans="1:9" s="570" customFormat="1" ht="12.75" customHeight="1">
      <c r="A218" s="567"/>
      <c r="B218" s="498" t="s">
        <v>288</v>
      </c>
      <c r="C218" s="479">
        <f t="shared" si="10"/>
        <v>10000</v>
      </c>
      <c r="D218" s="480">
        <f t="shared" si="11"/>
        <v>10000</v>
      </c>
      <c r="E218" s="601"/>
      <c r="F218" s="519">
        <f>F242</f>
        <v>10000</v>
      </c>
      <c r="G218" s="683"/>
      <c r="H218" s="499"/>
      <c r="I218" s="505"/>
    </row>
    <row r="219" spans="1:9" s="570" customFormat="1" ht="12.75" customHeight="1">
      <c r="A219" s="567"/>
      <c r="B219" s="478" t="s">
        <v>271</v>
      </c>
      <c r="C219" s="479">
        <f t="shared" si="10"/>
        <v>1214300</v>
      </c>
      <c r="D219" s="480">
        <f t="shared" si="11"/>
        <v>65500</v>
      </c>
      <c r="E219" s="601">
        <f t="shared" si="11"/>
        <v>1148800</v>
      </c>
      <c r="F219" s="519">
        <f>F236+F247</f>
        <v>25500</v>
      </c>
      <c r="G219" s="683"/>
      <c r="H219" s="499">
        <f>H236+H247</f>
        <v>40000</v>
      </c>
      <c r="I219" s="505">
        <f>I236+I247</f>
        <v>1148800</v>
      </c>
    </row>
    <row r="220" spans="1:9" s="493" customFormat="1" ht="12.75" customHeight="1">
      <c r="A220" s="521"/>
      <c r="B220" s="478" t="s">
        <v>295</v>
      </c>
      <c r="C220" s="471">
        <f t="shared" si="10"/>
        <v>60000</v>
      </c>
      <c r="D220" s="472"/>
      <c r="E220" s="550">
        <f t="shared" si="11"/>
        <v>60000</v>
      </c>
      <c r="F220" s="523"/>
      <c r="G220" s="653"/>
      <c r="H220" s="495"/>
      <c r="I220" s="496">
        <f>I237</f>
        <v>60000</v>
      </c>
    </row>
    <row r="221" spans="1:9" s="468" customFormat="1" ht="12" customHeight="1">
      <c r="A221" s="509"/>
      <c r="B221" s="524" t="s">
        <v>266</v>
      </c>
      <c r="C221" s="525">
        <f t="shared" si="10"/>
        <v>280000</v>
      </c>
      <c r="D221" s="526">
        <f t="shared" si="11"/>
        <v>250000</v>
      </c>
      <c r="E221" s="599">
        <f t="shared" si="11"/>
        <v>30000</v>
      </c>
      <c r="F221" s="528"/>
      <c r="G221" s="654"/>
      <c r="H221" s="529">
        <f>H229+H238</f>
        <v>250000</v>
      </c>
      <c r="I221" s="530">
        <f>I229+I238</f>
        <v>30000</v>
      </c>
    </row>
    <row r="222" spans="1:9" s="570" customFormat="1" ht="15" customHeight="1" thickBot="1">
      <c r="A222" s="684"/>
      <c r="B222" s="603" t="s">
        <v>280</v>
      </c>
      <c r="C222" s="536">
        <f t="shared" si="10"/>
        <v>280000</v>
      </c>
      <c r="D222" s="537">
        <f t="shared" si="11"/>
        <v>250000</v>
      </c>
      <c r="E222" s="604">
        <f t="shared" si="11"/>
        <v>30000</v>
      </c>
      <c r="F222" s="539"/>
      <c r="G222" s="685"/>
      <c r="H222" s="541">
        <f>H230+H239</f>
        <v>250000</v>
      </c>
      <c r="I222" s="605">
        <f>I230+I239</f>
        <v>30000</v>
      </c>
    </row>
    <row r="223" spans="1:9" s="493" customFormat="1" ht="24" customHeight="1" thickTop="1">
      <c r="A223" s="543">
        <v>75405</v>
      </c>
      <c r="B223" s="585" t="s">
        <v>318</v>
      </c>
      <c r="C223" s="586">
        <f>C224+C229</f>
        <v>250000</v>
      </c>
      <c r="D223" s="587">
        <f>D224+D229</f>
        <v>250000</v>
      </c>
      <c r="E223" s="588"/>
      <c r="F223" s="589"/>
      <c r="G223" s="588"/>
      <c r="H223" s="589">
        <f>H224+H229</f>
        <v>250000</v>
      </c>
      <c r="I223" s="590"/>
    </row>
    <row r="224" spans="1:9" s="493" customFormat="1" ht="14.25" customHeight="1" hidden="1">
      <c r="A224" s="469"/>
      <c r="B224" s="470" t="s">
        <v>270</v>
      </c>
      <c r="C224" s="471">
        <f>SUM(C225:C227)</f>
        <v>0</v>
      </c>
      <c r="D224" s="472">
        <f>F224+H224</f>
        <v>0</v>
      </c>
      <c r="E224" s="473">
        <f>SUM(E225:E227)</f>
        <v>0</v>
      </c>
      <c r="F224" s="686"/>
      <c r="G224" s="513"/>
      <c r="H224" s="495">
        <f>SUM(H225:H227)</f>
        <v>0</v>
      </c>
      <c r="I224" s="496">
        <f>SUM(I225:I227)</f>
        <v>0</v>
      </c>
    </row>
    <row r="225" spans="1:9" s="485" customFormat="1" ht="14.25" customHeight="1" hidden="1">
      <c r="A225" s="477"/>
      <c r="B225" s="478" t="s">
        <v>291</v>
      </c>
      <c r="C225" s="479">
        <f>SUM(D225:E225)</f>
        <v>0</v>
      </c>
      <c r="D225" s="480">
        <f>F225+H225</f>
        <v>0</v>
      </c>
      <c r="E225" s="481">
        <f>G225+I225</f>
        <v>0</v>
      </c>
      <c r="F225" s="499"/>
      <c r="G225" s="481"/>
      <c r="H225" s="499"/>
      <c r="I225" s="505"/>
    </row>
    <row r="226" spans="1:9" s="485" customFormat="1" ht="11.25" customHeight="1" hidden="1">
      <c r="A226" s="477"/>
      <c r="B226" s="478" t="s">
        <v>292</v>
      </c>
      <c r="C226" s="479"/>
      <c r="D226" s="480"/>
      <c r="E226" s="481"/>
      <c r="F226" s="499"/>
      <c r="G226" s="481"/>
      <c r="H226" s="499"/>
      <c r="I226" s="505"/>
    </row>
    <row r="227" spans="1:9" s="485" customFormat="1" ht="14.25" customHeight="1" hidden="1">
      <c r="A227" s="477"/>
      <c r="B227" s="478" t="s">
        <v>271</v>
      </c>
      <c r="C227" s="479">
        <f>SUM(D227:E227)</f>
        <v>0</v>
      </c>
      <c r="D227" s="480">
        <f>F227+H227</f>
        <v>0</v>
      </c>
      <c r="E227" s="481">
        <f>G227+I227</f>
        <v>0</v>
      </c>
      <c r="F227" s="499"/>
      <c r="G227" s="481"/>
      <c r="H227" s="499"/>
      <c r="I227" s="505"/>
    </row>
    <row r="228" spans="1:9" s="485" customFormat="1" ht="16.5" customHeight="1" hidden="1">
      <c r="A228" s="591"/>
      <c r="B228" s="558" t="s">
        <v>295</v>
      </c>
      <c r="C228" s="552">
        <f>SUM(D228:E228)</f>
        <v>0</v>
      </c>
      <c r="D228" s="559">
        <f>F228+H228</f>
        <v>0</v>
      </c>
      <c r="E228" s="560"/>
      <c r="F228" s="561"/>
      <c r="G228" s="560"/>
      <c r="H228" s="561"/>
      <c r="I228" s="631"/>
    </row>
    <row r="229" spans="1:9" ht="14.25" customHeight="1">
      <c r="A229" s="469"/>
      <c r="B229" s="470" t="s">
        <v>266</v>
      </c>
      <c r="C229" s="471">
        <f>SUM(C230)</f>
        <v>250000</v>
      </c>
      <c r="D229" s="472">
        <f>F229+H229</f>
        <v>250000</v>
      </c>
      <c r="E229" s="473"/>
      <c r="F229" s="495"/>
      <c r="G229" s="473"/>
      <c r="H229" s="495">
        <f>SUM(H230)</f>
        <v>250000</v>
      </c>
      <c r="I229" s="496"/>
    </row>
    <row r="230" spans="1:9" ht="15" customHeight="1">
      <c r="A230" s="469"/>
      <c r="B230" s="478" t="s">
        <v>280</v>
      </c>
      <c r="C230" s="552">
        <f>SUM(D230:E230)</f>
        <v>250000</v>
      </c>
      <c r="D230" s="480">
        <f>F230+H230</f>
        <v>250000</v>
      </c>
      <c r="E230" s="481"/>
      <c r="F230" s="499"/>
      <c r="G230" s="473"/>
      <c r="H230" s="499">
        <v>250000</v>
      </c>
      <c r="I230" s="505"/>
    </row>
    <row r="231" spans="1:9" s="493" customFormat="1" ht="36.75" customHeight="1">
      <c r="A231" s="508">
        <v>75411</v>
      </c>
      <c r="B231" s="596" t="s">
        <v>319</v>
      </c>
      <c r="C231" s="500">
        <f>C232+C238</f>
        <v>5255500</v>
      </c>
      <c r="D231" s="501">
        <f>D232+D238</f>
        <v>40000</v>
      </c>
      <c r="E231" s="502">
        <f>SUM(E232+E238)</f>
        <v>5215500</v>
      </c>
      <c r="F231" s="672"/>
      <c r="G231" s="502"/>
      <c r="H231" s="503">
        <f>H232+H238</f>
        <v>40000</v>
      </c>
      <c r="I231" s="504">
        <f>SUM(I232+I238)</f>
        <v>5215500</v>
      </c>
    </row>
    <row r="232" spans="1:9" s="493" customFormat="1" ht="15" customHeight="1">
      <c r="A232" s="469"/>
      <c r="B232" s="470" t="s">
        <v>270</v>
      </c>
      <c r="C232" s="471">
        <f>SUM(C233:C236)</f>
        <v>5225500</v>
      </c>
      <c r="D232" s="472">
        <f>F232+H232</f>
        <v>40000</v>
      </c>
      <c r="E232" s="473">
        <f>SUM(E233:E236)</f>
        <v>5185500</v>
      </c>
      <c r="F232" s="686"/>
      <c r="G232" s="513"/>
      <c r="H232" s="495">
        <f>H233+H236</f>
        <v>40000</v>
      </c>
      <c r="I232" s="496">
        <f>SUM(I233:I236)</f>
        <v>5185500</v>
      </c>
    </row>
    <row r="233" spans="1:9" s="485" customFormat="1" ht="12" customHeight="1">
      <c r="A233" s="477"/>
      <c r="B233" s="478" t="s">
        <v>291</v>
      </c>
      <c r="C233" s="479">
        <f>SUM(D233:E233)</f>
        <v>4036700</v>
      </c>
      <c r="D233" s="480">
        <f>F233+H233</f>
        <v>0</v>
      </c>
      <c r="E233" s="481">
        <f>G233+I233</f>
        <v>4036700</v>
      </c>
      <c r="F233" s="499"/>
      <c r="G233" s="481"/>
      <c r="H233" s="482"/>
      <c r="I233" s="505">
        <v>4036700</v>
      </c>
    </row>
    <row r="234" spans="1:9" s="485" customFormat="1" ht="10.5" customHeight="1">
      <c r="A234" s="477"/>
      <c r="B234" s="478" t="s">
        <v>292</v>
      </c>
      <c r="C234" s="479"/>
      <c r="D234" s="480"/>
      <c r="E234" s="481"/>
      <c r="F234" s="499"/>
      <c r="G234" s="481"/>
      <c r="H234" s="482"/>
      <c r="I234" s="505"/>
    </row>
    <row r="235" spans="1:9" s="485" customFormat="1" ht="10.5" customHeight="1" hidden="1">
      <c r="A235" s="477"/>
      <c r="B235" s="498" t="s">
        <v>288</v>
      </c>
      <c r="C235" s="479"/>
      <c r="D235" s="480"/>
      <c r="E235" s="481"/>
      <c r="F235" s="499"/>
      <c r="G235" s="481"/>
      <c r="H235" s="482"/>
      <c r="I235" s="505"/>
    </row>
    <row r="236" spans="1:9" s="485" customFormat="1" ht="11.25" customHeight="1">
      <c r="A236" s="477"/>
      <c r="B236" s="478" t="s">
        <v>271</v>
      </c>
      <c r="C236" s="479">
        <f>D236+E236</f>
        <v>1188800</v>
      </c>
      <c r="D236" s="480">
        <f>F236+H236</f>
        <v>40000</v>
      </c>
      <c r="E236" s="481">
        <f>G236+I236</f>
        <v>1148800</v>
      </c>
      <c r="F236" s="499"/>
      <c r="G236" s="481"/>
      <c r="H236" s="482">
        <v>40000</v>
      </c>
      <c r="I236" s="505">
        <v>1148800</v>
      </c>
    </row>
    <row r="237" spans="1:9" s="485" customFormat="1" ht="15" customHeight="1">
      <c r="A237" s="477"/>
      <c r="B237" s="478" t="s">
        <v>295</v>
      </c>
      <c r="C237" s="479">
        <f>SUM(D237:E237)</f>
        <v>60000</v>
      </c>
      <c r="D237" s="480"/>
      <c r="E237" s="481">
        <f>G237+I237</f>
        <v>60000</v>
      </c>
      <c r="F237" s="499"/>
      <c r="G237" s="481"/>
      <c r="H237" s="499"/>
      <c r="I237" s="505">
        <v>60000</v>
      </c>
    </row>
    <row r="238" spans="1:9" ht="13.5" customHeight="1">
      <c r="A238" s="469"/>
      <c r="B238" s="470" t="s">
        <v>266</v>
      </c>
      <c r="C238" s="471">
        <f>SUM(C239)</f>
        <v>30000</v>
      </c>
      <c r="D238" s="472"/>
      <c r="E238" s="473">
        <f>E239</f>
        <v>30000</v>
      </c>
      <c r="F238" s="550"/>
      <c r="G238" s="473"/>
      <c r="H238" s="495"/>
      <c r="I238" s="496">
        <f>I239</f>
        <v>30000</v>
      </c>
    </row>
    <row r="239" spans="1:9" ht="15.75" customHeight="1">
      <c r="A239" s="469"/>
      <c r="B239" s="478" t="s">
        <v>280</v>
      </c>
      <c r="C239" s="552">
        <f>SUM(D239:E239)</f>
        <v>30000</v>
      </c>
      <c r="D239" s="480"/>
      <c r="E239" s="481">
        <f>G239+I239</f>
        <v>30000</v>
      </c>
      <c r="F239" s="601"/>
      <c r="G239" s="473"/>
      <c r="H239" s="499"/>
      <c r="I239" s="505">
        <v>30000</v>
      </c>
    </row>
    <row r="240" spans="1:9" ht="16.5" customHeight="1">
      <c r="A240" s="508">
        <v>75412</v>
      </c>
      <c r="B240" s="596" t="s">
        <v>320</v>
      </c>
      <c r="C240" s="500">
        <f>SUM(C242)</f>
        <v>10000</v>
      </c>
      <c r="D240" s="501">
        <f>SUM(D242)</f>
        <v>10000</v>
      </c>
      <c r="E240" s="502"/>
      <c r="F240" s="503">
        <f>SUM(F242)</f>
        <v>10000</v>
      </c>
      <c r="G240" s="502"/>
      <c r="H240" s="503"/>
      <c r="I240" s="504"/>
    </row>
    <row r="241" spans="1:9" ht="12.75">
      <c r="A241" s="469"/>
      <c r="B241" s="494" t="s">
        <v>270</v>
      </c>
      <c r="C241" s="471">
        <f>SUM(C242)</f>
        <v>10000</v>
      </c>
      <c r="D241" s="472">
        <f>SUM(D242)</f>
        <v>10000</v>
      </c>
      <c r="E241" s="473"/>
      <c r="F241" s="474">
        <f>SUM(F242)</f>
        <v>10000</v>
      </c>
      <c r="G241" s="554"/>
      <c r="H241" s="555"/>
      <c r="I241" s="556"/>
    </row>
    <row r="242" spans="1:9" ht="11.25" customHeight="1">
      <c r="A242" s="469"/>
      <c r="B242" s="498" t="s">
        <v>288</v>
      </c>
      <c r="C242" s="479">
        <f>SUM(D242:E242)</f>
        <v>10000</v>
      </c>
      <c r="D242" s="480">
        <f>F242+H242</f>
        <v>10000</v>
      </c>
      <c r="E242" s="481"/>
      <c r="F242" s="499">
        <v>10000</v>
      </c>
      <c r="G242" s="475"/>
      <c r="H242" s="474"/>
      <c r="I242" s="476"/>
    </row>
    <row r="243" spans="1:9" ht="12" customHeight="1">
      <c r="A243" s="508">
        <v>75414</v>
      </c>
      <c r="B243" s="596" t="s">
        <v>321</v>
      </c>
      <c r="C243" s="500">
        <f>SUM(C244+C249)</f>
        <v>25500</v>
      </c>
      <c r="D243" s="501">
        <f>SUM(D244+D249)</f>
        <v>25500</v>
      </c>
      <c r="E243" s="502"/>
      <c r="F243" s="503">
        <f>F244+F249</f>
        <v>25500</v>
      </c>
      <c r="G243" s="502"/>
      <c r="H243" s="503"/>
      <c r="I243" s="504"/>
    </row>
    <row r="244" spans="1:9" ht="12.75">
      <c r="A244" s="469"/>
      <c r="B244" s="494" t="s">
        <v>305</v>
      </c>
      <c r="C244" s="687">
        <f>SUM(C245:C247)</f>
        <v>25500</v>
      </c>
      <c r="D244" s="472">
        <f>F244+H244</f>
        <v>25500</v>
      </c>
      <c r="E244" s="473"/>
      <c r="F244" s="555">
        <f>SUM(F245:F247)</f>
        <v>25500</v>
      </c>
      <c r="G244" s="554"/>
      <c r="H244" s="555"/>
      <c r="I244" s="556"/>
    </row>
    <row r="245" spans="1:9" s="485" customFormat="1" ht="12.75" hidden="1">
      <c r="A245" s="477" t="s">
        <v>322</v>
      </c>
      <c r="B245" s="478" t="s">
        <v>291</v>
      </c>
      <c r="C245" s="479">
        <f>D245+E245</f>
        <v>0</v>
      </c>
      <c r="D245" s="480">
        <f>F245+H245</f>
        <v>0</v>
      </c>
      <c r="E245" s="481"/>
      <c r="F245" s="482"/>
      <c r="G245" s="483"/>
      <c r="H245" s="482"/>
      <c r="I245" s="484"/>
    </row>
    <row r="246" spans="1:9" s="485" customFormat="1" ht="12.75" hidden="1">
      <c r="A246" s="477"/>
      <c r="B246" s="478" t="s">
        <v>292</v>
      </c>
      <c r="C246" s="479"/>
      <c r="D246" s="480"/>
      <c r="E246" s="481"/>
      <c r="F246" s="482"/>
      <c r="G246" s="483"/>
      <c r="H246" s="482"/>
      <c r="I246" s="484"/>
    </row>
    <row r="247" spans="1:9" s="485" customFormat="1" ht="10.5" customHeight="1" thickBot="1">
      <c r="A247" s="591"/>
      <c r="B247" s="558" t="s">
        <v>271</v>
      </c>
      <c r="C247" s="552">
        <f>D247+E247</f>
        <v>25500</v>
      </c>
      <c r="D247" s="559">
        <f>F247+H247</f>
        <v>25500</v>
      </c>
      <c r="E247" s="560"/>
      <c r="F247" s="561">
        <v>25500</v>
      </c>
      <c r="G247" s="560"/>
      <c r="H247" s="594"/>
      <c r="I247" s="631"/>
    </row>
    <row r="248" spans="1:9" s="485" customFormat="1" ht="13.5" customHeight="1" hidden="1">
      <c r="A248" s="477"/>
      <c r="B248" s="498" t="s">
        <v>277</v>
      </c>
      <c r="C248" s="479">
        <f>SUM(D248:E248)</f>
        <v>0</v>
      </c>
      <c r="D248" s="480">
        <f>F248+H248</f>
        <v>0</v>
      </c>
      <c r="E248" s="481"/>
      <c r="F248" s="499"/>
      <c r="G248" s="481"/>
      <c r="H248" s="499"/>
      <c r="I248" s="505"/>
    </row>
    <row r="249" spans="1:9" ht="16.5" customHeight="1" hidden="1">
      <c r="A249" s="469"/>
      <c r="B249" s="470" t="s">
        <v>266</v>
      </c>
      <c r="C249" s="471">
        <f>SUM(C250:C251)</f>
        <v>0</v>
      </c>
      <c r="D249" s="472"/>
      <c r="E249" s="473">
        <f>SUM(E250:E251)</f>
        <v>0</v>
      </c>
      <c r="F249" s="474"/>
      <c r="G249" s="475"/>
      <c r="H249" s="688"/>
      <c r="I249" s="476">
        <f>SUM(I250:I251)</f>
        <v>0</v>
      </c>
    </row>
    <row r="250" spans="1:9" s="485" customFormat="1" ht="19.5" customHeight="1" hidden="1">
      <c r="A250" s="477"/>
      <c r="B250" s="478" t="s">
        <v>280</v>
      </c>
      <c r="C250" s="479">
        <f>SUM(D250:E250)</f>
        <v>0</v>
      </c>
      <c r="D250" s="480"/>
      <c r="E250" s="481"/>
      <c r="F250" s="499"/>
      <c r="G250" s="481"/>
      <c r="H250" s="499"/>
      <c r="I250" s="505"/>
    </row>
    <row r="251" spans="1:9" ht="30" customHeight="1" hidden="1">
      <c r="A251" s="469"/>
      <c r="B251" s="478" t="s">
        <v>267</v>
      </c>
      <c r="C251" s="552">
        <f>SUM(D251:E251)</f>
        <v>0</v>
      </c>
      <c r="D251" s="480"/>
      <c r="E251" s="481">
        <v>0</v>
      </c>
      <c r="F251" s="499"/>
      <c r="G251" s="473"/>
      <c r="H251" s="495"/>
      <c r="I251" s="605">
        <v>0</v>
      </c>
    </row>
    <row r="252" spans="1:9" s="468" customFormat="1" ht="108.75" customHeight="1" thickTop="1">
      <c r="A252" s="689">
        <v>756</v>
      </c>
      <c r="B252" s="690" t="s">
        <v>153</v>
      </c>
      <c r="C252" s="665">
        <f aca="true" t="shared" si="12" ref="C252:F253">SUM(C253)</f>
        <v>434400</v>
      </c>
      <c r="D252" s="666">
        <f t="shared" si="12"/>
        <v>434400</v>
      </c>
      <c r="E252" s="669"/>
      <c r="F252" s="670">
        <f t="shared" si="12"/>
        <v>434400</v>
      </c>
      <c r="G252" s="669"/>
      <c r="H252" s="670"/>
      <c r="I252" s="691"/>
    </row>
    <row r="253" spans="1:9" ht="37.5" customHeight="1">
      <c r="A253" s="543">
        <v>75647</v>
      </c>
      <c r="B253" s="585" t="s">
        <v>323</v>
      </c>
      <c r="C253" s="586">
        <f t="shared" si="12"/>
        <v>434400</v>
      </c>
      <c r="D253" s="587">
        <f t="shared" si="12"/>
        <v>434400</v>
      </c>
      <c r="E253" s="588"/>
      <c r="F253" s="589">
        <f t="shared" si="12"/>
        <v>434400</v>
      </c>
      <c r="G253" s="588"/>
      <c r="H253" s="589"/>
      <c r="I253" s="590"/>
    </row>
    <row r="254" spans="1:9" s="493" customFormat="1" ht="12">
      <c r="A254" s="614"/>
      <c r="B254" s="692" t="s">
        <v>270</v>
      </c>
      <c r="C254" s="566">
        <f>SUM(C255:C257)</f>
        <v>434400</v>
      </c>
      <c r="D254" s="616">
        <f>SUM(D255:D257)</f>
        <v>434400</v>
      </c>
      <c r="E254" s="617"/>
      <c r="F254" s="693">
        <f>SUM(F255:F257)</f>
        <v>434400</v>
      </c>
      <c r="G254" s="694"/>
      <c r="H254" s="693"/>
      <c r="I254" s="695"/>
    </row>
    <row r="255" spans="1:9" s="485" customFormat="1" ht="12.75">
      <c r="A255" s="477"/>
      <c r="B255" s="478" t="s">
        <v>291</v>
      </c>
      <c r="C255" s="479">
        <f>SUM(D255:E255)</f>
        <v>134400</v>
      </c>
      <c r="D255" s="480">
        <f>F255+H255</f>
        <v>134400</v>
      </c>
      <c r="E255" s="481"/>
      <c r="F255" s="499">
        <v>134400</v>
      </c>
      <c r="G255" s="481"/>
      <c r="H255" s="482"/>
      <c r="I255" s="505"/>
    </row>
    <row r="256" spans="1:9" s="485" customFormat="1" ht="12.75">
      <c r="A256" s="477"/>
      <c r="B256" s="478" t="s">
        <v>292</v>
      </c>
      <c r="C256" s="479"/>
      <c r="D256" s="480"/>
      <c r="E256" s="481"/>
      <c r="F256" s="499"/>
      <c r="G256" s="481"/>
      <c r="H256" s="482"/>
      <c r="I256" s="505"/>
    </row>
    <row r="257" spans="1:9" s="485" customFormat="1" ht="12.75">
      <c r="A257" s="591"/>
      <c r="B257" s="558" t="s">
        <v>271</v>
      </c>
      <c r="C257" s="552">
        <f>SUM(D257:E257)</f>
        <v>300000</v>
      </c>
      <c r="D257" s="559">
        <f>F257+H257</f>
        <v>300000</v>
      </c>
      <c r="E257" s="560"/>
      <c r="F257" s="561">
        <v>300000</v>
      </c>
      <c r="G257" s="560"/>
      <c r="H257" s="594"/>
      <c r="I257" s="631"/>
    </row>
    <row r="258" spans="1:9" s="468" customFormat="1" ht="29.25" customHeight="1" thickBot="1">
      <c r="A258" s="696">
        <v>757</v>
      </c>
      <c r="B258" s="697" t="s">
        <v>155</v>
      </c>
      <c r="C258" s="698">
        <f aca="true" t="shared" si="13" ref="C258:F259">SUM(C259)</f>
        <v>3770000</v>
      </c>
      <c r="D258" s="699">
        <f t="shared" si="13"/>
        <v>3770000</v>
      </c>
      <c r="E258" s="700"/>
      <c r="F258" s="701">
        <f t="shared" si="13"/>
        <v>3770000</v>
      </c>
      <c r="G258" s="700"/>
      <c r="H258" s="701"/>
      <c r="I258" s="702"/>
    </row>
    <row r="259" spans="1:9" ht="35.25" customHeight="1" thickTop="1">
      <c r="A259" s="508">
        <v>75702</v>
      </c>
      <c r="B259" s="596" t="s">
        <v>324</v>
      </c>
      <c r="C259" s="500">
        <f t="shared" si="13"/>
        <v>3770000</v>
      </c>
      <c r="D259" s="501">
        <f t="shared" si="13"/>
        <v>3770000</v>
      </c>
      <c r="E259" s="502"/>
      <c r="F259" s="503">
        <f t="shared" si="13"/>
        <v>3770000</v>
      </c>
      <c r="G259" s="502"/>
      <c r="H259" s="503"/>
      <c r="I259" s="504"/>
    </row>
    <row r="260" spans="1:9" ht="14.25" customHeight="1">
      <c r="A260" s="469"/>
      <c r="B260" s="494" t="s">
        <v>270</v>
      </c>
      <c r="C260" s="471">
        <f>SUM(C261)</f>
        <v>3770000</v>
      </c>
      <c r="D260" s="472">
        <f>SUM(D261)</f>
        <v>3770000</v>
      </c>
      <c r="E260" s="473"/>
      <c r="F260" s="474">
        <f>SUM(F261)</f>
        <v>3770000</v>
      </c>
      <c r="G260" s="554"/>
      <c r="H260" s="555"/>
      <c r="I260" s="556"/>
    </row>
    <row r="261" spans="1:9" ht="12.75" customHeight="1" thickBot="1">
      <c r="A261" s="469"/>
      <c r="B261" s="498" t="s">
        <v>325</v>
      </c>
      <c r="C261" s="479">
        <f>SUM(D261:E261)</f>
        <v>3770000</v>
      </c>
      <c r="D261" s="480">
        <f>F261+H261</f>
        <v>3770000</v>
      </c>
      <c r="E261" s="481"/>
      <c r="F261" s="499">
        <v>3770000</v>
      </c>
      <c r="G261" s="475"/>
      <c r="H261" s="474"/>
      <c r="I261" s="476"/>
    </row>
    <row r="262" spans="1:9" s="597" customFormat="1" ht="27" customHeight="1" thickBot="1" thickTop="1">
      <c r="A262" s="507">
        <v>758</v>
      </c>
      <c r="B262" s="464" t="s">
        <v>157</v>
      </c>
      <c r="C262" s="465">
        <f>SUM(C266+C263)</f>
        <v>5180460</v>
      </c>
      <c r="D262" s="419">
        <f>SUM(D266+D263)</f>
        <v>5180460</v>
      </c>
      <c r="E262" s="466"/>
      <c r="F262" s="467">
        <f>SUM(F266+F263)</f>
        <v>3933685</v>
      </c>
      <c r="G262" s="466"/>
      <c r="H262" s="467">
        <f>H263+H266</f>
        <v>1246775</v>
      </c>
      <c r="I262" s="423"/>
    </row>
    <row r="263" spans="1:9" ht="16.5" customHeight="1" thickTop="1">
      <c r="A263" s="508">
        <v>75818</v>
      </c>
      <c r="B263" s="596" t="s">
        <v>326</v>
      </c>
      <c r="C263" s="500">
        <f>SUM(C265:C265)</f>
        <v>3933685</v>
      </c>
      <c r="D263" s="501">
        <f>SUM(D265:D265)</f>
        <v>3933685</v>
      </c>
      <c r="E263" s="502"/>
      <c r="F263" s="503">
        <f>SUM(F265:F265)</f>
        <v>3933685</v>
      </c>
      <c r="G263" s="502"/>
      <c r="H263" s="503"/>
      <c r="I263" s="504"/>
    </row>
    <row r="264" spans="1:9" ht="14.25" customHeight="1">
      <c r="A264" s="469"/>
      <c r="B264" s="494" t="s">
        <v>270</v>
      </c>
      <c r="C264" s="471">
        <f>SUM(C265)</f>
        <v>3933685</v>
      </c>
      <c r="D264" s="472">
        <f>SUM(D265)</f>
        <v>3933685</v>
      </c>
      <c r="E264" s="473"/>
      <c r="F264" s="474">
        <f>SUM(F265)</f>
        <v>3933685</v>
      </c>
      <c r="G264" s="554"/>
      <c r="H264" s="474"/>
      <c r="I264" s="556"/>
    </row>
    <row r="265" spans="1:9" ht="12.75" customHeight="1">
      <c r="A265" s="469"/>
      <c r="B265" s="498" t="s">
        <v>271</v>
      </c>
      <c r="C265" s="479">
        <f>SUM(D265:E265)</f>
        <v>3933685</v>
      </c>
      <c r="D265" s="480">
        <f>F265+H265</f>
        <v>3933685</v>
      </c>
      <c r="E265" s="481"/>
      <c r="F265" s="499">
        <v>3933685</v>
      </c>
      <c r="G265" s="475"/>
      <c r="H265" s="499"/>
      <c r="I265" s="476"/>
    </row>
    <row r="266" spans="1:9" ht="34.5" customHeight="1">
      <c r="A266" s="508">
        <v>75832</v>
      </c>
      <c r="B266" s="596" t="s">
        <v>327</v>
      </c>
      <c r="C266" s="500">
        <f>SUM(C268:C268)</f>
        <v>1246775</v>
      </c>
      <c r="D266" s="501">
        <f>SUM(D268:D268)</f>
        <v>1246775</v>
      </c>
      <c r="E266" s="502"/>
      <c r="F266" s="503"/>
      <c r="G266" s="502"/>
      <c r="H266" s="503">
        <f>SUM(H268:H268)</f>
        <v>1246775</v>
      </c>
      <c r="I266" s="504"/>
    </row>
    <row r="267" spans="1:9" ht="12.75">
      <c r="A267" s="469"/>
      <c r="B267" s="494" t="s">
        <v>270</v>
      </c>
      <c r="C267" s="471">
        <f>SUM(C268)</f>
        <v>1246775</v>
      </c>
      <c r="D267" s="472">
        <f>SUM(D268)</f>
        <v>1246775</v>
      </c>
      <c r="E267" s="473"/>
      <c r="F267" s="474"/>
      <c r="G267" s="554"/>
      <c r="H267" s="474">
        <f>SUM(H268)</f>
        <v>1246775</v>
      </c>
      <c r="I267" s="556"/>
    </row>
    <row r="268" spans="1:9" ht="14.25" customHeight="1" thickBot="1">
      <c r="A268" s="469"/>
      <c r="B268" s="498" t="s">
        <v>271</v>
      </c>
      <c r="C268" s="479">
        <f>SUM(D268:E268)</f>
        <v>1246775</v>
      </c>
      <c r="D268" s="480">
        <f>F268+H268</f>
        <v>1246775</v>
      </c>
      <c r="E268" s="481"/>
      <c r="F268" s="499"/>
      <c r="G268" s="475"/>
      <c r="H268" s="499">
        <v>1246775</v>
      </c>
      <c r="I268" s="476"/>
    </row>
    <row r="269" spans="1:9" s="468" customFormat="1" ht="27" thickBot="1" thickTop="1">
      <c r="A269" s="507">
        <v>801</v>
      </c>
      <c r="B269" s="464" t="s">
        <v>159</v>
      </c>
      <c r="C269" s="465">
        <f>C279+C288+C300+C312+C321+C327+C342+C349+C355+C363+C369+C384+C360+C336+C375+C378+C306+C294</f>
        <v>97405123</v>
      </c>
      <c r="D269" s="419">
        <f>D279+D288+D300+D312+D321+D327+D342+D349+D355+D363+D369+D384+D360+D336+D375+D378+D306+D294</f>
        <v>97405123</v>
      </c>
      <c r="E269" s="466"/>
      <c r="F269" s="467">
        <f>F279+F288+F300+F312+F321+F327+F342+F349+F355+F363+F369+F384+F360+F336+F375+F378+F306+F294</f>
        <v>57241023</v>
      </c>
      <c r="G269" s="466"/>
      <c r="H269" s="467">
        <f>H279+H288+H300+H312+H321+H327+H342+H349+H355+H363+H369+H384+H360+H336+H375+H378+H306+H294</f>
        <v>40164100</v>
      </c>
      <c r="I269" s="423"/>
    </row>
    <row r="270" spans="1:9" s="468" customFormat="1" ht="13.5" thickTop="1">
      <c r="A270" s="509"/>
      <c r="B270" s="598" t="s">
        <v>270</v>
      </c>
      <c r="C270" s="525">
        <f>D270+E270</f>
        <v>95782223</v>
      </c>
      <c r="D270" s="526">
        <f>F270+H270</f>
        <v>95782223</v>
      </c>
      <c r="E270" s="527"/>
      <c r="F270" s="528">
        <f>F280+F289+F295+F301+F307+F313+F322+F328+F337+F343+F356+F364+F370+F376+F379+F385</f>
        <v>56330623</v>
      </c>
      <c r="G270" s="623"/>
      <c r="H270" s="528">
        <f>H280+H289+H295+H301+H307+H313+H322+H328+H337+H343+H356+H364+H370+H376+H379+H385</f>
        <v>39451600</v>
      </c>
      <c r="I270" s="517"/>
    </row>
    <row r="271" spans="1:9" s="570" customFormat="1" ht="12">
      <c r="A271" s="567"/>
      <c r="B271" s="478" t="s">
        <v>291</v>
      </c>
      <c r="C271" s="479">
        <f aca="true" t="shared" si="14" ref="C271:C278">D271+E271</f>
        <v>67387023</v>
      </c>
      <c r="D271" s="480">
        <f aca="true" t="shared" si="15" ref="D271:D278">F271+H271</f>
        <v>67387023</v>
      </c>
      <c r="E271" s="481"/>
      <c r="F271" s="519">
        <f>F281+F290+F296+F308+F314+F323+F329+F338+F344+F357+F365+F371+F380+F386</f>
        <v>36873523</v>
      </c>
      <c r="G271" s="481"/>
      <c r="H271" s="519">
        <f>H281+H290+H296+H308+H314+H323+H329+H338+H344+H357+H365+H371+H380+H386</f>
        <v>30513500</v>
      </c>
      <c r="I271" s="505"/>
    </row>
    <row r="272" spans="1:9" s="570" customFormat="1" ht="12">
      <c r="A272" s="567"/>
      <c r="B272" s="478" t="s">
        <v>292</v>
      </c>
      <c r="C272" s="479"/>
      <c r="D272" s="480"/>
      <c r="E272" s="481"/>
      <c r="F272" s="519"/>
      <c r="G272" s="481"/>
      <c r="H272" s="519"/>
      <c r="I272" s="505"/>
    </row>
    <row r="273" spans="1:9" s="570" customFormat="1" ht="12">
      <c r="A273" s="567"/>
      <c r="B273" s="498" t="s">
        <v>288</v>
      </c>
      <c r="C273" s="479">
        <f t="shared" si="14"/>
        <v>13293700</v>
      </c>
      <c r="D273" s="480">
        <f t="shared" si="15"/>
        <v>13293700</v>
      </c>
      <c r="E273" s="481"/>
      <c r="F273" s="519">
        <f>F283+F298+F304+F316+F331+F346+F382+F388</f>
        <v>10993700</v>
      </c>
      <c r="G273" s="481"/>
      <c r="H273" s="519">
        <f>H283+H298+H304+H316+H331+H346+H382+H388</f>
        <v>2300000</v>
      </c>
      <c r="I273" s="505"/>
    </row>
    <row r="274" spans="1:9" s="570" customFormat="1" ht="12">
      <c r="A274" s="567"/>
      <c r="B274" s="498" t="s">
        <v>271</v>
      </c>
      <c r="C274" s="479">
        <f t="shared" si="14"/>
        <v>15101500</v>
      </c>
      <c r="D274" s="480">
        <f t="shared" si="15"/>
        <v>15101500</v>
      </c>
      <c r="E274" s="481"/>
      <c r="F274" s="519">
        <f>F284+F292+F299+F310+F317+F325+F332+F340+F347+F359+F367+F373+F377+F383+F389</f>
        <v>8463400</v>
      </c>
      <c r="G274" s="481"/>
      <c r="H274" s="519">
        <f>H284+H292+H299+H310+H317+H325+H332+H340+H347+H359+H367+H373+H377+H383+H389</f>
        <v>6638100</v>
      </c>
      <c r="I274" s="505"/>
    </row>
    <row r="275" spans="1:9" s="493" customFormat="1" ht="12">
      <c r="A275" s="521"/>
      <c r="B275" s="470" t="s">
        <v>295</v>
      </c>
      <c r="C275" s="471">
        <f t="shared" si="14"/>
        <v>449800</v>
      </c>
      <c r="D275" s="472">
        <f t="shared" si="15"/>
        <v>449800</v>
      </c>
      <c r="E275" s="473"/>
      <c r="F275" s="523">
        <f>F285+F293+F311+F318+F326+F333+F341+F348+F368+F374+F390</f>
        <v>355900</v>
      </c>
      <c r="G275" s="473"/>
      <c r="H275" s="523">
        <f>H285+H293+H311+H318+H326+H333+H341+H348+H368+H374+H390</f>
        <v>93900</v>
      </c>
      <c r="I275" s="496"/>
    </row>
    <row r="276" spans="1:9" s="468" customFormat="1" ht="12.75">
      <c r="A276" s="509"/>
      <c r="B276" s="524" t="s">
        <v>328</v>
      </c>
      <c r="C276" s="525">
        <f t="shared" si="14"/>
        <v>1622900</v>
      </c>
      <c r="D276" s="526">
        <f t="shared" si="15"/>
        <v>1622900</v>
      </c>
      <c r="E276" s="527"/>
      <c r="F276" s="528">
        <f>F286+F319+F391</f>
        <v>910400</v>
      </c>
      <c r="G276" s="527"/>
      <c r="H276" s="528">
        <f>H286+H319+H391</f>
        <v>712500</v>
      </c>
      <c r="I276" s="530"/>
    </row>
    <row r="277" spans="1:9" s="570" customFormat="1" ht="12">
      <c r="A277" s="567"/>
      <c r="B277" s="703" t="s">
        <v>280</v>
      </c>
      <c r="C277" s="479">
        <f t="shared" si="14"/>
        <v>1605900</v>
      </c>
      <c r="D277" s="480">
        <f t="shared" si="15"/>
        <v>1605900</v>
      </c>
      <c r="E277" s="481"/>
      <c r="F277" s="519">
        <f>F287+F320+F392</f>
        <v>903400</v>
      </c>
      <c r="G277" s="481"/>
      <c r="H277" s="519">
        <f>H287+H320+H392</f>
        <v>702500</v>
      </c>
      <c r="I277" s="505"/>
    </row>
    <row r="278" spans="1:9" s="570" customFormat="1" ht="12.75" thickBot="1">
      <c r="A278" s="684"/>
      <c r="B278" s="603" t="s">
        <v>267</v>
      </c>
      <c r="C278" s="536">
        <f t="shared" si="14"/>
        <v>17000</v>
      </c>
      <c r="D278" s="537">
        <f t="shared" si="15"/>
        <v>17000</v>
      </c>
      <c r="E278" s="540"/>
      <c r="F278" s="541">
        <f>F393</f>
        <v>7000</v>
      </c>
      <c r="G278" s="540"/>
      <c r="H278" s="539">
        <f>H393</f>
        <v>10000</v>
      </c>
      <c r="I278" s="605"/>
    </row>
    <row r="279" spans="1:9" ht="15.75" customHeight="1" thickTop="1">
      <c r="A279" s="543">
        <v>80101</v>
      </c>
      <c r="B279" s="585" t="s">
        <v>329</v>
      </c>
      <c r="C279" s="586">
        <f>C280+C286</f>
        <v>25731100</v>
      </c>
      <c r="D279" s="587">
        <f>D280+D286</f>
        <v>25731100</v>
      </c>
      <c r="E279" s="588"/>
      <c r="F279" s="589">
        <f>F280+F286</f>
        <v>25731100</v>
      </c>
      <c r="G279" s="588"/>
      <c r="H279" s="589"/>
      <c r="I279" s="590"/>
    </row>
    <row r="280" spans="1:9" ht="11.25" customHeight="1">
      <c r="A280" s="469"/>
      <c r="B280" s="494" t="s">
        <v>270</v>
      </c>
      <c r="C280" s="471">
        <f>SUM(C281:C284)</f>
        <v>25662100</v>
      </c>
      <c r="D280" s="472">
        <f>SUM(D281:D284)</f>
        <v>25662100</v>
      </c>
      <c r="E280" s="473"/>
      <c r="F280" s="474">
        <f>SUM(F281:F284)</f>
        <v>25662100</v>
      </c>
      <c r="G280" s="554"/>
      <c r="H280" s="474"/>
      <c r="I280" s="556"/>
    </row>
    <row r="281" spans="1:9" ht="12" customHeight="1">
      <c r="A281" s="469"/>
      <c r="B281" s="478" t="s">
        <v>291</v>
      </c>
      <c r="C281" s="479">
        <f>SUM(D281:E281)</f>
        <v>21018500</v>
      </c>
      <c r="D281" s="480">
        <f>F281+H281</f>
        <v>21018500</v>
      </c>
      <c r="E281" s="481"/>
      <c r="F281" s="499">
        <v>21018500</v>
      </c>
      <c r="G281" s="475"/>
      <c r="H281" s="482"/>
      <c r="I281" s="476"/>
    </row>
    <row r="282" spans="1:9" ht="12" customHeight="1">
      <c r="A282" s="469"/>
      <c r="B282" s="478" t="s">
        <v>292</v>
      </c>
      <c r="C282" s="479"/>
      <c r="D282" s="480"/>
      <c r="E282" s="481"/>
      <c r="F282" s="499"/>
      <c r="G282" s="475"/>
      <c r="H282" s="482"/>
      <c r="I282" s="476"/>
    </row>
    <row r="283" spans="1:9" ht="10.5" customHeight="1">
      <c r="A283" s="469"/>
      <c r="B283" s="498" t="s">
        <v>288</v>
      </c>
      <c r="C283" s="479">
        <f>SUM(D283:E283)</f>
        <v>633000</v>
      </c>
      <c r="D283" s="480">
        <f>F283+H283</f>
        <v>633000</v>
      </c>
      <c r="E283" s="481"/>
      <c r="F283" s="499">
        <v>633000</v>
      </c>
      <c r="G283" s="475"/>
      <c r="H283" s="482"/>
      <c r="I283" s="476"/>
    </row>
    <row r="284" spans="1:9" ht="11.25" customHeight="1">
      <c r="A284" s="469"/>
      <c r="B284" s="498" t="s">
        <v>271</v>
      </c>
      <c r="C284" s="479">
        <f>SUM(D284:E284)</f>
        <v>4010600</v>
      </c>
      <c r="D284" s="480">
        <f>F284+H284</f>
        <v>4010600</v>
      </c>
      <c r="E284" s="481"/>
      <c r="F284" s="499">
        <v>4010600</v>
      </c>
      <c r="G284" s="475"/>
      <c r="H284" s="482"/>
      <c r="I284" s="476"/>
    </row>
    <row r="285" spans="1:9" ht="11.25" customHeight="1">
      <c r="A285" s="469"/>
      <c r="B285" s="478" t="s">
        <v>295</v>
      </c>
      <c r="C285" s="479">
        <f>SUM(D285:E285)</f>
        <v>64600</v>
      </c>
      <c r="D285" s="480">
        <f>F285+H285</f>
        <v>64600</v>
      </c>
      <c r="E285" s="481"/>
      <c r="F285" s="499">
        <v>64600</v>
      </c>
      <c r="G285" s="475"/>
      <c r="H285" s="482"/>
      <c r="I285" s="476"/>
    </row>
    <row r="286" spans="1:9" ht="12.75" customHeight="1">
      <c r="A286" s="469"/>
      <c r="B286" s="470" t="s">
        <v>328</v>
      </c>
      <c r="C286" s="471">
        <f>SUM(C287)</f>
        <v>69000</v>
      </c>
      <c r="D286" s="472">
        <f>F286+H286</f>
        <v>69000</v>
      </c>
      <c r="E286" s="473"/>
      <c r="F286" s="474">
        <f>SUM(F287)</f>
        <v>69000</v>
      </c>
      <c r="G286" s="475"/>
      <c r="H286" s="474"/>
      <c r="I286" s="476"/>
    </row>
    <row r="287" spans="1:9" s="485" customFormat="1" ht="12" customHeight="1">
      <c r="A287" s="591"/>
      <c r="B287" s="558" t="s">
        <v>280</v>
      </c>
      <c r="C287" s="552">
        <f>SUM(D287:E287)</f>
        <v>69000</v>
      </c>
      <c r="D287" s="559">
        <f>F287+H287</f>
        <v>69000</v>
      </c>
      <c r="E287" s="560"/>
      <c r="F287" s="561">
        <v>69000</v>
      </c>
      <c r="G287" s="593"/>
      <c r="H287" s="594"/>
      <c r="I287" s="595"/>
    </row>
    <row r="288" spans="1:9" s="493" customFormat="1" ht="26.25" customHeight="1">
      <c r="A288" s="508">
        <v>80102</v>
      </c>
      <c r="B288" s="596" t="s">
        <v>330</v>
      </c>
      <c r="C288" s="704">
        <f>SUM(C289)</f>
        <v>2053900</v>
      </c>
      <c r="D288" s="705">
        <f>SUM(D289)</f>
        <v>2053900</v>
      </c>
      <c r="E288" s="706"/>
      <c r="F288" s="707"/>
      <c r="G288" s="706"/>
      <c r="H288" s="707">
        <f>SUM(H289)</f>
        <v>2053900</v>
      </c>
      <c r="I288" s="708"/>
    </row>
    <row r="289" spans="1:9" ht="15" customHeight="1">
      <c r="A289" s="469"/>
      <c r="B289" s="494" t="s">
        <v>270</v>
      </c>
      <c r="C289" s="471">
        <f>SUM(C290:C292)</f>
        <v>2053900</v>
      </c>
      <c r="D289" s="472">
        <f>SUM(D290:D292)</f>
        <v>2053900</v>
      </c>
      <c r="E289" s="473"/>
      <c r="F289" s="474"/>
      <c r="G289" s="554"/>
      <c r="H289" s="474">
        <f>SUM(H290:H292)</f>
        <v>2053900</v>
      </c>
      <c r="I289" s="556"/>
    </row>
    <row r="290" spans="1:9" ht="12">
      <c r="A290" s="469"/>
      <c r="B290" s="478" t="s">
        <v>291</v>
      </c>
      <c r="C290" s="479">
        <f>SUM(D290:E290)</f>
        <v>1800000</v>
      </c>
      <c r="D290" s="480">
        <f>F290+H290</f>
        <v>1800000</v>
      </c>
      <c r="E290" s="481"/>
      <c r="F290" s="499"/>
      <c r="G290" s="473"/>
      <c r="H290" s="499">
        <v>1800000</v>
      </c>
      <c r="I290" s="496"/>
    </row>
    <row r="291" spans="1:9" ht="12">
      <c r="A291" s="469"/>
      <c r="B291" s="478" t="s">
        <v>292</v>
      </c>
      <c r="C291" s="479"/>
      <c r="D291" s="480"/>
      <c r="E291" s="481"/>
      <c r="F291" s="499"/>
      <c r="G291" s="473"/>
      <c r="H291" s="499"/>
      <c r="I291" s="496"/>
    </row>
    <row r="292" spans="1:9" ht="12">
      <c r="A292" s="469"/>
      <c r="B292" s="498" t="s">
        <v>271</v>
      </c>
      <c r="C292" s="479">
        <f>SUM(D292:E292)</f>
        <v>253900</v>
      </c>
      <c r="D292" s="480">
        <f>F292+H292</f>
        <v>253900</v>
      </c>
      <c r="E292" s="481"/>
      <c r="F292" s="499"/>
      <c r="G292" s="473"/>
      <c r="H292" s="499">
        <v>253900</v>
      </c>
      <c r="I292" s="496"/>
    </row>
    <row r="293" spans="1:9" ht="12.75" customHeight="1">
      <c r="A293" s="557"/>
      <c r="B293" s="558" t="s">
        <v>295</v>
      </c>
      <c r="C293" s="552">
        <f>SUM(D293:E293)</f>
        <v>8000</v>
      </c>
      <c r="D293" s="559">
        <f>F293+H293</f>
        <v>8000</v>
      </c>
      <c r="E293" s="560"/>
      <c r="F293" s="561"/>
      <c r="G293" s="629"/>
      <c r="H293" s="561">
        <v>8000</v>
      </c>
      <c r="I293" s="709"/>
    </row>
    <row r="294" spans="1:9" s="493" customFormat="1" ht="25.5" customHeight="1">
      <c r="A294" s="508">
        <v>80103</v>
      </c>
      <c r="B294" s="596" t="s">
        <v>331</v>
      </c>
      <c r="C294" s="704">
        <f>SUM(C295)</f>
        <v>296900</v>
      </c>
      <c r="D294" s="705">
        <f>SUM(D295)</f>
        <v>296900</v>
      </c>
      <c r="E294" s="706"/>
      <c r="F294" s="707">
        <f>SUM(F295)</f>
        <v>296900</v>
      </c>
      <c r="G294" s="706"/>
      <c r="H294" s="707"/>
      <c r="I294" s="708"/>
    </row>
    <row r="295" spans="1:9" ht="12.75">
      <c r="A295" s="469"/>
      <c r="B295" s="494" t="s">
        <v>270</v>
      </c>
      <c r="C295" s="471">
        <f>SUM(C296:C299)</f>
        <v>296900</v>
      </c>
      <c r="D295" s="472">
        <f>SUM(D296:D299)</f>
        <v>296900</v>
      </c>
      <c r="E295" s="473"/>
      <c r="F295" s="474">
        <f>SUM(F296:F299)</f>
        <v>296900</v>
      </c>
      <c r="G295" s="554"/>
      <c r="H295" s="474"/>
      <c r="I295" s="556"/>
    </row>
    <row r="296" spans="1:9" ht="12">
      <c r="A296" s="469"/>
      <c r="B296" s="478" t="s">
        <v>291</v>
      </c>
      <c r="C296" s="479">
        <f>SUM(D296:E296)</f>
        <v>216200</v>
      </c>
      <c r="D296" s="480">
        <f>F296+H296</f>
        <v>216200</v>
      </c>
      <c r="E296" s="481"/>
      <c r="F296" s="499">
        <v>216200</v>
      </c>
      <c r="G296" s="473"/>
      <c r="H296" s="499"/>
      <c r="I296" s="496"/>
    </row>
    <row r="297" spans="1:9" ht="12">
      <c r="A297" s="469"/>
      <c r="B297" s="478" t="s">
        <v>292</v>
      </c>
      <c r="C297" s="479"/>
      <c r="D297" s="480"/>
      <c r="E297" s="481"/>
      <c r="F297" s="499"/>
      <c r="G297" s="473"/>
      <c r="H297" s="499"/>
      <c r="I297" s="496"/>
    </row>
    <row r="298" spans="1:9" ht="11.25" customHeight="1">
      <c r="A298" s="469"/>
      <c r="B298" s="498" t="s">
        <v>288</v>
      </c>
      <c r="C298" s="479">
        <f>SUM(D298:E298)</f>
        <v>67500</v>
      </c>
      <c r="D298" s="480">
        <f>F298+H298</f>
        <v>67500</v>
      </c>
      <c r="E298" s="481"/>
      <c r="F298" s="499">
        <v>67500</v>
      </c>
      <c r="G298" s="473"/>
      <c r="H298" s="499"/>
      <c r="I298" s="496"/>
    </row>
    <row r="299" spans="1:9" ht="12">
      <c r="A299" s="469"/>
      <c r="B299" s="498" t="s">
        <v>271</v>
      </c>
      <c r="C299" s="479">
        <f>SUM(D299:E299)</f>
        <v>13200</v>
      </c>
      <c r="D299" s="480">
        <f>F299+H299</f>
        <v>13200</v>
      </c>
      <c r="E299" s="481"/>
      <c r="F299" s="499">
        <v>13200</v>
      </c>
      <c r="G299" s="473"/>
      <c r="H299" s="499"/>
      <c r="I299" s="496"/>
    </row>
    <row r="300" spans="1:9" ht="12" customHeight="1">
      <c r="A300" s="710">
        <v>80104</v>
      </c>
      <c r="B300" s="596" t="s">
        <v>332</v>
      </c>
      <c r="C300" s="500">
        <f>SUM(C301)</f>
        <v>9900000</v>
      </c>
      <c r="D300" s="501">
        <f>SUM(D301)</f>
        <v>9900000</v>
      </c>
      <c r="E300" s="502"/>
      <c r="F300" s="503">
        <f>SUM(F301)</f>
        <v>9900000</v>
      </c>
      <c r="G300" s="502"/>
      <c r="H300" s="503"/>
      <c r="I300" s="504"/>
    </row>
    <row r="301" spans="1:9" ht="11.25" customHeight="1">
      <c r="A301" s="614"/>
      <c r="B301" s="494" t="s">
        <v>270</v>
      </c>
      <c r="C301" s="471">
        <f>SUM(C302:C305)</f>
        <v>9900000</v>
      </c>
      <c r="D301" s="472">
        <f>SUM(D302:D305)</f>
        <v>9900000</v>
      </c>
      <c r="E301" s="473"/>
      <c r="F301" s="474">
        <f>SUM(F302:F305)</f>
        <v>9900000</v>
      </c>
      <c r="G301" s="554"/>
      <c r="H301" s="474"/>
      <c r="I301" s="556"/>
    </row>
    <row r="302" spans="1:9" ht="12" hidden="1">
      <c r="A302" s="469"/>
      <c r="B302" s="478" t="s">
        <v>291</v>
      </c>
      <c r="C302" s="479">
        <f>SUM(D302:E302)</f>
        <v>0</v>
      </c>
      <c r="D302" s="480">
        <f>F302+H302</f>
        <v>0</v>
      </c>
      <c r="E302" s="481"/>
      <c r="F302" s="499"/>
      <c r="G302" s="473"/>
      <c r="H302" s="499"/>
      <c r="I302" s="496"/>
    </row>
    <row r="303" spans="1:9" ht="10.5" customHeight="1" hidden="1">
      <c r="A303" s="469"/>
      <c r="B303" s="478" t="s">
        <v>292</v>
      </c>
      <c r="C303" s="479"/>
      <c r="D303" s="480"/>
      <c r="E303" s="481"/>
      <c r="F303" s="499"/>
      <c r="G303" s="473"/>
      <c r="H303" s="499"/>
      <c r="I303" s="496"/>
    </row>
    <row r="304" spans="1:9" ht="12">
      <c r="A304" s="557"/>
      <c r="B304" s="711" t="s">
        <v>288</v>
      </c>
      <c r="C304" s="552">
        <f>SUM(D304:E304)</f>
        <v>9900000</v>
      </c>
      <c r="D304" s="559">
        <f>F304+H304</f>
        <v>9900000</v>
      </c>
      <c r="E304" s="560"/>
      <c r="F304" s="712">
        <v>9900000</v>
      </c>
      <c r="G304" s="629"/>
      <c r="H304" s="712"/>
      <c r="I304" s="709"/>
    </row>
    <row r="305" spans="1:9" ht="12" hidden="1">
      <c r="A305" s="557"/>
      <c r="B305" s="592" t="s">
        <v>271</v>
      </c>
      <c r="C305" s="552">
        <f>SUM(D305:E305)</f>
        <v>0</v>
      </c>
      <c r="D305" s="559">
        <f>F305+H305</f>
        <v>0</v>
      </c>
      <c r="E305" s="560"/>
      <c r="F305" s="561"/>
      <c r="G305" s="629"/>
      <c r="H305" s="561"/>
      <c r="I305" s="709"/>
    </row>
    <row r="306" spans="1:9" s="493" customFormat="1" ht="12.75">
      <c r="A306" s="508">
        <v>80105</v>
      </c>
      <c r="B306" s="596" t="s">
        <v>333</v>
      </c>
      <c r="C306" s="704">
        <f>SUM(C307)</f>
        <v>466300</v>
      </c>
      <c r="D306" s="705">
        <f>SUM(D307)</f>
        <v>466300</v>
      </c>
      <c r="E306" s="706"/>
      <c r="F306" s="707"/>
      <c r="G306" s="706"/>
      <c r="H306" s="707">
        <f>SUM(H307)</f>
        <v>466300</v>
      </c>
      <c r="I306" s="708"/>
    </row>
    <row r="307" spans="1:9" ht="11.25" customHeight="1">
      <c r="A307" s="469"/>
      <c r="B307" s="494" t="s">
        <v>270</v>
      </c>
      <c r="C307" s="471">
        <f>SUM(C308:C310)</f>
        <v>466300</v>
      </c>
      <c r="D307" s="472">
        <f>SUM(D308:D310)</f>
        <v>466300</v>
      </c>
      <c r="E307" s="473"/>
      <c r="F307" s="474"/>
      <c r="G307" s="554"/>
      <c r="H307" s="474">
        <f>SUM(H308:H310)</f>
        <v>466300</v>
      </c>
      <c r="I307" s="556"/>
    </row>
    <row r="308" spans="1:9" ht="12">
      <c r="A308" s="469"/>
      <c r="B308" s="478" t="s">
        <v>291</v>
      </c>
      <c r="C308" s="479">
        <f>SUM(D308:E308)</f>
        <v>411000</v>
      </c>
      <c r="D308" s="480">
        <f>F308+H308</f>
        <v>411000</v>
      </c>
      <c r="E308" s="481"/>
      <c r="F308" s="499"/>
      <c r="G308" s="473"/>
      <c r="H308" s="499">
        <v>411000</v>
      </c>
      <c r="I308" s="496"/>
    </row>
    <row r="309" spans="1:9" ht="12">
      <c r="A309" s="469"/>
      <c r="B309" s="478" t="s">
        <v>292</v>
      </c>
      <c r="C309" s="479"/>
      <c r="D309" s="480"/>
      <c r="E309" s="481"/>
      <c r="F309" s="499"/>
      <c r="G309" s="473"/>
      <c r="H309" s="499"/>
      <c r="I309" s="496"/>
    </row>
    <row r="310" spans="1:9" ht="12">
      <c r="A310" s="469"/>
      <c r="B310" s="498" t="s">
        <v>271</v>
      </c>
      <c r="C310" s="479">
        <f>SUM(D310:E310)</f>
        <v>55300</v>
      </c>
      <c r="D310" s="480">
        <f>F310+H310</f>
        <v>55300</v>
      </c>
      <c r="E310" s="481"/>
      <c r="F310" s="499"/>
      <c r="G310" s="473"/>
      <c r="H310" s="499">
        <v>55300</v>
      </c>
      <c r="I310" s="496"/>
    </row>
    <row r="311" spans="1:9" ht="12">
      <c r="A311" s="557"/>
      <c r="B311" s="558" t="s">
        <v>295</v>
      </c>
      <c r="C311" s="552">
        <f>SUM(D311:E311)</f>
        <v>2000</v>
      </c>
      <c r="D311" s="559">
        <f>F311+H311</f>
        <v>2000</v>
      </c>
      <c r="E311" s="560"/>
      <c r="F311" s="561"/>
      <c r="G311" s="629"/>
      <c r="H311" s="561">
        <v>2000</v>
      </c>
      <c r="I311" s="709"/>
    </row>
    <row r="312" spans="1:9" ht="12">
      <c r="A312" s="508">
        <v>80110</v>
      </c>
      <c r="B312" s="596" t="s">
        <v>334</v>
      </c>
      <c r="C312" s="500">
        <f>SUM(C313)+C319</f>
        <v>17115000</v>
      </c>
      <c r="D312" s="501">
        <f>SUM(D313)+D319</f>
        <v>17115000</v>
      </c>
      <c r="E312" s="502"/>
      <c r="F312" s="503">
        <f>SUM(F313)+F319</f>
        <v>17115000</v>
      </c>
      <c r="G312" s="502"/>
      <c r="H312" s="672"/>
      <c r="I312" s="504"/>
    </row>
    <row r="313" spans="1:9" ht="12" customHeight="1">
      <c r="A313" s="469"/>
      <c r="B313" s="494" t="s">
        <v>270</v>
      </c>
      <c r="C313" s="471">
        <f>SUM(C314:C317)</f>
        <v>17090600</v>
      </c>
      <c r="D313" s="472">
        <f>SUM(D314:D317)</f>
        <v>17090600</v>
      </c>
      <c r="E313" s="473"/>
      <c r="F313" s="474">
        <f>SUM(F314:F317)</f>
        <v>17090600</v>
      </c>
      <c r="G313" s="554"/>
      <c r="H313" s="550"/>
      <c r="I313" s="556"/>
    </row>
    <row r="314" spans="1:9" ht="11.25" customHeight="1">
      <c r="A314" s="469"/>
      <c r="B314" s="478" t="s">
        <v>291</v>
      </c>
      <c r="C314" s="479">
        <f>SUM(D314:E314)</f>
        <v>14299500</v>
      </c>
      <c r="D314" s="480">
        <f>F314+H314</f>
        <v>14299500</v>
      </c>
      <c r="E314" s="481"/>
      <c r="F314" s="499">
        <v>14299500</v>
      </c>
      <c r="G314" s="473"/>
      <c r="H314" s="499"/>
      <c r="I314" s="496"/>
    </row>
    <row r="315" spans="1:9" ht="11.25" customHeight="1">
      <c r="A315" s="469"/>
      <c r="B315" s="478" t="s">
        <v>292</v>
      </c>
      <c r="C315" s="479"/>
      <c r="D315" s="480"/>
      <c r="E315" s="481"/>
      <c r="F315" s="499"/>
      <c r="G315" s="473"/>
      <c r="H315" s="499"/>
      <c r="I315" s="496"/>
    </row>
    <row r="316" spans="1:9" ht="11.25" customHeight="1">
      <c r="A316" s="469"/>
      <c r="B316" s="498" t="s">
        <v>288</v>
      </c>
      <c r="C316" s="479">
        <f>SUM(D316:E316)</f>
        <v>284000</v>
      </c>
      <c r="D316" s="480">
        <f>F316+H316</f>
        <v>284000</v>
      </c>
      <c r="E316" s="481"/>
      <c r="F316" s="499">
        <v>284000</v>
      </c>
      <c r="G316" s="473"/>
      <c r="H316" s="499"/>
      <c r="I316" s="496"/>
    </row>
    <row r="317" spans="1:9" ht="11.25" customHeight="1">
      <c r="A317" s="469"/>
      <c r="B317" s="498" t="s">
        <v>271</v>
      </c>
      <c r="C317" s="479">
        <f>SUM(D317:E317)</f>
        <v>2507100</v>
      </c>
      <c r="D317" s="480">
        <f>F317+H317</f>
        <v>2507100</v>
      </c>
      <c r="E317" s="481"/>
      <c r="F317" s="499">
        <v>2507100</v>
      </c>
      <c r="G317" s="473"/>
      <c r="H317" s="499"/>
      <c r="I317" s="496"/>
    </row>
    <row r="318" spans="1:9" ht="12">
      <c r="A318" s="469"/>
      <c r="B318" s="478" t="s">
        <v>295</v>
      </c>
      <c r="C318" s="479">
        <f>SUM(D318:E318)</f>
        <v>43300</v>
      </c>
      <c r="D318" s="480">
        <f>F318+H318</f>
        <v>43300</v>
      </c>
      <c r="E318" s="481"/>
      <c r="F318" s="499">
        <v>43300</v>
      </c>
      <c r="G318" s="473"/>
      <c r="H318" s="499"/>
      <c r="I318" s="496"/>
    </row>
    <row r="319" spans="1:9" ht="13.5" customHeight="1">
      <c r="A319" s="469"/>
      <c r="B319" s="470" t="s">
        <v>266</v>
      </c>
      <c r="C319" s="471">
        <f>SUM(C320)</f>
        <v>24400</v>
      </c>
      <c r="D319" s="472">
        <f>F319+H319</f>
        <v>24400</v>
      </c>
      <c r="E319" s="473"/>
      <c r="F319" s="495">
        <f>SUM(F320)</f>
        <v>24400</v>
      </c>
      <c r="G319" s="473"/>
      <c r="H319" s="495"/>
      <c r="I319" s="496"/>
    </row>
    <row r="320" spans="1:9" ht="13.5" customHeight="1">
      <c r="A320" s="469"/>
      <c r="B320" s="478" t="s">
        <v>280</v>
      </c>
      <c r="C320" s="552">
        <f>SUM(D320:E320)</f>
        <v>24400</v>
      </c>
      <c r="D320" s="480">
        <f>F320+H320</f>
        <v>24400</v>
      </c>
      <c r="E320" s="560"/>
      <c r="F320" s="601">
        <v>24400</v>
      </c>
      <c r="G320" s="473"/>
      <c r="H320" s="499"/>
      <c r="I320" s="505"/>
    </row>
    <row r="321" spans="1:9" s="485" customFormat="1" ht="12">
      <c r="A321" s="508">
        <v>80111</v>
      </c>
      <c r="B321" s="596" t="s">
        <v>335</v>
      </c>
      <c r="C321" s="500">
        <f>SUM(C322)</f>
        <v>1769500</v>
      </c>
      <c r="D321" s="501">
        <f>SUM(D322)</f>
        <v>1769500</v>
      </c>
      <c r="E321" s="502"/>
      <c r="F321" s="660"/>
      <c r="G321" s="661"/>
      <c r="H321" s="503">
        <f>SUM(H322)</f>
        <v>1769500</v>
      </c>
      <c r="I321" s="504"/>
    </row>
    <row r="322" spans="1:9" ht="12.75">
      <c r="A322" s="469"/>
      <c r="B322" s="494" t="s">
        <v>270</v>
      </c>
      <c r="C322" s="471">
        <f>SUM(C323:C325)</f>
        <v>1769500</v>
      </c>
      <c r="D322" s="472">
        <f>SUM(D323:D325)</f>
        <v>1769500</v>
      </c>
      <c r="E322" s="473"/>
      <c r="F322" s="474"/>
      <c r="G322" s="554"/>
      <c r="H322" s="474">
        <f>SUM(H323:H325)</f>
        <v>1769500</v>
      </c>
      <c r="I322" s="556"/>
    </row>
    <row r="323" spans="1:9" ht="10.5" customHeight="1">
      <c r="A323" s="469"/>
      <c r="B323" s="478" t="s">
        <v>291</v>
      </c>
      <c r="C323" s="479">
        <f>SUM(D323:E323)</f>
        <v>1513500</v>
      </c>
      <c r="D323" s="480">
        <f>F323+H323</f>
        <v>1513500</v>
      </c>
      <c r="E323" s="481"/>
      <c r="F323" s="499"/>
      <c r="G323" s="473"/>
      <c r="H323" s="499">
        <v>1513500</v>
      </c>
      <c r="I323" s="496"/>
    </row>
    <row r="324" spans="1:9" ht="10.5" customHeight="1">
      <c r="A324" s="469"/>
      <c r="B324" s="478" t="s">
        <v>292</v>
      </c>
      <c r="C324" s="479"/>
      <c r="D324" s="480"/>
      <c r="E324" s="481"/>
      <c r="F324" s="499"/>
      <c r="G324" s="473"/>
      <c r="H324" s="499"/>
      <c r="I324" s="496"/>
    </row>
    <row r="325" spans="1:9" ht="10.5" customHeight="1">
      <c r="A325" s="469"/>
      <c r="B325" s="498" t="s">
        <v>271</v>
      </c>
      <c r="C325" s="479">
        <f>SUM(D325:E325)</f>
        <v>256000</v>
      </c>
      <c r="D325" s="480">
        <f>F325+H325</f>
        <v>256000</v>
      </c>
      <c r="E325" s="481"/>
      <c r="F325" s="499"/>
      <c r="G325" s="473"/>
      <c r="H325" s="499">
        <v>256000</v>
      </c>
      <c r="I325" s="496"/>
    </row>
    <row r="326" spans="1:9" ht="10.5" customHeight="1">
      <c r="A326" s="469"/>
      <c r="B326" s="478" t="s">
        <v>295</v>
      </c>
      <c r="C326" s="479">
        <f>SUM(D326:E326)</f>
        <v>5000</v>
      </c>
      <c r="D326" s="480">
        <f>F326+H326</f>
        <v>5000</v>
      </c>
      <c r="E326" s="481"/>
      <c r="F326" s="499"/>
      <c r="G326" s="473"/>
      <c r="H326" s="499">
        <v>5000</v>
      </c>
      <c r="I326" s="496"/>
    </row>
    <row r="327" spans="1:9" s="485" customFormat="1" ht="11.25" customHeight="1">
      <c r="A327" s="508">
        <v>80120</v>
      </c>
      <c r="B327" s="596" t="s">
        <v>336</v>
      </c>
      <c r="C327" s="500">
        <f>C328+C334</f>
        <v>12050900</v>
      </c>
      <c r="D327" s="501">
        <f>D328+D334</f>
        <v>12050900</v>
      </c>
      <c r="E327" s="502"/>
      <c r="F327" s="660"/>
      <c r="G327" s="661"/>
      <c r="H327" s="503">
        <f>H328+H334</f>
        <v>12050900</v>
      </c>
      <c r="I327" s="504"/>
    </row>
    <row r="328" spans="1:9" ht="12.75">
      <c r="A328" s="469"/>
      <c r="B328" s="494" t="s">
        <v>270</v>
      </c>
      <c r="C328" s="471">
        <f>SUM(C329:C332)</f>
        <v>12050900</v>
      </c>
      <c r="D328" s="472">
        <f>SUM(D329:D332)</f>
        <v>12050900</v>
      </c>
      <c r="E328" s="473"/>
      <c r="F328" s="474"/>
      <c r="G328" s="554"/>
      <c r="H328" s="474">
        <f>SUM(H329:H332)</f>
        <v>12050900</v>
      </c>
      <c r="I328" s="556"/>
    </row>
    <row r="329" spans="1:9" ht="10.5" customHeight="1">
      <c r="A329" s="469"/>
      <c r="B329" s="478" t="s">
        <v>291</v>
      </c>
      <c r="C329" s="479">
        <f>SUM(D329:E329)</f>
        <v>9283000</v>
      </c>
      <c r="D329" s="480">
        <f>F329+H329</f>
        <v>9283000</v>
      </c>
      <c r="E329" s="481"/>
      <c r="F329" s="499"/>
      <c r="G329" s="473"/>
      <c r="H329" s="499">
        <v>9283000</v>
      </c>
      <c r="I329" s="496"/>
    </row>
    <row r="330" spans="1:9" ht="11.25" customHeight="1">
      <c r="A330" s="469"/>
      <c r="B330" s="478" t="s">
        <v>292</v>
      </c>
      <c r="C330" s="479"/>
      <c r="D330" s="480"/>
      <c r="E330" s="481"/>
      <c r="F330" s="499"/>
      <c r="G330" s="473"/>
      <c r="H330" s="499"/>
      <c r="I330" s="496"/>
    </row>
    <row r="331" spans="1:9" ht="11.25" customHeight="1">
      <c r="A331" s="469"/>
      <c r="B331" s="498" t="s">
        <v>288</v>
      </c>
      <c r="C331" s="479">
        <f>SUM(D331:E331)</f>
        <v>1200000</v>
      </c>
      <c r="D331" s="480">
        <f>F331+H331</f>
        <v>1200000</v>
      </c>
      <c r="E331" s="481"/>
      <c r="F331" s="499"/>
      <c r="G331" s="473"/>
      <c r="H331" s="499">
        <v>1200000</v>
      </c>
      <c r="I331" s="496"/>
    </row>
    <row r="332" spans="1:9" ht="11.25" customHeight="1">
      <c r="A332" s="469"/>
      <c r="B332" s="498" t="s">
        <v>271</v>
      </c>
      <c r="C332" s="479">
        <f>SUM(D332:E332)</f>
        <v>1567900</v>
      </c>
      <c r="D332" s="480">
        <f>F332+H332</f>
        <v>1567900</v>
      </c>
      <c r="E332" s="481"/>
      <c r="F332" s="499"/>
      <c r="G332" s="473"/>
      <c r="H332" s="499">
        <v>1567900</v>
      </c>
      <c r="I332" s="496"/>
    </row>
    <row r="333" spans="1:9" ht="12">
      <c r="A333" s="469"/>
      <c r="B333" s="478" t="s">
        <v>295</v>
      </c>
      <c r="C333" s="479">
        <f>SUM(D333:E333)</f>
        <v>29500</v>
      </c>
      <c r="D333" s="480">
        <f>F333+H333</f>
        <v>29500</v>
      </c>
      <c r="E333" s="481"/>
      <c r="F333" s="499"/>
      <c r="G333" s="473"/>
      <c r="H333" s="499">
        <v>29500</v>
      </c>
      <c r="I333" s="496"/>
    </row>
    <row r="334" spans="1:9" ht="12.75" hidden="1">
      <c r="A334" s="469"/>
      <c r="B334" s="470" t="s">
        <v>328</v>
      </c>
      <c r="C334" s="471">
        <f>SUM(C335)</f>
        <v>0</v>
      </c>
      <c r="D334" s="472">
        <f>F334+H334</f>
        <v>0</v>
      </c>
      <c r="E334" s="473"/>
      <c r="F334" s="474"/>
      <c r="G334" s="475"/>
      <c r="H334" s="474">
        <f>SUM(H335)</f>
        <v>0</v>
      </c>
      <c r="I334" s="476"/>
    </row>
    <row r="335" spans="1:9" s="485" customFormat="1" ht="12" hidden="1">
      <c r="A335" s="477"/>
      <c r="B335" s="478" t="s">
        <v>280</v>
      </c>
      <c r="C335" s="479">
        <f>SUM(D335:E335)</f>
        <v>0</v>
      </c>
      <c r="D335" s="480">
        <f>F335+H335</f>
        <v>0</v>
      </c>
      <c r="E335" s="481"/>
      <c r="F335" s="499"/>
      <c r="G335" s="481"/>
      <c r="H335" s="499">
        <v>0</v>
      </c>
      <c r="I335" s="505"/>
    </row>
    <row r="336" spans="1:9" s="485" customFormat="1" ht="12">
      <c r="A336" s="508">
        <v>80123</v>
      </c>
      <c r="B336" s="596" t="s">
        <v>337</v>
      </c>
      <c r="C336" s="500">
        <f>SUM(C337)</f>
        <v>1507600</v>
      </c>
      <c r="D336" s="501">
        <f>SUM(D337)</f>
        <v>1507600</v>
      </c>
      <c r="E336" s="502"/>
      <c r="F336" s="660"/>
      <c r="G336" s="661"/>
      <c r="H336" s="503">
        <f>SUM(H337)</f>
        <v>1507600</v>
      </c>
      <c r="I336" s="504"/>
    </row>
    <row r="337" spans="1:9" ht="11.25" customHeight="1">
      <c r="A337" s="469"/>
      <c r="B337" s="494" t="s">
        <v>270</v>
      </c>
      <c r="C337" s="471">
        <f>SUM(C338:C340)</f>
        <v>1507600</v>
      </c>
      <c r="D337" s="472">
        <f>SUM(D338:D340)</f>
        <v>1507600</v>
      </c>
      <c r="E337" s="473"/>
      <c r="F337" s="474"/>
      <c r="G337" s="554"/>
      <c r="H337" s="474">
        <f>SUM(H338:H340)</f>
        <v>1507600</v>
      </c>
      <c r="I337" s="556"/>
    </row>
    <row r="338" spans="1:9" ht="9.75" customHeight="1">
      <c r="A338" s="469"/>
      <c r="B338" s="478" t="s">
        <v>291</v>
      </c>
      <c r="C338" s="479">
        <f>SUM(D338:E338)</f>
        <v>1307300</v>
      </c>
      <c r="D338" s="480">
        <f>F338+H338</f>
        <v>1307300</v>
      </c>
      <c r="E338" s="481"/>
      <c r="F338" s="499"/>
      <c r="G338" s="473"/>
      <c r="H338" s="499">
        <v>1307300</v>
      </c>
      <c r="I338" s="496"/>
    </row>
    <row r="339" spans="1:9" ht="9.75" customHeight="1">
      <c r="A339" s="469"/>
      <c r="B339" s="478" t="s">
        <v>292</v>
      </c>
      <c r="C339" s="479"/>
      <c r="D339" s="480"/>
      <c r="E339" s="481"/>
      <c r="F339" s="499"/>
      <c r="G339" s="473"/>
      <c r="H339" s="499"/>
      <c r="I339" s="496"/>
    </row>
    <row r="340" spans="1:9" ht="9.75" customHeight="1">
      <c r="A340" s="469"/>
      <c r="B340" s="498" t="s">
        <v>271</v>
      </c>
      <c r="C340" s="479">
        <f>SUM(D340:E340)</f>
        <v>200300</v>
      </c>
      <c r="D340" s="480">
        <f>F340+H340</f>
        <v>200300</v>
      </c>
      <c r="E340" s="481"/>
      <c r="F340" s="499"/>
      <c r="G340" s="473"/>
      <c r="H340" s="499">
        <v>200300</v>
      </c>
      <c r="I340" s="496"/>
    </row>
    <row r="341" spans="1:9" ht="9.75" customHeight="1">
      <c r="A341" s="469"/>
      <c r="B341" s="478" t="s">
        <v>295</v>
      </c>
      <c r="C341" s="479">
        <f>SUM(D341:E341)</f>
        <v>2400</v>
      </c>
      <c r="D341" s="480">
        <f>F341+H341</f>
        <v>2400</v>
      </c>
      <c r="E341" s="481"/>
      <c r="F341" s="499"/>
      <c r="G341" s="473"/>
      <c r="H341" s="499">
        <v>2400</v>
      </c>
      <c r="I341" s="496"/>
    </row>
    <row r="342" spans="1:9" s="485" customFormat="1" ht="11.25" customHeight="1">
      <c r="A342" s="508">
        <v>80130</v>
      </c>
      <c r="B342" s="596" t="s">
        <v>338</v>
      </c>
      <c r="C342" s="500">
        <f>SUM(C343)</f>
        <v>15855200</v>
      </c>
      <c r="D342" s="501">
        <f>SUM(D343)</f>
        <v>15855200</v>
      </c>
      <c r="E342" s="502"/>
      <c r="F342" s="660"/>
      <c r="G342" s="661"/>
      <c r="H342" s="503">
        <f>SUM(H343)</f>
        <v>15855200</v>
      </c>
      <c r="I342" s="504"/>
    </row>
    <row r="343" spans="1:9" ht="10.5" customHeight="1">
      <c r="A343" s="469"/>
      <c r="B343" s="494" t="s">
        <v>270</v>
      </c>
      <c r="C343" s="471">
        <f>SUM(C344:C347)</f>
        <v>15855200</v>
      </c>
      <c r="D343" s="472">
        <f>SUM(D344:D347)</f>
        <v>15855200</v>
      </c>
      <c r="E343" s="473"/>
      <c r="F343" s="474"/>
      <c r="G343" s="554"/>
      <c r="H343" s="474">
        <f>SUM(H344:H347)</f>
        <v>15855200</v>
      </c>
      <c r="I343" s="556"/>
    </row>
    <row r="344" spans="1:9" ht="12">
      <c r="A344" s="469"/>
      <c r="B344" s="478" t="s">
        <v>291</v>
      </c>
      <c r="C344" s="479">
        <f>SUM(D344:E344)</f>
        <v>12302000</v>
      </c>
      <c r="D344" s="480">
        <f>F344+H344</f>
        <v>12302000</v>
      </c>
      <c r="E344" s="481"/>
      <c r="F344" s="499"/>
      <c r="G344" s="473"/>
      <c r="H344" s="499">
        <v>12302000</v>
      </c>
      <c r="I344" s="496"/>
    </row>
    <row r="345" spans="1:9" ht="10.5" customHeight="1">
      <c r="A345" s="469"/>
      <c r="B345" s="478" t="s">
        <v>292</v>
      </c>
      <c r="C345" s="479"/>
      <c r="D345" s="480"/>
      <c r="E345" s="481"/>
      <c r="F345" s="499"/>
      <c r="G345" s="473"/>
      <c r="H345" s="499"/>
      <c r="I345" s="496"/>
    </row>
    <row r="346" spans="1:9" ht="11.25" customHeight="1">
      <c r="A346" s="469"/>
      <c r="B346" s="498" t="s">
        <v>288</v>
      </c>
      <c r="C346" s="479">
        <f>SUM(D346:E346)</f>
        <v>1100000</v>
      </c>
      <c r="D346" s="480">
        <f>F346+H346</f>
        <v>1100000</v>
      </c>
      <c r="E346" s="481"/>
      <c r="F346" s="499"/>
      <c r="G346" s="473"/>
      <c r="H346" s="499">
        <v>1100000</v>
      </c>
      <c r="I346" s="496"/>
    </row>
    <row r="347" spans="1:9" ht="12">
      <c r="A347" s="469"/>
      <c r="B347" s="498" t="s">
        <v>271</v>
      </c>
      <c r="C347" s="479">
        <f>SUM(D347:E347)</f>
        <v>2453200</v>
      </c>
      <c r="D347" s="480">
        <f>F347+H347</f>
        <v>2453200</v>
      </c>
      <c r="E347" s="481"/>
      <c r="F347" s="499"/>
      <c r="G347" s="473"/>
      <c r="H347" s="499">
        <v>2453200</v>
      </c>
      <c r="I347" s="496"/>
    </row>
    <row r="348" spans="1:9" ht="12" customHeight="1">
      <c r="A348" s="469"/>
      <c r="B348" s="478" t="s">
        <v>295</v>
      </c>
      <c r="C348" s="479">
        <f>SUM(D348:E348)</f>
        <v>37600</v>
      </c>
      <c r="D348" s="480">
        <f>F348+H348</f>
        <v>37600</v>
      </c>
      <c r="E348" s="481"/>
      <c r="F348" s="499"/>
      <c r="G348" s="473"/>
      <c r="H348" s="499">
        <v>37600</v>
      </c>
      <c r="I348" s="496"/>
    </row>
    <row r="349" spans="1:9" s="485" customFormat="1" ht="24" hidden="1">
      <c r="A349" s="508">
        <v>80131</v>
      </c>
      <c r="B349" s="596" t="s">
        <v>339</v>
      </c>
      <c r="C349" s="500">
        <f>SUM(C350)</f>
        <v>0</v>
      </c>
      <c r="D349" s="501">
        <f>SUM(D350)</f>
        <v>0</v>
      </c>
      <c r="E349" s="502"/>
      <c r="F349" s="660"/>
      <c r="G349" s="661"/>
      <c r="H349" s="503"/>
      <c r="I349" s="504"/>
    </row>
    <row r="350" spans="1:9" ht="12.75" hidden="1">
      <c r="A350" s="469"/>
      <c r="B350" s="494" t="s">
        <v>270</v>
      </c>
      <c r="C350" s="471">
        <f>SUM(C351:C354)</f>
        <v>0</v>
      </c>
      <c r="D350" s="472">
        <f>SUM(D351:D354)</f>
        <v>0</v>
      </c>
      <c r="E350" s="473"/>
      <c r="F350" s="474"/>
      <c r="G350" s="554"/>
      <c r="H350" s="474"/>
      <c r="I350" s="556"/>
    </row>
    <row r="351" spans="1:9" ht="12.75" hidden="1">
      <c r="A351" s="469"/>
      <c r="B351" s="478" t="s">
        <v>291</v>
      </c>
      <c r="C351" s="479">
        <f>SUM(D351:E351)</f>
        <v>0</v>
      </c>
      <c r="D351" s="480">
        <f>F351+H351</f>
        <v>0</v>
      </c>
      <c r="E351" s="481"/>
      <c r="F351" s="482"/>
      <c r="G351" s="475"/>
      <c r="H351" s="482"/>
      <c r="I351" s="476"/>
    </row>
    <row r="352" spans="1:9" ht="12.75" hidden="1">
      <c r="A352" s="469"/>
      <c r="B352" s="478" t="s">
        <v>292</v>
      </c>
      <c r="C352" s="479"/>
      <c r="D352" s="480"/>
      <c r="E352" s="481"/>
      <c r="F352" s="482"/>
      <c r="G352" s="475"/>
      <c r="H352" s="482"/>
      <c r="I352" s="476"/>
    </row>
    <row r="353" spans="1:9" ht="12.75" hidden="1">
      <c r="A353" s="469"/>
      <c r="B353" s="498" t="s">
        <v>288</v>
      </c>
      <c r="C353" s="479">
        <f>SUM(D353:E353)</f>
        <v>0</v>
      </c>
      <c r="D353" s="480">
        <f>F353+H353</f>
        <v>0</v>
      </c>
      <c r="E353" s="481"/>
      <c r="F353" s="482"/>
      <c r="G353" s="475"/>
      <c r="H353" s="482"/>
      <c r="I353" s="476"/>
    </row>
    <row r="354" spans="1:9" ht="12.75" hidden="1">
      <c r="A354" s="557"/>
      <c r="B354" s="592" t="s">
        <v>271</v>
      </c>
      <c r="C354" s="552">
        <f>SUM(D354:E354)</f>
        <v>0</v>
      </c>
      <c r="D354" s="559">
        <f>F354+H354</f>
        <v>0</v>
      </c>
      <c r="E354" s="560"/>
      <c r="F354" s="594"/>
      <c r="G354" s="562"/>
      <c r="H354" s="594"/>
      <c r="I354" s="564"/>
    </row>
    <row r="355" spans="1:9" s="485" customFormat="1" ht="34.5" customHeight="1">
      <c r="A355" s="508">
        <v>80132</v>
      </c>
      <c r="B355" s="596" t="s">
        <v>340</v>
      </c>
      <c r="C355" s="500">
        <f>SUM(C356)</f>
        <v>206800</v>
      </c>
      <c r="D355" s="501">
        <f>SUM(D356)</f>
        <v>206800</v>
      </c>
      <c r="E355" s="502"/>
      <c r="F355" s="660"/>
      <c r="G355" s="661"/>
      <c r="H355" s="503">
        <f>SUM(H356)</f>
        <v>206800</v>
      </c>
      <c r="I355" s="504"/>
    </row>
    <row r="356" spans="1:9" ht="12" customHeight="1">
      <c r="A356" s="469"/>
      <c r="B356" s="494" t="s">
        <v>270</v>
      </c>
      <c r="C356" s="471">
        <f>SUM(C357:C359)</f>
        <v>206800</v>
      </c>
      <c r="D356" s="472">
        <f>SUM(D357:D359)</f>
        <v>206800</v>
      </c>
      <c r="E356" s="473"/>
      <c r="F356" s="474"/>
      <c r="G356" s="554"/>
      <c r="H356" s="474">
        <f>SUM(H357:H359)</f>
        <v>206800</v>
      </c>
      <c r="I356" s="556"/>
    </row>
    <row r="357" spans="1:9" ht="12">
      <c r="A357" s="469"/>
      <c r="B357" s="478" t="s">
        <v>291</v>
      </c>
      <c r="C357" s="479">
        <f>SUM(D357:E357)</f>
        <v>183400</v>
      </c>
      <c r="D357" s="480">
        <f>F357+H357</f>
        <v>183400</v>
      </c>
      <c r="E357" s="481"/>
      <c r="F357" s="499"/>
      <c r="G357" s="473"/>
      <c r="H357" s="499">
        <v>183400</v>
      </c>
      <c r="I357" s="496"/>
    </row>
    <row r="358" spans="1:9" ht="11.25" customHeight="1">
      <c r="A358" s="469"/>
      <c r="B358" s="478" t="s">
        <v>292</v>
      </c>
      <c r="C358" s="479"/>
      <c r="D358" s="480"/>
      <c r="E358" s="481"/>
      <c r="F358" s="499"/>
      <c r="G358" s="473"/>
      <c r="H358" s="499"/>
      <c r="I358" s="496"/>
    </row>
    <row r="359" spans="1:9" ht="10.5" customHeight="1">
      <c r="A359" s="557"/>
      <c r="B359" s="592" t="s">
        <v>271</v>
      </c>
      <c r="C359" s="552">
        <f>SUM(D359:E359)</f>
        <v>23400</v>
      </c>
      <c r="D359" s="559">
        <f>F359+H359</f>
        <v>23400</v>
      </c>
      <c r="E359" s="560"/>
      <c r="F359" s="561"/>
      <c r="G359" s="629"/>
      <c r="H359" s="561">
        <v>23400</v>
      </c>
      <c r="I359" s="709"/>
    </row>
    <row r="360" spans="1:9" s="485" customFormat="1" ht="24" hidden="1">
      <c r="A360" s="508">
        <v>80133</v>
      </c>
      <c r="B360" s="596" t="s">
        <v>341</v>
      </c>
      <c r="C360" s="500">
        <f>SUM(C361)</f>
        <v>0</v>
      </c>
      <c r="D360" s="501">
        <f>SUM(D361)</f>
        <v>0</v>
      </c>
      <c r="E360" s="502"/>
      <c r="F360" s="660"/>
      <c r="G360" s="661"/>
      <c r="H360" s="503">
        <f>SUM(H361)</f>
        <v>0</v>
      </c>
      <c r="I360" s="504"/>
    </row>
    <row r="361" spans="1:9" ht="12.75" hidden="1">
      <c r="A361" s="614"/>
      <c r="B361" s="615" t="s">
        <v>270</v>
      </c>
      <c r="C361" s="566">
        <f>SUM(C362)</f>
        <v>0</v>
      </c>
      <c r="D361" s="616">
        <f>SUM(D362)</f>
        <v>0</v>
      </c>
      <c r="E361" s="617"/>
      <c r="F361" s="618"/>
      <c r="G361" s="619"/>
      <c r="H361" s="618">
        <f>SUM(H362)</f>
        <v>0</v>
      </c>
      <c r="I361" s="675"/>
    </row>
    <row r="362" spans="1:9" ht="12.75" hidden="1">
      <c r="A362" s="557"/>
      <c r="B362" s="592" t="s">
        <v>288</v>
      </c>
      <c r="C362" s="552">
        <f>SUM(D362:E362)</f>
        <v>0</v>
      </c>
      <c r="D362" s="559">
        <f>F362+H362</f>
        <v>0</v>
      </c>
      <c r="E362" s="560"/>
      <c r="F362" s="594"/>
      <c r="G362" s="562"/>
      <c r="H362" s="594"/>
      <c r="I362" s="564"/>
    </row>
    <row r="363" spans="1:11" s="485" customFormat="1" ht="24">
      <c r="A363" s="508">
        <v>80134</v>
      </c>
      <c r="B363" s="596" t="s">
        <v>342</v>
      </c>
      <c r="C363" s="500">
        <f>SUM(C364)</f>
        <v>1132600</v>
      </c>
      <c r="D363" s="501">
        <f>SUM(D364)</f>
        <v>1132600</v>
      </c>
      <c r="E363" s="502"/>
      <c r="F363" s="660"/>
      <c r="G363" s="661"/>
      <c r="H363" s="503">
        <f>SUM(H364)</f>
        <v>1132600</v>
      </c>
      <c r="I363" s="504"/>
      <c r="J363" s="713"/>
      <c r="K363" s="714"/>
    </row>
    <row r="364" spans="1:9" ht="12.75">
      <c r="A364" s="614"/>
      <c r="B364" s="615" t="s">
        <v>270</v>
      </c>
      <c r="C364" s="566">
        <f>SUM(C365:C367)</f>
        <v>1132600</v>
      </c>
      <c r="D364" s="616">
        <f>SUM(D365:D367)</f>
        <v>1132600</v>
      </c>
      <c r="E364" s="617"/>
      <c r="F364" s="618"/>
      <c r="G364" s="619"/>
      <c r="H364" s="618">
        <f>SUM(H365:H367)</f>
        <v>1132600</v>
      </c>
      <c r="I364" s="675"/>
    </row>
    <row r="365" spans="1:9" ht="12">
      <c r="A365" s="469"/>
      <c r="B365" s="478" t="s">
        <v>291</v>
      </c>
      <c r="C365" s="479">
        <f>SUM(D365:E365)</f>
        <v>991500</v>
      </c>
      <c r="D365" s="480">
        <f>F365+H365</f>
        <v>991500</v>
      </c>
      <c r="E365" s="481"/>
      <c r="F365" s="499"/>
      <c r="G365" s="473"/>
      <c r="H365" s="499">
        <v>991500</v>
      </c>
      <c r="I365" s="496"/>
    </row>
    <row r="366" spans="1:9" ht="12">
      <c r="A366" s="469"/>
      <c r="B366" s="478" t="s">
        <v>292</v>
      </c>
      <c r="C366" s="479"/>
      <c r="D366" s="480"/>
      <c r="E366" s="481"/>
      <c r="F366" s="499"/>
      <c r="G366" s="473"/>
      <c r="H366" s="499"/>
      <c r="I366" s="496"/>
    </row>
    <row r="367" spans="1:9" ht="12">
      <c r="A367" s="469"/>
      <c r="B367" s="498" t="s">
        <v>271</v>
      </c>
      <c r="C367" s="479">
        <f>SUM(D367:E367)</f>
        <v>141100</v>
      </c>
      <c r="D367" s="480">
        <f>F367+H367</f>
        <v>141100</v>
      </c>
      <c r="E367" s="481"/>
      <c r="F367" s="499"/>
      <c r="G367" s="473"/>
      <c r="H367" s="499">
        <v>141100</v>
      </c>
      <c r="I367" s="496"/>
    </row>
    <row r="368" spans="1:9" ht="12" customHeight="1">
      <c r="A368" s="557"/>
      <c r="B368" s="558" t="s">
        <v>295</v>
      </c>
      <c r="C368" s="552">
        <f>SUM(D368:E368)</f>
        <v>2400</v>
      </c>
      <c r="D368" s="559">
        <f>F368+H368</f>
        <v>2400</v>
      </c>
      <c r="E368" s="560"/>
      <c r="F368" s="561"/>
      <c r="G368" s="629"/>
      <c r="H368" s="561">
        <v>2400</v>
      </c>
      <c r="I368" s="709"/>
    </row>
    <row r="369" spans="1:9" s="485" customFormat="1" ht="63" customHeight="1">
      <c r="A369" s="508">
        <v>80140</v>
      </c>
      <c r="B369" s="596" t="s">
        <v>343</v>
      </c>
      <c r="C369" s="500">
        <f>SUM(C370)</f>
        <v>2748500</v>
      </c>
      <c r="D369" s="501">
        <f>SUM(D370)</f>
        <v>2748500</v>
      </c>
      <c r="E369" s="502"/>
      <c r="F369" s="660"/>
      <c r="G369" s="661"/>
      <c r="H369" s="503">
        <f>SUM(H370)</f>
        <v>2748500</v>
      </c>
      <c r="I369" s="504"/>
    </row>
    <row r="370" spans="1:9" ht="12" customHeight="1">
      <c r="A370" s="469"/>
      <c r="B370" s="494" t="s">
        <v>270</v>
      </c>
      <c r="C370" s="471">
        <f>SUM(C371:C373)</f>
        <v>2748500</v>
      </c>
      <c r="D370" s="472">
        <f>SUM(D371:D373)</f>
        <v>2748500</v>
      </c>
      <c r="E370" s="473"/>
      <c r="F370" s="474"/>
      <c r="G370" s="554"/>
      <c r="H370" s="474">
        <f>SUM(H371:H373)</f>
        <v>2748500</v>
      </c>
      <c r="I370" s="556"/>
    </row>
    <row r="371" spans="1:9" ht="12">
      <c r="A371" s="469"/>
      <c r="B371" s="478" t="s">
        <v>291</v>
      </c>
      <c r="C371" s="479">
        <f>SUM(D371:E371)</f>
        <v>2355000</v>
      </c>
      <c r="D371" s="480">
        <f>F371+H371</f>
        <v>2355000</v>
      </c>
      <c r="E371" s="481"/>
      <c r="F371" s="499"/>
      <c r="G371" s="473"/>
      <c r="H371" s="499">
        <v>2355000</v>
      </c>
      <c r="I371" s="496"/>
    </row>
    <row r="372" spans="1:9" ht="12">
      <c r="A372" s="469"/>
      <c r="B372" s="478" t="s">
        <v>292</v>
      </c>
      <c r="C372" s="479"/>
      <c r="D372" s="480"/>
      <c r="E372" s="481"/>
      <c r="F372" s="499"/>
      <c r="G372" s="473"/>
      <c r="H372" s="499"/>
      <c r="I372" s="496"/>
    </row>
    <row r="373" spans="1:9" ht="9.75" customHeight="1">
      <c r="A373" s="469"/>
      <c r="B373" s="498" t="s">
        <v>271</v>
      </c>
      <c r="C373" s="479">
        <f>SUM(D373:E373)</f>
        <v>393500</v>
      </c>
      <c r="D373" s="480">
        <f>F373+H373</f>
        <v>393500</v>
      </c>
      <c r="E373" s="481"/>
      <c r="F373" s="499"/>
      <c r="G373" s="473"/>
      <c r="H373" s="499">
        <v>393500</v>
      </c>
      <c r="I373" s="496"/>
    </row>
    <row r="374" spans="1:9" ht="12">
      <c r="A374" s="557"/>
      <c r="B374" s="558" t="s">
        <v>295</v>
      </c>
      <c r="C374" s="552">
        <f>SUM(D374:E374)</f>
        <v>7000</v>
      </c>
      <c r="D374" s="559">
        <f>F374+H374</f>
        <v>7000</v>
      </c>
      <c r="E374" s="560"/>
      <c r="F374" s="561"/>
      <c r="G374" s="629"/>
      <c r="H374" s="561">
        <v>7000</v>
      </c>
      <c r="I374" s="709"/>
    </row>
    <row r="375" spans="1:9" ht="13.5" customHeight="1">
      <c r="A375" s="508">
        <v>80145</v>
      </c>
      <c r="B375" s="596" t="s">
        <v>344</v>
      </c>
      <c r="C375" s="500">
        <f>SUM(C376)</f>
        <v>12000</v>
      </c>
      <c r="D375" s="501">
        <f>SUM(D376)</f>
        <v>12000</v>
      </c>
      <c r="E375" s="502"/>
      <c r="F375" s="503">
        <f>SUM(F376)</f>
        <v>7000</v>
      </c>
      <c r="G375" s="502"/>
      <c r="H375" s="503">
        <f>SUM(H376)</f>
        <v>5000</v>
      </c>
      <c r="I375" s="504"/>
    </row>
    <row r="376" spans="1:9" ht="12.75">
      <c r="A376" s="614"/>
      <c r="B376" s="615" t="s">
        <v>270</v>
      </c>
      <c r="C376" s="566">
        <f>SUM(C377)</f>
        <v>12000</v>
      </c>
      <c r="D376" s="616">
        <f>SUM(D377)</f>
        <v>12000</v>
      </c>
      <c r="E376" s="715"/>
      <c r="F376" s="618">
        <f>SUM(F377)</f>
        <v>7000</v>
      </c>
      <c r="G376" s="619"/>
      <c r="H376" s="618">
        <f>SUM(H377)</f>
        <v>5000</v>
      </c>
      <c r="I376" s="675"/>
    </row>
    <row r="377" spans="1:9" ht="12">
      <c r="A377" s="469"/>
      <c r="B377" s="498" t="s">
        <v>271</v>
      </c>
      <c r="C377" s="479">
        <f>SUM(D377:E377)</f>
        <v>12000</v>
      </c>
      <c r="D377" s="480">
        <f>F377+H377</f>
        <v>12000</v>
      </c>
      <c r="E377" s="481"/>
      <c r="F377" s="499">
        <v>7000</v>
      </c>
      <c r="G377" s="473"/>
      <c r="H377" s="499">
        <v>5000</v>
      </c>
      <c r="I377" s="496"/>
    </row>
    <row r="378" spans="1:9" ht="36" customHeight="1">
      <c r="A378" s="508">
        <v>80146</v>
      </c>
      <c r="B378" s="596" t="s">
        <v>345</v>
      </c>
      <c r="C378" s="500">
        <f>SUM(C379)</f>
        <v>471800</v>
      </c>
      <c r="D378" s="501">
        <f>SUM(D379)</f>
        <v>471800</v>
      </c>
      <c r="E378" s="502"/>
      <c r="F378" s="503">
        <f>SUM(F379)</f>
        <v>274800</v>
      </c>
      <c r="G378" s="502"/>
      <c r="H378" s="503">
        <f>SUM(H379)</f>
        <v>197000</v>
      </c>
      <c r="I378" s="504"/>
    </row>
    <row r="379" spans="1:9" ht="12.75">
      <c r="A379" s="614"/>
      <c r="B379" s="615" t="s">
        <v>270</v>
      </c>
      <c r="C379" s="566">
        <f>SUM(C380:C383)</f>
        <v>471800</v>
      </c>
      <c r="D379" s="616">
        <f>SUM(D380:D383)</f>
        <v>471800</v>
      </c>
      <c r="E379" s="617"/>
      <c r="F379" s="618">
        <f>SUM(F380:F383)</f>
        <v>274800</v>
      </c>
      <c r="G379" s="619"/>
      <c r="H379" s="618">
        <f>SUM(H380:H383)</f>
        <v>197000</v>
      </c>
      <c r="I379" s="675"/>
    </row>
    <row r="380" spans="1:9" ht="12">
      <c r="A380" s="469"/>
      <c r="B380" s="478" t="s">
        <v>291</v>
      </c>
      <c r="C380" s="479">
        <f>SUM(D380:E380)</f>
        <v>166000</v>
      </c>
      <c r="D380" s="480">
        <f>F380+H380</f>
        <v>166000</v>
      </c>
      <c r="E380" s="481"/>
      <c r="F380" s="499">
        <v>84800</v>
      </c>
      <c r="G380" s="473"/>
      <c r="H380" s="499">
        <v>81200</v>
      </c>
      <c r="I380" s="496"/>
    </row>
    <row r="381" spans="1:9" ht="12">
      <c r="A381" s="469"/>
      <c r="B381" s="478" t="s">
        <v>292</v>
      </c>
      <c r="C381" s="479"/>
      <c r="D381" s="480"/>
      <c r="E381" s="481"/>
      <c r="F381" s="499"/>
      <c r="G381" s="473"/>
      <c r="H381" s="499"/>
      <c r="I381" s="496"/>
    </row>
    <row r="382" spans="1:9" ht="12">
      <c r="A382" s="469"/>
      <c r="B382" s="478" t="s">
        <v>346</v>
      </c>
      <c r="C382" s="479">
        <f>SUM(D382:E382)</f>
        <v>50700</v>
      </c>
      <c r="D382" s="480">
        <f>F382+H382</f>
        <v>50700</v>
      </c>
      <c r="E382" s="481"/>
      <c r="F382" s="499">
        <v>50700</v>
      </c>
      <c r="G382" s="473"/>
      <c r="H382" s="499"/>
      <c r="I382" s="496"/>
    </row>
    <row r="383" spans="1:9" ht="12">
      <c r="A383" s="469"/>
      <c r="B383" s="498" t="s">
        <v>271</v>
      </c>
      <c r="C383" s="479">
        <f>SUM(D383:E383)</f>
        <v>255100</v>
      </c>
      <c r="D383" s="480">
        <f>F383+H383</f>
        <v>255100</v>
      </c>
      <c r="E383" s="481"/>
      <c r="F383" s="499">
        <v>139300</v>
      </c>
      <c r="G383" s="473"/>
      <c r="H383" s="499">
        <v>115800</v>
      </c>
      <c r="I383" s="496"/>
    </row>
    <row r="384" spans="1:9" ht="15" customHeight="1">
      <c r="A384" s="508">
        <v>80195</v>
      </c>
      <c r="B384" s="596" t="s">
        <v>276</v>
      </c>
      <c r="C384" s="500">
        <f>SUM(C385)+C391</f>
        <v>6087023</v>
      </c>
      <c r="D384" s="501">
        <f>SUM(D385)+D391</f>
        <v>6087023</v>
      </c>
      <c r="E384" s="502"/>
      <c r="F384" s="503">
        <f>SUM(F385)+F391</f>
        <v>3916223</v>
      </c>
      <c r="G384" s="502"/>
      <c r="H384" s="503">
        <f>SUM(H385)+H391</f>
        <v>2170800</v>
      </c>
      <c r="I384" s="504"/>
    </row>
    <row r="385" spans="1:9" ht="12">
      <c r="A385" s="614"/>
      <c r="B385" s="615" t="s">
        <v>270</v>
      </c>
      <c r="C385" s="566">
        <f>SUM(C386:C389)</f>
        <v>4557523</v>
      </c>
      <c r="D385" s="616">
        <f>SUM(D386:D389)</f>
        <v>4557523</v>
      </c>
      <c r="E385" s="617"/>
      <c r="F385" s="693">
        <f>SUM(F386:F389)</f>
        <v>3099223</v>
      </c>
      <c r="G385" s="716"/>
      <c r="H385" s="693">
        <f>SUM(H386:H389)</f>
        <v>1458300</v>
      </c>
      <c r="I385" s="717"/>
    </row>
    <row r="386" spans="1:9" ht="12">
      <c r="A386" s="469"/>
      <c r="B386" s="478" t="s">
        <v>291</v>
      </c>
      <c r="C386" s="479">
        <f>SUM(D386:E386)</f>
        <v>1540123</v>
      </c>
      <c r="D386" s="480">
        <f>F386+H386</f>
        <v>1540123</v>
      </c>
      <c r="E386" s="481"/>
      <c r="F386" s="499">
        <v>1254523</v>
      </c>
      <c r="G386" s="473"/>
      <c r="H386" s="499">
        <v>285600</v>
      </c>
      <c r="I386" s="496"/>
    </row>
    <row r="387" spans="1:9" ht="10.5" customHeight="1">
      <c r="A387" s="469"/>
      <c r="B387" s="478" t="s">
        <v>292</v>
      </c>
      <c r="C387" s="479"/>
      <c r="D387" s="480"/>
      <c r="E387" s="481"/>
      <c r="F387" s="499"/>
      <c r="G387" s="473"/>
      <c r="H387" s="499"/>
      <c r="I387" s="496"/>
    </row>
    <row r="388" spans="1:9" ht="12">
      <c r="A388" s="469"/>
      <c r="B388" s="498" t="s">
        <v>288</v>
      </c>
      <c r="C388" s="479">
        <f>SUM(D388:E388)</f>
        <v>58500</v>
      </c>
      <c r="D388" s="480">
        <f>F388+H388</f>
        <v>58500</v>
      </c>
      <c r="E388" s="481"/>
      <c r="F388" s="499">
        <v>58500</v>
      </c>
      <c r="G388" s="473"/>
      <c r="H388" s="499"/>
      <c r="I388" s="496"/>
    </row>
    <row r="389" spans="1:9" ht="12">
      <c r="A389" s="469"/>
      <c r="B389" s="498" t="s">
        <v>271</v>
      </c>
      <c r="C389" s="479">
        <f>SUM(D389:E389)</f>
        <v>2958900</v>
      </c>
      <c r="D389" s="480">
        <f>F389+H389</f>
        <v>2958900</v>
      </c>
      <c r="E389" s="481"/>
      <c r="F389" s="499">
        <v>1786200</v>
      </c>
      <c r="G389" s="473"/>
      <c r="H389" s="499">
        <v>1172700</v>
      </c>
      <c r="I389" s="496"/>
    </row>
    <row r="390" spans="1:9" ht="12" customHeight="1">
      <c r="A390" s="469"/>
      <c r="B390" s="498" t="s">
        <v>295</v>
      </c>
      <c r="C390" s="479">
        <f>SUM(D390:E390)</f>
        <v>248000</v>
      </c>
      <c r="D390" s="480">
        <f>F390+H390</f>
        <v>248000</v>
      </c>
      <c r="E390" s="481"/>
      <c r="F390" s="499">
        <v>248000</v>
      </c>
      <c r="G390" s="473"/>
      <c r="H390" s="499"/>
      <c r="I390" s="496"/>
    </row>
    <row r="391" spans="1:9" ht="12" customHeight="1">
      <c r="A391" s="469"/>
      <c r="B391" s="470" t="s">
        <v>266</v>
      </c>
      <c r="C391" s="471">
        <f>SUM(C392:C393)</f>
        <v>1529500</v>
      </c>
      <c r="D391" s="472">
        <f>SUM(D392:D393)</f>
        <v>1529500</v>
      </c>
      <c r="E391" s="473"/>
      <c r="F391" s="495">
        <f>SUM(F392:F393)</f>
        <v>817000</v>
      </c>
      <c r="G391" s="473"/>
      <c r="H391" s="495">
        <f>SUM(H392:H393)</f>
        <v>712500</v>
      </c>
      <c r="I391" s="496"/>
    </row>
    <row r="392" spans="1:9" s="485" customFormat="1" ht="12" customHeight="1">
      <c r="A392" s="477"/>
      <c r="B392" s="478" t="s">
        <v>280</v>
      </c>
      <c r="C392" s="479">
        <f>SUM(D392:E392)</f>
        <v>1512500</v>
      </c>
      <c r="D392" s="480">
        <f>F392+H392</f>
        <v>1512500</v>
      </c>
      <c r="E392" s="481"/>
      <c r="F392" s="499">
        <v>810000</v>
      </c>
      <c r="G392" s="481"/>
      <c r="H392" s="499">
        <v>702500</v>
      </c>
      <c r="I392" s="505"/>
    </row>
    <row r="393" spans="1:9" ht="12.75" customHeight="1" thickBot="1">
      <c r="A393" s="469"/>
      <c r="B393" s="478" t="s">
        <v>267</v>
      </c>
      <c r="C393" s="479">
        <f>SUM(D393:E393)</f>
        <v>17000</v>
      </c>
      <c r="D393" s="480">
        <f>F393+H393</f>
        <v>17000</v>
      </c>
      <c r="E393" s="481"/>
      <c r="F393" s="499">
        <v>7000</v>
      </c>
      <c r="G393" s="473"/>
      <c r="H393" s="499">
        <v>10000</v>
      </c>
      <c r="I393" s="496"/>
    </row>
    <row r="394" spans="1:9" ht="25.5" thickBot="1" thickTop="1">
      <c r="A394" s="676">
        <v>803</v>
      </c>
      <c r="B394" s="682" t="s">
        <v>347</v>
      </c>
      <c r="C394" s="718">
        <f>SUM(C395+C398)</f>
        <v>55988</v>
      </c>
      <c r="D394" s="719">
        <f>SUM(D395+D398)</f>
        <v>55988</v>
      </c>
      <c r="E394" s="720"/>
      <c r="F394" s="467">
        <f>SUM(F395+F398)</f>
        <v>55988</v>
      </c>
      <c r="G394" s="466"/>
      <c r="H394" s="467"/>
      <c r="I394" s="423"/>
    </row>
    <row r="395" spans="1:9" ht="24.75" thickTop="1">
      <c r="A395" s="508">
        <v>80309</v>
      </c>
      <c r="B395" s="596" t="s">
        <v>348</v>
      </c>
      <c r="C395" s="500">
        <f>SUM(C396)</f>
        <v>50988</v>
      </c>
      <c r="D395" s="501">
        <f>SUM(D396)</f>
        <v>50988</v>
      </c>
      <c r="E395" s="502"/>
      <c r="F395" s="503">
        <f>SUM(F396)</f>
        <v>50988</v>
      </c>
      <c r="G395" s="502"/>
      <c r="H395" s="503"/>
      <c r="I395" s="504"/>
    </row>
    <row r="396" spans="1:9" ht="12.75">
      <c r="A396" s="469"/>
      <c r="B396" s="494" t="s">
        <v>270</v>
      </c>
      <c r="C396" s="471">
        <f>SUM(C397)</f>
        <v>50988</v>
      </c>
      <c r="D396" s="472">
        <f>F396+H396</f>
        <v>50988</v>
      </c>
      <c r="E396" s="473"/>
      <c r="F396" s="474">
        <f>SUM(F397)</f>
        <v>50988</v>
      </c>
      <c r="G396" s="475"/>
      <c r="H396" s="474"/>
      <c r="I396" s="476"/>
    </row>
    <row r="397" spans="1:9" ht="12">
      <c r="A397" s="469"/>
      <c r="B397" s="498" t="s">
        <v>271</v>
      </c>
      <c r="C397" s="479">
        <f>SUM(D397:E397)</f>
        <v>50988</v>
      </c>
      <c r="D397" s="480">
        <f>F397+H397</f>
        <v>50988</v>
      </c>
      <c r="E397" s="481"/>
      <c r="F397" s="499">
        <v>50988</v>
      </c>
      <c r="G397" s="473"/>
      <c r="H397" s="499"/>
      <c r="I397" s="496"/>
    </row>
    <row r="398" spans="1:9" ht="12">
      <c r="A398" s="508">
        <v>80395</v>
      </c>
      <c r="B398" s="596" t="s">
        <v>276</v>
      </c>
      <c r="C398" s="500">
        <f>SUM(C399)</f>
        <v>5000</v>
      </c>
      <c r="D398" s="501">
        <f>SUM(D399)</f>
        <v>5000</v>
      </c>
      <c r="E398" s="502"/>
      <c r="F398" s="503">
        <f>SUM(F399)</f>
        <v>5000</v>
      </c>
      <c r="G398" s="502"/>
      <c r="H398" s="503"/>
      <c r="I398" s="504"/>
    </row>
    <row r="399" spans="1:9" ht="12.75">
      <c r="A399" s="469"/>
      <c r="B399" s="494" t="s">
        <v>270</v>
      </c>
      <c r="C399" s="471">
        <f>SUM(C400:C401)</f>
        <v>5000</v>
      </c>
      <c r="D399" s="472">
        <f>F399+H399</f>
        <v>5000</v>
      </c>
      <c r="E399" s="473"/>
      <c r="F399" s="474">
        <f>SUM(F400:F401)</f>
        <v>5000</v>
      </c>
      <c r="G399" s="475"/>
      <c r="H399" s="474"/>
      <c r="I399" s="476"/>
    </row>
    <row r="400" spans="1:9" ht="12.75" customHeight="1" hidden="1">
      <c r="A400" s="469"/>
      <c r="B400" s="498" t="s">
        <v>288</v>
      </c>
      <c r="C400" s="479">
        <f>SUM(D400:E400)</f>
        <v>0</v>
      </c>
      <c r="D400" s="480">
        <f>F400+H400</f>
        <v>0</v>
      </c>
      <c r="E400" s="481"/>
      <c r="F400" s="499"/>
      <c r="G400" s="473"/>
      <c r="H400" s="499"/>
      <c r="I400" s="496"/>
    </row>
    <row r="401" spans="1:9" ht="10.5" customHeight="1" thickBot="1">
      <c r="A401" s="469"/>
      <c r="B401" s="498" t="s">
        <v>271</v>
      </c>
      <c r="C401" s="479">
        <f>SUM(D401:E401)</f>
        <v>5000</v>
      </c>
      <c r="D401" s="480">
        <f>F401+H401</f>
        <v>5000</v>
      </c>
      <c r="E401" s="481"/>
      <c r="F401" s="499">
        <v>5000</v>
      </c>
      <c r="G401" s="473"/>
      <c r="H401" s="499"/>
      <c r="I401" s="496"/>
    </row>
    <row r="402" spans="1:9" s="468" customFormat="1" ht="27" thickBot="1" thickTop="1">
      <c r="A402" s="507">
        <v>851</v>
      </c>
      <c r="B402" s="464" t="s">
        <v>163</v>
      </c>
      <c r="C402" s="465">
        <f>SUM(C422+C426+C442+C411+C436+C408)</f>
        <v>4920000</v>
      </c>
      <c r="D402" s="721">
        <f>SUM(D422+D426+D442+D411+D408)</f>
        <v>4913000</v>
      </c>
      <c r="E402" s="466">
        <f>SUM(E422+E426+E442+E411+E436+E408)</f>
        <v>7000</v>
      </c>
      <c r="F402" s="467">
        <f>SUM(F422+F426+F442+F411+F408)</f>
        <v>4913000</v>
      </c>
      <c r="G402" s="722"/>
      <c r="H402" s="723"/>
      <c r="I402" s="423">
        <f>SUM(I422+I426+I430+I442+I436+I411+I415+I434)</f>
        <v>7000</v>
      </c>
    </row>
    <row r="403" spans="1:9" s="468" customFormat="1" ht="13.5" thickTop="1">
      <c r="A403" s="509"/>
      <c r="B403" s="598" t="s">
        <v>270</v>
      </c>
      <c r="C403" s="525">
        <f>D403+E403</f>
        <v>4800000</v>
      </c>
      <c r="D403" s="724">
        <f>F403+H403</f>
        <v>4793000</v>
      </c>
      <c r="E403" s="527">
        <f>G403+I403</f>
        <v>7000</v>
      </c>
      <c r="F403" s="528">
        <f>F409+F412+F423+F427+F437+F443</f>
        <v>4793000</v>
      </c>
      <c r="G403" s="651"/>
      <c r="H403" s="600"/>
      <c r="I403" s="517">
        <f>I409+I412+I423+I427+I437+I443</f>
        <v>7000</v>
      </c>
    </row>
    <row r="404" spans="1:9" s="570" customFormat="1" ht="12">
      <c r="A404" s="567"/>
      <c r="B404" s="498" t="s">
        <v>288</v>
      </c>
      <c r="C404" s="471">
        <f>D404+E404</f>
        <v>3685000</v>
      </c>
      <c r="D404" s="725">
        <f>F404+H404</f>
        <v>3685000</v>
      </c>
      <c r="E404" s="481"/>
      <c r="F404" s="519">
        <f>F410+F413+F424+F428+F444</f>
        <v>3685000</v>
      </c>
      <c r="G404" s="683"/>
      <c r="H404" s="499"/>
      <c r="I404" s="505"/>
    </row>
    <row r="405" spans="1:9" s="570" customFormat="1" ht="9.75" customHeight="1">
      <c r="A405" s="567"/>
      <c r="B405" s="726" t="s">
        <v>271</v>
      </c>
      <c r="C405" s="471">
        <f>D405+E405</f>
        <v>1115000</v>
      </c>
      <c r="D405" s="725">
        <f>F405+H405</f>
        <v>1108000</v>
      </c>
      <c r="E405" s="481">
        <f>G405+I405</f>
        <v>7000</v>
      </c>
      <c r="F405" s="519">
        <f>F414+F425+F429+F440+F445</f>
        <v>1108000</v>
      </c>
      <c r="G405" s="683"/>
      <c r="H405" s="499"/>
      <c r="I405" s="505">
        <f>I414+I425+I429+I440+I445</f>
        <v>7000</v>
      </c>
    </row>
    <row r="406" spans="1:9" s="468" customFormat="1" ht="12.75">
      <c r="A406" s="509"/>
      <c r="B406" s="727" t="s">
        <v>266</v>
      </c>
      <c r="C406" s="525">
        <f>D406+E406</f>
        <v>120000</v>
      </c>
      <c r="D406" s="724">
        <f>F406+H406</f>
        <v>120000</v>
      </c>
      <c r="E406" s="527"/>
      <c r="F406" s="528">
        <f>F434</f>
        <v>120000</v>
      </c>
      <c r="G406" s="654"/>
      <c r="H406" s="529"/>
      <c r="I406" s="530"/>
    </row>
    <row r="407" spans="1:9" s="570" customFormat="1" ht="13.5" customHeight="1">
      <c r="A407" s="728"/>
      <c r="B407" s="729" t="s">
        <v>280</v>
      </c>
      <c r="C407" s="730">
        <f>D407+E407</f>
        <v>120000</v>
      </c>
      <c r="D407" s="731">
        <f>F407+H407</f>
        <v>120000</v>
      </c>
      <c r="E407" s="560"/>
      <c r="F407" s="561">
        <f>F435</f>
        <v>120000</v>
      </c>
      <c r="G407" s="732"/>
      <c r="H407" s="561"/>
      <c r="I407" s="631"/>
    </row>
    <row r="408" spans="1:9" ht="15" customHeight="1">
      <c r="A408" s="543">
        <v>85111</v>
      </c>
      <c r="B408" s="585" t="s">
        <v>349</v>
      </c>
      <c r="C408" s="586">
        <f>SUM(C409)</f>
        <v>3000000</v>
      </c>
      <c r="D408" s="587">
        <f>SUM(D409)</f>
        <v>3000000</v>
      </c>
      <c r="E408" s="588"/>
      <c r="F408" s="589">
        <f>SUM(F409)</f>
        <v>3000000</v>
      </c>
      <c r="G408" s="588"/>
      <c r="H408" s="589"/>
      <c r="I408" s="590"/>
    </row>
    <row r="409" spans="1:9" ht="12.75">
      <c r="A409" s="469"/>
      <c r="B409" s="494" t="s">
        <v>270</v>
      </c>
      <c r="C409" s="471">
        <f>SUM(C410)</f>
        <v>3000000</v>
      </c>
      <c r="D409" s="472">
        <f>F409+H409</f>
        <v>3000000</v>
      </c>
      <c r="E409" s="473"/>
      <c r="F409" s="474">
        <f>SUM(F410)</f>
        <v>3000000</v>
      </c>
      <c r="G409" s="475"/>
      <c r="H409" s="474"/>
      <c r="I409" s="476"/>
    </row>
    <row r="410" spans="1:9" ht="11.25" customHeight="1">
      <c r="A410" s="557"/>
      <c r="B410" s="592" t="s">
        <v>288</v>
      </c>
      <c r="C410" s="552">
        <f>SUM(D410:E410)</f>
        <v>3000000</v>
      </c>
      <c r="D410" s="559">
        <f>F410+H410</f>
        <v>3000000</v>
      </c>
      <c r="E410" s="560"/>
      <c r="F410" s="561">
        <v>3000000</v>
      </c>
      <c r="G410" s="629"/>
      <c r="H410" s="561"/>
      <c r="I410" s="709"/>
    </row>
    <row r="411" spans="1:9" s="493" customFormat="1" ht="24">
      <c r="A411" s="543">
        <v>85149</v>
      </c>
      <c r="B411" s="585" t="s">
        <v>350</v>
      </c>
      <c r="C411" s="586">
        <f>SUM(C412)</f>
        <v>27000</v>
      </c>
      <c r="D411" s="587">
        <f>SUM(D412)</f>
        <v>27000</v>
      </c>
      <c r="E411" s="588"/>
      <c r="F411" s="589">
        <f>SUM(F412)</f>
        <v>27000</v>
      </c>
      <c r="G411" s="588"/>
      <c r="H411" s="589"/>
      <c r="I411" s="590"/>
    </row>
    <row r="412" spans="1:9" ht="12.75">
      <c r="A412" s="469"/>
      <c r="B412" s="494" t="s">
        <v>270</v>
      </c>
      <c r="C412" s="471">
        <f>SUM(C413:C414)</f>
        <v>27000</v>
      </c>
      <c r="D412" s="472">
        <f>SUM(D413:D414)</f>
        <v>27000</v>
      </c>
      <c r="E412" s="473"/>
      <c r="F412" s="474">
        <f>SUM(F413:F414)</f>
        <v>27000</v>
      </c>
      <c r="G412" s="475"/>
      <c r="H412" s="474"/>
      <c r="I412" s="476"/>
    </row>
    <row r="413" spans="1:9" ht="11.25" customHeight="1">
      <c r="A413" s="469"/>
      <c r="B413" s="498" t="s">
        <v>288</v>
      </c>
      <c r="C413" s="479">
        <f>SUM(D413:E413)</f>
        <v>24000</v>
      </c>
      <c r="D413" s="480">
        <f>F413+H413</f>
        <v>24000</v>
      </c>
      <c r="E413" s="481"/>
      <c r="F413" s="499">
        <v>24000</v>
      </c>
      <c r="G413" s="473"/>
      <c r="H413" s="499"/>
      <c r="I413" s="496"/>
    </row>
    <row r="414" spans="1:9" ht="12">
      <c r="A414" s="557"/>
      <c r="B414" s="592" t="s">
        <v>271</v>
      </c>
      <c r="C414" s="552">
        <f>SUM(D414:E414)</f>
        <v>3000</v>
      </c>
      <c r="D414" s="559">
        <f>F414+H414</f>
        <v>3000</v>
      </c>
      <c r="E414" s="560"/>
      <c r="F414" s="561">
        <v>3000</v>
      </c>
      <c r="G414" s="629"/>
      <c r="H414" s="561"/>
      <c r="I414" s="709"/>
    </row>
    <row r="415" spans="1:9" ht="12" hidden="1">
      <c r="A415" s="508">
        <v>85132</v>
      </c>
      <c r="B415" s="596" t="s">
        <v>351</v>
      </c>
      <c r="C415" s="500">
        <f>SUM(C416+C420)</f>
        <v>0</v>
      </c>
      <c r="D415" s="501"/>
      <c r="E415" s="502">
        <f>SUM(E416+E420)</f>
        <v>0</v>
      </c>
      <c r="F415" s="503"/>
      <c r="G415" s="502"/>
      <c r="H415" s="503"/>
      <c r="I415" s="504">
        <f>SUM(I416+I420)</f>
        <v>0</v>
      </c>
    </row>
    <row r="416" spans="1:9" ht="12.75" hidden="1">
      <c r="A416" s="469"/>
      <c r="B416" s="494" t="s">
        <v>270</v>
      </c>
      <c r="C416" s="571">
        <f>SUM(C417:C419)</f>
        <v>0</v>
      </c>
      <c r="D416" s="572"/>
      <c r="E416" s="475">
        <f>SUM(E417:E419)</f>
        <v>0</v>
      </c>
      <c r="F416" s="474"/>
      <c r="G416" s="475"/>
      <c r="H416" s="474"/>
      <c r="I416" s="476">
        <f>SUM(I417:I419)</f>
        <v>0</v>
      </c>
    </row>
    <row r="417" spans="1:9" s="485" customFormat="1" ht="12.75" hidden="1">
      <c r="A417" s="477"/>
      <c r="B417" s="478" t="s">
        <v>291</v>
      </c>
      <c r="C417" s="479">
        <f>SUM(D417:E417)</f>
        <v>0</v>
      </c>
      <c r="D417" s="480"/>
      <c r="E417" s="481">
        <f>G417+I417</f>
        <v>0</v>
      </c>
      <c r="F417" s="482"/>
      <c r="G417" s="483"/>
      <c r="H417" s="482"/>
      <c r="I417" s="484">
        <v>0</v>
      </c>
    </row>
    <row r="418" spans="1:9" s="485" customFormat="1" ht="12.75" hidden="1">
      <c r="A418" s="477"/>
      <c r="B418" s="478" t="s">
        <v>292</v>
      </c>
      <c r="C418" s="479"/>
      <c r="D418" s="480"/>
      <c r="E418" s="481"/>
      <c r="F418" s="482"/>
      <c r="G418" s="483"/>
      <c r="H418" s="482"/>
      <c r="I418" s="484"/>
    </row>
    <row r="419" spans="1:9" ht="12.75" hidden="1">
      <c r="A419" s="469"/>
      <c r="B419" s="498" t="s">
        <v>271</v>
      </c>
      <c r="C419" s="479">
        <f>SUM(D419:E419)</f>
        <v>0</v>
      </c>
      <c r="D419" s="480"/>
      <c r="E419" s="481">
        <f>G419+I419</f>
        <v>0</v>
      </c>
      <c r="F419" s="482"/>
      <c r="G419" s="475"/>
      <c r="H419" s="482"/>
      <c r="I419" s="484">
        <v>0</v>
      </c>
    </row>
    <row r="420" spans="1:9" ht="12.75" hidden="1">
      <c r="A420" s="469"/>
      <c r="B420" s="470" t="s">
        <v>328</v>
      </c>
      <c r="C420" s="471">
        <f>SUM(C421)</f>
        <v>0</v>
      </c>
      <c r="D420" s="472"/>
      <c r="E420" s="473">
        <f>G420+I420</f>
        <v>0</v>
      </c>
      <c r="F420" s="474"/>
      <c r="G420" s="475"/>
      <c r="H420" s="474"/>
      <c r="I420" s="476">
        <f>SUM(I421)</f>
        <v>0</v>
      </c>
    </row>
    <row r="421" spans="1:9" s="485" customFormat="1" ht="12.75" hidden="1">
      <c r="A421" s="477"/>
      <c r="B421" s="478" t="s">
        <v>280</v>
      </c>
      <c r="C421" s="479">
        <f>SUM(D421:E421)</f>
        <v>0</v>
      </c>
      <c r="D421" s="480"/>
      <c r="E421" s="481">
        <f>G421+I421</f>
        <v>0</v>
      </c>
      <c r="F421" s="482"/>
      <c r="G421" s="483"/>
      <c r="H421" s="482"/>
      <c r="I421" s="484">
        <v>0</v>
      </c>
    </row>
    <row r="422" spans="1:9" s="493" customFormat="1" ht="14.25" customHeight="1">
      <c r="A422" s="508">
        <v>85153</v>
      </c>
      <c r="B422" s="596" t="s">
        <v>352</v>
      </c>
      <c r="C422" s="500">
        <f>SUM(C423)</f>
        <v>80000</v>
      </c>
      <c r="D422" s="501">
        <f>SUM(D423)</f>
        <v>80000</v>
      </c>
      <c r="E422" s="502"/>
      <c r="F422" s="707">
        <f>SUM(F423)</f>
        <v>80000</v>
      </c>
      <c r="G422" s="706"/>
      <c r="H422" s="707"/>
      <c r="I422" s="708"/>
    </row>
    <row r="423" spans="1:9" ht="12.75">
      <c r="A423" s="469"/>
      <c r="B423" s="494" t="s">
        <v>270</v>
      </c>
      <c r="C423" s="571">
        <f>SUM(C424:C425)</f>
        <v>80000</v>
      </c>
      <c r="D423" s="572">
        <f>SUM(D424:D425)</f>
        <v>80000</v>
      </c>
      <c r="E423" s="475"/>
      <c r="F423" s="474">
        <f>SUM(F424:F425)</f>
        <v>80000</v>
      </c>
      <c r="G423" s="475"/>
      <c r="H423" s="474"/>
      <c r="I423" s="476"/>
    </row>
    <row r="424" spans="1:9" s="485" customFormat="1" ht="10.5" customHeight="1">
      <c r="A424" s="477"/>
      <c r="B424" s="498" t="s">
        <v>288</v>
      </c>
      <c r="C424" s="479">
        <f>SUM(D424:E424)</f>
        <v>50000</v>
      </c>
      <c r="D424" s="480">
        <f>F424+H424</f>
        <v>50000</v>
      </c>
      <c r="E424" s="481"/>
      <c r="F424" s="499">
        <v>50000</v>
      </c>
      <c r="G424" s="481"/>
      <c r="H424" s="499"/>
      <c r="I424" s="505"/>
    </row>
    <row r="425" spans="1:9" ht="15" customHeight="1">
      <c r="A425" s="557"/>
      <c r="B425" s="592" t="s">
        <v>271</v>
      </c>
      <c r="C425" s="552">
        <f>SUM(D425:E425)</f>
        <v>30000</v>
      </c>
      <c r="D425" s="559">
        <f>F425+H425</f>
        <v>30000</v>
      </c>
      <c r="E425" s="560"/>
      <c r="F425" s="561">
        <v>30000</v>
      </c>
      <c r="G425" s="629"/>
      <c r="H425" s="561"/>
      <c r="I425" s="709"/>
    </row>
    <row r="426" spans="1:9" ht="23.25" customHeight="1">
      <c r="A426" s="508">
        <v>85154</v>
      </c>
      <c r="B426" s="596" t="s">
        <v>353</v>
      </c>
      <c r="C426" s="500">
        <f>C427+C434</f>
        <v>1260000</v>
      </c>
      <c r="D426" s="501">
        <f>D427+D434</f>
        <v>1260000</v>
      </c>
      <c r="E426" s="502"/>
      <c r="F426" s="503">
        <f>F427+F434</f>
        <v>1260000</v>
      </c>
      <c r="G426" s="502"/>
      <c r="H426" s="503"/>
      <c r="I426" s="504"/>
    </row>
    <row r="427" spans="1:9" ht="16.5" customHeight="1">
      <c r="A427" s="469"/>
      <c r="B427" s="494" t="s">
        <v>270</v>
      </c>
      <c r="C427" s="571">
        <f>SUM(C428:C429)</f>
        <v>1140000</v>
      </c>
      <c r="D427" s="572">
        <f>SUM(D428:D429)</f>
        <v>1140000</v>
      </c>
      <c r="E427" s="475"/>
      <c r="F427" s="474">
        <f>0+F428+F429</f>
        <v>1140000</v>
      </c>
      <c r="G427" s="475"/>
      <c r="H427" s="474"/>
      <c r="I427" s="476"/>
    </row>
    <row r="428" spans="1:9" s="485" customFormat="1" ht="11.25" customHeight="1">
      <c r="A428" s="477"/>
      <c r="B428" s="498" t="s">
        <v>288</v>
      </c>
      <c r="C428" s="479">
        <f>SUM(D428:E428)</f>
        <v>510000</v>
      </c>
      <c r="D428" s="480">
        <f>F428+H428</f>
        <v>510000</v>
      </c>
      <c r="E428" s="481"/>
      <c r="F428" s="499">
        <v>510000</v>
      </c>
      <c r="G428" s="481"/>
      <c r="H428" s="499"/>
      <c r="I428" s="505"/>
    </row>
    <row r="429" spans="1:9" ht="11.25" customHeight="1">
      <c r="A429" s="469"/>
      <c r="B429" s="498" t="s">
        <v>271</v>
      </c>
      <c r="C429" s="479">
        <f>SUM(D429:E429)</f>
        <v>630000</v>
      </c>
      <c r="D429" s="480">
        <f>F429+H429</f>
        <v>630000</v>
      </c>
      <c r="E429" s="481"/>
      <c r="F429" s="499">
        <v>630000</v>
      </c>
      <c r="G429" s="473"/>
      <c r="H429" s="499"/>
      <c r="I429" s="496"/>
    </row>
    <row r="430" spans="1:9" ht="24" hidden="1">
      <c r="A430" s="543">
        <v>85149</v>
      </c>
      <c r="B430" s="585" t="s">
        <v>350</v>
      </c>
      <c r="C430" s="586">
        <f>SUM(C431)</f>
        <v>0</v>
      </c>
      <c r="D430" s="587">
        <f>SUM(D431)</f>
        <v>0</v>
      </c>
      <c r="E430" s="588"/>
      <c r="F430" s="589">
        <f>SUM(F431)</f>
        <v>0</v>
      </c>
      <c r="G430" s="547"/>
      <c r="H430" s="548"/>
      <c r="I430" s="549"/>
    </row>
    <row r="431" spans="1:9" ht="12.75" customHeight="1" hidden="1">
      <c r="A431" s="733"/>
      <c r="B431" s="734" t="s">
        <v>270</v>
      </c>
      <c r="C431" s="735">
        <f>SUM(C432:C433)</f>
        <v>0</v>
      </c>
      <c r="D431" s="736">
        <f>SUM(D432:D433)</f>
        <v>0</v>
      </c>
      <c r="E431" s="737"/>
      <c r="F431" s="738">
        <f>SUM(F432:F433)</f>
        <v>0</v>
      </c>
      <c r="G431" s="737"/>
      <c r="H431" s="738"/>
      <c r="I431" s="739"/>
    </row>
    <row r="432" spans="1:9" s="485" customFormat="1" ht="12.75" hidden="1">
      <c r="A432" s="477"/>
      <c r="B432" s="498" t="s">
        <v>288</v>
      </c>
      <c r="C432" s="479">
        <f>SUM(D432:E432)</f>
        <v>0</v>
      </c>
      <c r="D432" s="480">
        <f>F432+H432</f>
        <v>0</v>
      </c>
      <c r="E432" s="481"/>
      <c r="F432" s="482"/>
      <c r="G432" s="483"/>
      <c r="H432" s="482"/>
      <c r="I432" s="484"/>
    </row>
    <row r="433" spans="1:9" ht="12.75" hidden="1">
      <c r="A433" s="469"/>
      <c r="B433" s="498" t="s">
        <v>271</v>
      </c>
      <c r="C433" s="479">
        <f>SUM(D433:E433)</f>
        <v>0</v>
      </c>
      <c r="D433" s="480">
        <f>F433+H433</f>
        <v>0</v>
      </c>
      <c r="E433" s="481"/>
      <c r="F433" s="482"/>
      <c r="G433" s="475"/>
      <c r="H433" s="482"/>
      <c r="I433" s="476"/>
    </row>
    <row r="434" spans="1:9" s="493" customFormat="1" ht="13.5" customHeight="1">
      <c r="A434" s="469"/>
      <c r="B434" s="740" t="s">
        <v>266</v>
      </c>
      <c r="C434" s="471">
        <f>SUM(C435)</f>
        <v>120000</v>
      </c>
      <c r="D434" s="472">
        <f>D435</f>
        <v>120000</v>
      </c>
      <c r="E434" s="473"/>
      <c r="F434" s="495">
        <f>F435</f>
        <v>120000</v>
      </c>
      <c r="G434" s="473"/>
      <c r="H434" s="495"/>
      <c r="I434" s="496"/>
    </row>
    <row r="435" spans="1:9" ht="12.75" customHeight="1">
      <c r="A435" s="557"/>
      <c r="B435" s="729" t="s">
        <v>280</v>
      </c>
      <c r="C435" s="552">
        <f>SUM(D435:E435)</f>
        <v>120000</v>
      </c>
      <c r="D435" s="559">
        <f>F435</f>
        <v>120000</v>
      </c>
      <c r="E435" s="560"/>
      <c r="F435" s="561">
        <v>120000</v>
      </c>
      <c r="G435" s="562"/>
      <c r="H435" s="594"/>
      <c r="I435" s="631"/>
    </row>
    <row r="436" spans="1:9" ht="72.75" customHeight="1">
      <c r="A436" s="508">
        <v>85156</v>
      </c>
      <c r="B436" s="596" t="s">
        <v>354</v>
      </c>
      <c r="C436" s="500">
        <f>SUM(C437)</f>
        <v>7000</v>
      </c>
      <c r="D436" s="501"/>
      <c r="E436" s="502">
        <f>I436</f>
        <v>7000</v>
      </c>
      <c r="F436" s="503"/>
      <c r="G436" s="502"/>
      <c r="H436" s="503"/>
      <c r="I436" s="504">
        <f>I437</f>
        <v>7000</v>
      </c>
    </row>
    <row r="437" spans="1:9" ht="13.5" customHeight="1">
      <c r="A437" s="469"/>
      <c r="B437" s="494" t="s">
        <v>270</v>
      </c>
      <c r="C437" s="571">
        <f>SUM(C438:C440)</f>
        <v>7000</v>
      </c>
      <c r="D437" s="741"/>
      <c r="E437" s="742">
        <f>SUM(E438:E440)</f>
        <v>7000</v>
      </c>
      <c r="F437" s="474"/>
      <c r="G437" s="475"/>
      <c r="H437" s="474"/>
      <c r="I437" s="476">
        <f>I440+I439</f>
        <v>7000</v>
      </c>
    </row>
    <row r="438" spans="1:9" s="485" customFormat="1" ht="11.25" customHeight="1" hidden="1">
      <c r="A438" s="477"/>
      <c r="B438" s="478" t="s">
        <v>291</v>
      </c>
      <c r="C438" s="479"/>
      <c r="D438" s="480"/>
      <c r="E438" s="481"/>
      <c r="F438" s="499"/>
      <c r="G438" s="481"/>
      <c r="H438" s="499"/>
      <c r="I438" s="505"/>
    </row>
    <row r="439" spans="1:9" s="485" customFormat="1" ht="13.5" customHeight="1" hidden="1">
      <c r="A439" s="477"/>
      <c r="B439" s="478" t="s">
        <v>292</v>
      </c>
      <c r="C439" s="479"/>
      <c r="D439" s="480"/>
      <c r="E439" s="481"/>
      <c r="F439" s="499"/>
      <c r="G439" s="481"/>
      <c r="H439" s="499"/>
      <c r="I439" s="505"/>
    </row>
    <row r="440" spans="1:9" ht="15" customHeight="1">
      <c r="A440" s="469"/>
      <c r="B440" s="498" t="s">
        <v>271</v>
      </c>
      <c r="C440" s="479">
        <f>SUM(D440+E440)</f>
        <v>7000</v>
      </c>
      <c r="D440" s="480"/>
      <c r="E440" s="602">
        <f>I440+F440</f>
        <v>7000</v>
      </c>
      <c r="F440" s="499"/>
      <c r="G440" s="473"/>
      <c r="H440" s="499"/>
      <c r="I440" s="505">
        <v>7000</v>
      </c>
    </row>
    <row r="441" spans="1:9" ht="4.5" customHeight="1" hidden="1">
      <c r="A441" s="469"/>
      <c r="B441" s="498" t="s">
        <v>277</v>
      </c>
      <c r="C441" s="479">
        <f>SUM(D441:E441)</f>
        <v>0</v>
      </c>
      <c r="D441" s="480"/>
      <c r="E441" s="481"/>
      <c r="F441" s="499"/>
      <c r="G441" s="473"/>
      <c r="H441" s="499"/>
      <c r="I441" s="496"/>
    </row>
    <row r="442" spans="1:9" s="570" customFormat="1" ht="15.75" customHeight="1">
      <c r="A442" s="508">
        <v>85195</v>
      </c>
      <c r="B442" s="596" t="s">
        <v>276</v>
      </c>
      <c r="C442" s="500">
        <f>SUM(C443)+C446</f>
        <v>546000</v>
      </c>
      <c r="D442" s="501">
        <f>SUM(D443)+D446</f>
        <v>546000</v>
      </c>
      <c r="E442" s="502"/>
      <c r="F442" s="503">
        <f>SUM(F443)+F446</f>
        <v>546000</v>
      </c>
      <c r="G442" s="502"/>
      <c r="H442" s="503"/>
      <c r="I442" s="504"/>
    </row>
    <row r="443" spans="1:9" ht="13.5" customHeight="1">
      <c r="A443" s="469"/>
      <c r="B443" s="494" t="s">
        <v>270</v>
      </c>
      <c r="C443" s="571">
        <f>SUM(C444:C445)</f>
        <v>546000</v>
      </c>
      <c r="D443" s="572">
        <f>SUM(D444:D445)</f>
        <v>546000</v>
      </c>
      <c r="E443" s="475"/>
      <c r="F443" s="474">
        <f>SUM(F444:F445)</f>
        <v>546000</v>
      </c>
      <c r="G443" s="475"/>
      <c r="H443" s="474"/>
      <c r="I443" s="476"/>
    </row>
    <row r="444" spans="1:9" s="485" customFormat="1" ht="12">
      <c r="A444" s="477"/>
      <c r="B444" s="498" t="s">
        <v>288</v>
      </c>
      <c r="C444" s="479">
        <f>SUM(D444:E444)</f>
        <v>101000</v>
      </c>
      <c r="D444" s="480">
        <f>F444+H444</f>
        <v>101000</v>
      </c>
      <c r="E444" s="481"/>
      <c r="F444" s="499">
        <v>101000</v>
      </c>
      <c r="G444" s="481"/>
      <c r="H444" s="499"/>
      <c r="I444" s="505"/>
    </row>
    <row r="445" spans="1:9" ht="15.75" customHeight="1" thickBot="1">
      <c r="A445" s="469"/>
      <c r="B445" s="498" t="s">
        <v>271</v>
      </c>
      <c r="C445" s="479">
        <f>SUM(D445:E445)</f>
        <v>445000</v>
      </c>
      <c r="D445" s="480">
        <f>F445+H445</f>
        <v>445000</v>
      </c>
      <c r="E445" s="481"/>
      <c r="F445" s="499">
        <v>445000</v>
      </c>
      <c r="G445" s="473"/>
      <c r="H445" s="499"/>
      <c r="I445" s="496"/>
    </row>
    <row r="446" spans="1:9" s="493" customFormat="1" ht="12" customHeight="1" hidden="1">
      <c r="A446" s="469"/>
      <c r="B446" s="740" t="s">
        <v>266</v>
      </c>
      <c r="C446" s="471">
        <f>SUM(C447)</f>
        <v>0</v>
      </c>
      <c r="D446" s="472">
        <f>D447</f>
        <v>0</v>
      </c>
      <c r="E446" s="473"/>
      <c r="F446" s="495">
        <f>F447</f>
        <v>0</v>
      </c>
      <c r="G446" s="473"/>
      <c r="H446" s="495"/>
      <c r="I446" s="496"/>
    </row>
    <row r="447" spans="1:9" ht="15" customHeight="1" hidden="1">
      <c r="A447" s="557"/>
      <c r="B447" s="743" t="s">
        <v>280</v>
      </c>
      <c r="C447" s="479">
        <f>SUM(D447:E447)</f>
        <v>0</v>
      </c>
      <c r="D447" s="480">
        <f>F447</f>
        <v>0</v>
      </c>
      <c r="E447" s="481"/>
      <c r="F447" s="499">
        <v>0</v>
      </c>
      <c r="G447" s="475"/>
      <c r="H447" s="482"/>
      <c r="I447" s="505"/>
    </row>
    <row r="448" spans="1:9" s="468" customFormat="1" ht="27.75" customHeight="1" thickBot="1" thickTop="1">
      <c r="A448" s="507">
        <v>852</v>
      </c>
      <c r="B448" s="464" t="s">
        <v>165</v>
      </c>
      <c r="C448" s="465">
        <f>C458+C468+C474+C489+C494+C497+C500+C507+C515+C521+C532+C527+C486+C465+C480</f>
        <v>47786485</v>
      </c>
      <c r="D448" s="419">
        <f>D458+D468+D474+D489+D494+D497+D500+D507+D515+D521+D532+D527+D486+D465</f>
        <v>21241485</v>
      </c>
      <c r="E448" s="744">
        <f>E458+E468+E474+E489+E494+E497+E500+E507+E515+E521+E532+E527+E486+E465+E480</f>
        <v>26545000</v>
      </c>
      <c r="F448" s="467">
        <f>F458+F468+F474+F489+F494+F497+F500+F507+F515+F521+F532+F527+F486+F465+F480</f>
        <v>16957671</v>
      </c>
      <c r="G448" s="722">
        <f>G458+G468+G474+G489+G494+G497+G500+G507+G515+G521+G532+G527+G486+G465+G480</f>
        <v>26545000</v>
      </c>
      <c r="H448" s="422">
        <f>H458+H468+H474+H489+H494+H497+H500+H507+H515+H521+H532+H527+H486+H465+H480</f>
        <v>4283814</v>
      </c>
      <c r="I448" s="678"/>
    </row>
    <row r="449" spans="1:9" s="468" customFormat="1" ht="13.5" thickTop="1">
      <c r="A449" s="646"/>
      <c r="B449" s="598" t="s">
        <v>270</v>
      </c>
      <c r="C449" s="648">
        <f>D449+E449</f>
        <v>46756485</v>
      </c>
      <c r="D449" s="745">
        <f>F449+H449</f>
        <v>20211485</v>
      </c>
      <c r="E449" s="623">
        <f>G449+I449</f>
        <v>26545000</v>
      </c>
      <c r="F449" s="600">
        <f>F459+F466+F469+F475+F481+F487+F490+F495+F501+F508+F516+F522+F528+F533</f>
        <v>15937871</v>
      </c>
      <c r="G449" s="623">
        <f>G459+G466+G469+G475+G481+G487+G490+G495+G501+G508+G516+G522+G528+G533</f>
        <v>26545000</v>
      </c>
      <c r="H449" s="746">
        <f>H459+H466+H469+H475+H481+H487+H490+H495+H501+H508+H516+H522+H528+H533</f>
        <v>4273614</v>
      </c>
      <c r="I449" s="517"/>
    </row>
    <row r="450" spans="1:9" s="570" customFormat="1" ht="12">
      <c r="A450" s="477"/>
      <c r="B450" s="478" t="s">
        <v>291</v>
      </c>
      <c r="C450" s="479">
        <f aca="true" t="shared" si="16" ref="C450:C457">D450+E450</f>
        <v>7049159</v>
      </c>
      <c r="D450" s="480">
        <f aca="true" t="shared" si="17" ref="D450:D457">F450+H450</f>
        <v>6015405</v>
      </c>
      <c r="E450" s="481">
        <f>G450+I450</f>
        <v>1033754</v>
      </c>
      <c r="F450" s="601">
        <f>F460+F470+F476+F482+F502+F509+F517+F523+F529</f>
        <v>5004759</v>
      </c>
      <c r="G450" s="481">
        <f>G460+G470+G476+G482+G502+G509+G517+G523+G529</f>
        <v>1033754</v>
      </c>
      <c r="H450" s="601">
        <f>H460+H470+H476+H482+H502+H509+H517+H523+H529</f>
        <v>1010646</v>
      </c>
      <c r="I450" s="505"/>
    </row>
    <row r="451" spans="1:9" s="570" customFormat="1" ht="12">
      <c r="A451" s="477"/>
      <c r="B451" s="478" t="s">
        <v>292</v>
      </c>
      <c r="C451" s="479"/>
      <c r="D451" s="480"/>
      <c r="E451" s="481"/>
      <c r="F451" s="601"/>
      <c r="G451" s="481"/>
      <c r="H451" s="747"/>
      <c r="I451" s="505"/>
    </row>
    <row r="452" spans="1:9" s="570" customFormat="1" ht="12">
      <c r="A452" s="477"/>
      <c r="B452" s="498" t="s">
        <v>288</v>
      </c>
      <c r="C452" s="479">
        <f t="shared" si="16"/>
        <v>1046560</v>
      </c>
      <c r="D452" s="480">
        <f t="shared" si="17"/>
        <v>1046560</v>
      </c>
      <c r="E452" s="481"/>
      <c r="F452" s="601">
        <f>F462+F478+F519+F534</f>
        <v>174000</v>
      </c>
      <c r="G452" s="481"/>
      <c r="H452" s="747">
        <f>H462+H478+H519+H534</f>
        <v>872560</v>
      </c>
      <c r="I452" s="505"/>
    </row>
    <row r="453" spans="1:9" s="570" customFormat="1" ht="12">
      <c r="A453" s="477"/>
      <c r="B453" s="498" t="s">
        <v>271</v>
      </c>
      <c r="C453" s="479">
        <f t="shared" si="16"/>
        <v>38660766</v>
      </c>
      <c r="D453" s="480">
        <f t="shared" si="17"/>
        <v>13149520</v>
      </c>
      <c r="E453" s="481">
        <f>G453+I453</f>
        <v>25511246</v>
      </c>
      <c r="F453" s="601">
        <f>F463+F467+F472+F485+F488+F493+F496+F504+F511+F520+F525+F531+F535</f>
        <v>10759112</v>
      </c>
      <c r="G453" s="481">
        <f>G463+G467+G472+G485+G488+G493+G496+G504+G511+G520+G525+G531+G535</f>
        <v>25511246</v>
      </c>
      <c r="H453" s="601">
        <f>H463+H467+H472+H479+H485+H488+H493+H496+H504+H511+H520+H525+H531+H535</f>
        <v>2390408</v>
      </c>
      <c r="I453" s="505"/>
    </row>
    <row r="454" spans="1:9" s="493" customFormat="1" ht="12">
      <c r="A454" s="469"/>
      <c r="B454" s="703" t="s">
        <v>295</v>
      </c>
      <c r="C454" s="471">
        <f t="shared" si="16"/>
        <v>114000</v>
      </c>
      <c r="D454" s="472">
        <f t="shared" si="17"/>
        <v>114000</v>
      </c>
      <c r="E454" s="473"/>
      <c r="F454" s="550">
        <f>F464+F464+F473+F512</f>
        <v>112000</v>
      </c>
      <c r="G454" s="473"/>
      <c r="H454" s="748">
        <f>H464+H464+H473+H512</f>
        <v>2000</v>
      </c>
      <c r="I454" s="496"/>
    </row>
    <row r="455" spans="1:9" s="468" customFormat="1" ht="12.75">
      <c r="A455" s="509"/>
      <c r="B455" s="524" t="s">
        <v>266</v>
      </c>
      <c r="C455" s="525">
        <f t="shared" si="16"/>
        <v>1030000</v>
      </c>
      <c r="D455" s="526">
        <f t="shared" si="17"/>
        <v>1030000</v>
      </c>
      <c r="E455" s="527"/>
      <c r="F455" s="599">
        <f>F505+F513+F536</f>
        <v>1019800</v>
      </c>
      <c r="G455" s="527"/>
      <c r="H455" s="749">
        <f>H505+H513+H536</f>
        <v>10200</v>
      </c>
      <c r="I455" s="530"/>
    </row>
    <row r="456" spans="1:9" s="570" customFormat="1" ht="14.25" customHeight="1">
      <c r="A456" s="477"/>
      <c r="B456" s="703" t="s">
        <v>280</v>
      </c>
      <c r="C456" s="479">
        <f t="shared" si="16"/>
        <v>1000000</v>
      </c>
      <c r="D456" s="480">
        <f t="shared" si="17"/>
        <v>1000000</v>
      </c>
      <c r="E456" s="481"/>
      <c r="F456" s="601">
        <f>F537</f>
        <v>1000000</v>
      </c>
      <c r="G456" s="481"/>
      <c r="H456" s="747"/>
      <c r="I456" s="505"/>
    </row>
    <row r="457" spans="1:9" s="570" customFormat="1" ht="14.25" customHeight="1" thickBot="1">
      <c r="A457" s="477"/>
      <c r="B457" s="478" t="s">
        <v>267</v>
      </c>
      <c r="C457" s="479">
        <f t="shared" si="16"/>
        <v>30000</v>
      </c>
      <c r="D457" s="750">
        <f t="shared" si="17"/>
        <v>30000</v>
      </c>
      <c r="E457" s="540"/>
      <c r="F457" s="604">
        <f>F506+F514</f>
        <v>19800</v>
      </c>
      <c r="G457" s="540"/>
      <c r="H457" s="747">
        <f>H506+H514</f>
        <v>10200</v>
      </c>
      <c r="I457" s="605"/>
    </row>
    <row r="458" spans="1:9" s="493" customFormat="1" ht="42" customHeight="1" thickTop="1">
      <c r="A458" s="663">
        <v>85201</v>
      </c>
      <c r="B458" s="751" t="s">
        <v>355</v>
      </c>
      <c r="C458" s="752">
        <f aca="true" t="shared" si="18" ref="C458:H458">SUM(C459)</f>
        <v>1080319</v>
      </c>
      <c r="D458" s="753">
        <f t="shared" si="18"/>
        <v>1080319</v>
      </c>
      <c r="E458" s="754"/>
      <c r="F458" s="755"/>
      <c r="G458" s="754"/>
      <c r="H458" s="755">
        <f t="shared" si="18"/>
        <v>1080319</v>
      </c>
      <c r="I458" s="756"/>
    </row>
    <row r="459" spans="1:9" ht="12.75">
      <c r="A459" s="469"/>
      <c r="B459" s="494" t="s">
        <v>270</v>
      </c>
      <c r="C459" s="571">
        <f>SUM(C460:C463)</f>
        <v>1080319</v>
      </c>
      <c r="D459" s="572">
        <f>SUM(D460:D463)</f>
        <v>1080319</v>
      </c>
      <c r="E459" s="475"/>
      <c r="F459" s="474"/>
      <c r="G459" s="475"/>
      <c r="H459" s="474">
        <f>SUM(H460:H463)</f>
        <v>1080319</v>
      </c>
      <c r="I459" s="476"/>
    </row>
    <row r="460" spans="1:9" s="485" customFormat="1" ht="12">
      <c r="A460" s="477"/>
      <c r="B460" s="478" t="s">
        <v>291</v>
      </c>
      <c r="C460" s="479">
        <f>SUM(D460:E460)</f>
        <v>71816</v>
      </c>
      <c r="D460" s="480">
        <f>F460+H460</f>
        <v>71816</v>
      </c>
      <c r="E460" s="481"/>
      <c r="F460" s="499"/>
      <c r="G460" s="481"/>
      <c r="H460" s="499">
        <v>71816</v>
      </c>
      <c r="I460" s="505"/>
    </row>
    <row r="461" spans="1:9" s="485" customFormat="1" ht="12">
      <c r="A461" s="477"/>
      <c r="B461" s="478" t="s">
        <v>292</v>
      </c>
      <c r="C461" s="479"/>
      <c r="D461" s="480"/>
      <c r="E461" s="481"/>
      <c r="F461" s="499"/>
      <c r="G461" s="481"/>
      <c r="H461" s="499"/>
      <c r="I461" s="505"/>
    </row>
    <row r="462" spans="1:9" s="485" customFormat="1" ht="12">
      <c r="A462" s="477"/>
      <c r="B462" s="498" t="s">
        <v>288</v>
      </c>
      <c r="C462" s="479">
        <f>SUM(D462:E462)</f>
        <v>722560</v>
      </c>
      <c r="D462" s="480">
        <f>F462+H462</f>
        <v>722560</v>
      </c>
      <c r="E462" s="481"/>
      <c r="F462" s="499"/>
      <c r="G462" s="481"/>
      <c r="H462" s="499">
        <v>722560</v>
      </c>
      <c r="I462" s="505"/>
    </row>
    <row r="463" spans="1:9" ht="12">
      <c r="A463" s="469"/>
      <c r="B463" s="498" t="s">
        <v>271</v>
      </c>
      <c r="C463" s="479">
        <f>SUM(D463:E463)</f>
        <v>285943</v>
      </c>
      <c r="D463" s="480">
        <f>F463+H463</f>
        <v>285943</v>
      </c>
      <c r="E463" s="481"/>
      <c r="F463" s="499"/>
      <c r="G463" s="473"/>
      <c r="H463" s="499">
        <v>285943</v>
      </c>
      <c r="I463" s="496"/>
    </row>
    <row r="464" spans="1:9" ht="9.75" customHeight="1">
      <c r="A464" s="557"/>
      <c r="B464" s="757" t="s">
        <v>295</v>
      </c>
      <c r="C464" s="552">
        <f>SUM(D464:E464)</f>
        <v>1000</v>
      </c>
      <c r="D464" s="712">
        <f>F464+H464</f>
        <v>1000</v>
      </c>
      <c r="E464" s="560"/>
      <c r="F464" s="712"/>
      <c r="G464" s="629"/>
      <c r="H464" s="712">
        <v>1000</v>
      </c>
      <c r="I464" s="709"/>
    </row>
    <row r="465" spans="1:9" ht="22.5" customHeight="1">
      <c r="A465" s="508">
        <v>85202</v>
      </c>
      <c r="B465" s="596" t="s">
        <v>356</v>
      </c>
      <c r="C465" s="500">
        <f>SUM(C466)</f>
        <v>200000</v>
      </c>
      <c r="D465" s="501">
        <f>D466</f>
        <v>200000</v>
      </c>
      <c r="E465" s="502"/>
      <c r="F465" s="503">
        <f>F466</f>
        <v>200000</v>
      </c>
      <c r="G465" s="502"/>
      <c r="H465" s="503"/>
      <c r="I465" s="504"/>
    </row>
    <row r="466" spans="1:9" s="597" customFormat="1" ht="12.75">
      <c r="A466" s="758"/>
      <c r="B466" s="759" t="s">
        <v>305</v>
      </c>
      <c r="C466" s="571">
        <f>SUM(C467)</f>
        <v>200000</v>
      </c>
      <c r="D466" s="572">
        <f>SUM(D467)</f>
        <v>200000</v>
      </c>
      <c r="E466" s="475"/>
      <c r="F466" s="474">
        <f>F467</f>
        <v>200000</v>
      </c>
      <c r="G466" s="475"/>
      <c r="H466" s="474"/>
      <c r="I466" s="476"/>
    </row>
    <row r="467" spans="1:9" s="485" customFormat="1" ht="12">
      <c r="A467" s="591"/>
      <c r="B467" s="558" t="s">
        <v>271</v>
      </c>
      <c r="C467" s="552">
        <f>SUM(D467:E467)</f>
        <v>200000</v>
      </c>
      <c r="D467" s="480">
        <f>F467+H467</f>
        <v>200000</v>
      </c>
      <c r="E467" s="560"/>
      <c r="F467" s="561">
        <v>200000</v>
      </c>
      <c r="G467" s="560"/>
      <c r="H467" s="561"/>
      <c r="I467" s="631"/>
    </row>
    <row r="468" spans="1:9" ht="15" customHeight="1">
      <c r="A468" s="508">
        <v>85203</v>
      </c>
      <c r="B468" s="596" t="s">
        <v>357</v>
      </c>
      <c r="C468" s="500">
        <f>SUM(C469)</f>
        <v>959318</v>
      </c>
      <c r="D468" s="501">
        <f>SUM(D469)</f>
        <v>505318</v>
      </c>
      <c r="E468" s="502">
        <f>SUM(E469)</f>
        <v>454000</v>
      </c>
      <c r="F468" s="503">
        <f>SUM(F469)</f>
        <v>505318</v>
      </c>
      <c r="G468" s="502">
        <f>SUM(G469)</f>
        <v>454000</v>
      </c>
      <c r="H468" s="503"/>
      <c r="I468" s="504"/>
    </row>
    <row r="469" spans="1:9" ht="12.75">
      <c r="A469" s="469"/>
      <c r="B469" s="470" t="s">
        <v>305</v>
      </c>
      <c r="C469" s="571">
        <f>SUM(C470:C472)</f>
        <v>959318</v>
      </c>
      <c r="D469" s="572">
        <f>SUM(D470:D472)</f>
        <v>505318</v>
      </c>
      <c r="E469" s="475">
        <f>SUM(E470:E472)</f>
        <v>454000</v>
      </c>
      <c r="F469" s="474">
        <f>SUM(F470:F472)</f>
        <v>505318</v>
      </c>
      <c r="G469" s="475">
        <f>SUM(G470:G472)</f>
        <v>454000</v>
      </c>
      <c r="H469" s="474"/>
      <c r="I469" s="476"/>
    </row>
    <row r="470" spans="1:9" s="485" customFormat="1" ht="10.5" customHeight="1">
      <c r="A470" s="477"/>
      <c r="B470" s="478" t="s">
        <v>291</v>
      </c>
      <c r="C470" s="479">
        <f>SUM(D470:E470)</f>
        <v>642825</v>
      </c>
      <c r="D470" s="480">
        <f>F470+H470</f>
        <v>348619</v>
      </c>
      <c r="E470" s="481">
        <f>G470+I470</f>
        <v>294206</v>
      </c>
      <c r="F470" s="499">
        <v>348619</v>
      </c>
      <c r="G470" s="481">
        <v>294206</v>
      </c>
      <c r="H470" s="499"/>
      <c r="I470" s="505"/>
    </row>
    <row r="471" spans="1:9" s="485" customFormat="1" ht="10.5" customHeight="1">
      <c r="A471" s="477"/>
      <c r="B471" s="478" t="s">
        <v>292</v>
      </c>
      <c r="C471" s="479"/>
      <c r="D471" s="480"/>
      <c r="E471" s="481"/>
      <c r="F471" s="499"/>
      <c r="G471" s="481"/>
      <c r="H471" s="499"/>
      <c r="I471" s="505"/>
    </row>
    <row r="472" spans="1:9" s="485" customFormat="1" ht="10.5" customHeight="1">
      <c r="A472" s="477"/>
      <c r="B472" s="478" t="s">
        <v>271</v>
      </c>
      <c r="C472" s="479">
        <f>SUM(D472:E472)</f>
        <v>316493</v>
      </c>
      <c r="D472" s="480">
        <f>F472+H472</f>
        <v>156699</v>
      </c>
      <c r="E472" s="481">
        <f>G472+I472</f>
        <v>159794</v>
      </c>
      <c r="F472" s="499">
        <v>156699</v>
      </c>
      <c r="G472" s="481">
        <v>159794</v>
      </c>
      <c r="H472" s="499"/>
      <c r="I472" s="505"/>
    </row>
    <row r="473" spans="1:9" s="485" customFormat="1" ht="12">
      <c r="A473" s="591"/>
      <c r="B473" s="558" t="s">
        <v>295</v>
      </c>
      <c r="C473" s="552">
        <f>SUM(D473:E473)</f>
        <v>7000</v>
      </c>
      <c r="D473" s="559">
        <f>F473+H473</f>
        <v>7000</v>
      </c>
      <c r="E473" s="560"/>
      <c r="F473" s="561">
        <v>7000</v>
      </c>
      <c r="G473" s="560"/>
      <c r="H473" s="561"/>
      <c r="I473" s="631"/>
    </row>
    <row r="474" spans="1:9" s="493" customFormat="1" ht="15" customHeight="1">
      <c r="A474" s="508">
        <v>85204</v>
      </c>
      <c r="B474" s="596" t="s">
        <v>358</v>
      </c>
      <c r="C474" s="500">
        <f>SUM(C475)</f>
        <v>2181000</v>
      </c>
      <c r="D474" s="501">
        <f>SUM(D475)</f>
        <v>2181000</v>
      </c>
      <c r="E474" s="502"/>
      <c r="F474" s="503"/>
      <c r="G474" s="502"/>
      <c r="H474" s="503">
        <f>SUM(H475)</f>
        <v>2181000</v>
      </c>
      <c r="I474" s="504"/>
    </row>
    <row r="475" spans="1:9" ht="12" customHeight="1">
      <c r="A475" s="469"/>
      <c r="B475" s="470" t="s">
        <v>305</v>
      </c>
      <c r="C475" s="571">
        <f>SUM(C476:C479)</f>
        <v>2181000</v>
      </c>
      <c r="D475" s="572">
        <f>SUM(D476:D479)</f>
        <v>2181000</v>
      </c>
      <c r="E475" s="475"/>
      <c r="F475" s="474"/>
      <c r="G475" s="475"/>
      <c r="H475" s="474">
        <f>SUM(H476:H479)</f>
        <v>2181000</v>
      </c>
      <c r="I475" s="476"/>
    </row>
    <row r="476" spans="1:9" s="485" customFormat="1" ht="10.5" customHeight="1">
      <c r="A476" s="477"/>
      <c r="B476" s="478" t="s">
        <v>291</v>
      </c>
      <c r="C476" s="479">
        <f>SUM(D476:E476)</f>
        <v>151000</v>
      </c>
      <c r="D476" s="480">
        <f>F476+H476</f>
        <v>151000</v>
      </c>
      <c r="E476" s="481"/>
      <c r="F476" s="499"/>
      <c r="G476" s="481"/>
      <c r="H476" s="499">
        <v>151000</v>
      </c>
      <c r="I476" s="505"/>
    </row>
    <row r="477" spans="1:9" s="485" customFormat="1" ht="11.25" customHeight="1">
      <c r="A477" s="477"/>
      <c r="B477" s="478" t="s">
        <v>292</v>
      </c>
      <c r="C477" s="479"/>
      <c r="D477" s="480"/>
      <c r="E477" s="481"/>
      <c r="F477" s="499"/>
      <c r="G477" s="481"/>
      <c r="H477" s="499"/>
      <c r="I477" s="505"/>
    </row>
    <row r="478" spans="1:9" s="485" customFormat="1" ht="11.25" customHeight="1">
      <c r="A478" s="477"/>
      <c r="B478" s="498" t="s">
        <v>288</v>
      </c>
      <c r="C478" s="479">
        <f>SUM(D478:E478)</f>
        <v>30000</v>
      </c>
      <c r="D478" s="480">
        <f>F478+H478</f>
        <v>30000</v>
      </c>
      <c r="E478" s="481"/>
      <c r="F478" s="499"/>
      <c r="G478" s="481"/>
      <c r="H478" s="499">
        <v>30000</v>
      </c>
      <c r="I478" s="505"/>
    </row>
    <row r="479" spans="1:9" s="485" customFormat="1" ht="12.75" customHeight="1">
      <c r="A479" s="477"/>
      <c r="B479" s="478" t="s">
        <v>271</v>
      </c>
      <c r="C479" s="479">
        <f>SUM(D479:E479)</f>
        <v>2000000</v>
      </c>
      <c r="D479" s="480">
        <f>F479+H479</f>
        <v>2000000</v>
      </c>
      <c r="E479" s="481"/>
      <c r="F479" s="499"/>
      <c r="G479" s="481"/>
      <c r="H479" s="499">
        <v>2000000</v>
      </c>
      <c r="I479" s="505"/>
    </row>
    <row r="480" spans="1:9" s="485" customFormat="1" ht="50.25" customHeight="1">
      <c r="A480" s="508">
        <v>85212</v>
      </c>
      <c r="B480" s="596" t="s">
        <v>359</v>
      </c>
      <c r="C480" s="500">
        <f>SUM(C481)</f>
        <v>24611000</v>
      </c>
      <c r="D480" s="760"/>
      <c r="E480" s="502">
        <f>SUM(E481)</f>
        <v>24611000</v>
      </c>
      <c r="F480" s="672"/>
      <c r="G480" s="502">
        <f>SUM(G481)</f>
        <v>24611000</v>
      </c>
      <c r="H480" s="503"/>
      <c r="I480" s="504"/>
    </row>
    <row r="481" spans="1:9" s="485" customFormat="1" ht="14.25" customHeight="1">
      <c r="A481" s="521"/>
      <c r="B481" s="470" t="s">
        <v>305</v>
      </c>
      <c r="C481" s="571">
        <f>SUM(C482:C485)</f>
        <v>24611000</v>
      </c>
      <c r="D481" s="572"/>
      <c r="E481" s="475">
        <f>SUM(E482:E485)</f>
        <v>24611000</v>
      </c>
      <c r="F481" s="474"/>
      <c r="G481" s="475">
        <f>SUM(G482:G485)</f>
        <v>24611000</v>
      </c>
      <c r="H481" s="474"/>
      <c r="I481" s="476"/>
    </row>
    <row r="482" spans="1:9" s="485" customFormat="1" ht="13.5" customHeight="1">
      <c r="A482" s="477"/>
      <c r="B482" s="478" t="s">
        <v>291</v>
      </c>
      <c r="C482" s="479">
        <f>SUM(D482:E482)</f>
        <v>739548</v>
      </c>
      <c r="D482" s="480"/>
      <c r="E482" s="481">
        <f>G482+I482</f>
        <v>739548</v>
      </c>
      <c r="F482" s="499"/>
      <c r="G482" s="481">
        <v>739548</v>
      </c>
      <c r="H482" s="499"/>
      <c r="I482" s="505"/>
    </row>
    <row r="483" spans="1:9" s="485" customFormat="1" ht="13.5" customHeight="1">
      <c r="A483" s="477"/>
      <c r="B483" s="478" t="s">
        <v>292</v>
      </c>
      <c r="C483" s="479"/>
      <c r="D483" s="480"/>
      <c r="E483" s="481"/>
      <c r="F483" s="499"/>
      <c r="G483" s="481"/>
      <c r="H483" s="499"/>
      <c r="I483" s="505"/>
    </row>
    <row r="484" spans="1:9" s="485" customFormat="1" ht="15.75" customHeight="1" hidden="1">
      <c r="A484" s="477"/>
      <c r="B484" s="498" t="s">
        <v>288</v>
      </c>
      <c r="C484" s="479">
        <f>SUM(D484:E484)</f>
        <v>0</v>
      </c>
      <c r="D484" s="480">
        <f>F484+H484</f>
        <v>0</v>
      </c>
      <c r="E484" s="481">
        <f>G484+I484</f>
        <v>0</v>
      </c>
      <c r="F484" s="499">
        <v>0</v>
      </c>
      <c r="G484" s="481">
        <v>0</v>
      </c>
      <c r="H484" s="499"/>
      <c r="I484" s="505"/>
    </row>
    <row r="485" spans="1:9" s="485" customFormat="1" ht="10.5" customHeight="1">
      <c r="A485" s="591"/>
      <c r="B485" s="558" t="s">
        <v>271</v>
      </c>
      <c r="C485" s="552">
        <f>SUM(D485:E485)</f>
        <v>23871452</v>
      </c>
      <c r="D485" s="559"/>
      <c r="E485" s="560">
        <f>G485+I485</f>
        <v>23871452</v>
      </c>
      <c r="F485" s="561"/>
      <c r="G485" s="560">
        <v>23871452</v>
      </c>
      <c r="H485" s="561"/>
      <c r="I485" s="631"/>
    </row>
    <row r="486" spans="1:9" ht="60" customHeight="1">
      <c r="A486" s="508">
        <v>85213</v>
      </c>
      <c r="B486" s="596" t="s">
        <v>360</v>
      </c>
      <c r="C486" s="500">
        <f aca="true" t="shared" si="19" ref="C486:E487">SUM(C487)</f>
        <v>194000</v>
      </c>
      <c r="D486" s="501"/>
      <c r="E486" s="502">
        <f t="shared" si="19"/>
        <v>194000</v>
      </c>
      <c r="F486" s="503"/>
      <c r="G486" s="502">
        <f>SUM(G487)</f>
        <v>194000</v>
      </c>
      <c r="H486" s="503"/>
      <c r="I486" s="504"/>
    </row>
    <row r="487" spans="1:9" s="597" customFormat="1" ht="14.25" customHeight="1">
      <c r="A487" s="758"/>
      <c r="B487" s="759" t="s">
        <v>305</v>
      </c>
      <c r="C487" s="571">
        <f t="shared" si="19"/>
        <v>194000</v>
      </c>
      <c r="D487" s="572"/>
      <c r="E487" s="475">
        <f t="shared" si="19"/>
        <v>194000</v>
      </c>
      <c r="F487" s="474"/>
      <c r="G487" s="475">
        <f>SUM(G488)</f>
        <v>194000</v>
      </c>
      <c r="H487" s="474"/>
      <c r="I487" s="476"/>
    </row>
    <row r="488" spans="1:9" s="485" customFormat="1" ht="12.75" customHeight="1">
      <c r="A488" s="591"/>
      <c r="B488" s="558" t="s">
        <v>271</v>
      </c>
      <c r="C488" s="552">
        <f>SUM(D488:E488)</f>
        <v>194000</v>
      </c>
      <c r="D488" s="559"/>
      <c r="E488" s="560">
        <f>G488+I488</f>
        <v>194000</v>
      </c>
      <c r="F488" s="561"/>
      <c r="G488" s="560">
        <v>194000</v>
      </c>
      <c r="H488" s="561"/>
      <c r="I488" s="631"/>
    </row>
    <row r="489" spans="1:9" ht="40.5" customHeight="1">
      <c r="A489" s="508">
        <v>85214</v>
      </c>
      <c r="B489" s="596" t="s">
        <v>361</v>
      </c>
      <c r="C489" s="500">
        <f>SUM(C490)</f>
        <v>4868000</v>
      </c>
      <c r="D489" s="501">
        <f>SUM(D490)</f>
        <v>3702000</v>
      </c>
      <c r="E489" s="502">
        <f>SUM(E490)</f>
        <v>1166000</v>
      </c>
      <c r="F489" s="503">
        <f>SUM(F490)</f>
        <v>3702000</v>
      </c>
      <c r="G489" s="502">
        <f>SUM(G490)</f>
        <v>1166000</v>
      </c>
      <c r="H489" s="503"/>
      <c r="I489" s="504"/>
    </row>
    <row r="490" spans="1:9" ht="12.75">
      <c r="A490" s="469"/>
      <c r="B490" s="470" t="s">
        <v>305</v>
      </c>
      <c r="C490" s="471">
        <f>SUM(C491:C493)</f>
        <v>4868000</v>
      </c>
      <c r="D490" s="472">
        <f>SUM(D491:D493)</f>
        <v>3702000</v>
      </c>
      <c r="E490" s="473">
        <f>SUM(E491:E493)</f>
        <v>1166000</v>
      </c>
      <c r="F490" s="474">
        <f>SUM(F491:F493)</f>
        <v>3702000</v>
      </c>
      <c r="G490" s="475">
        <f>SUM(G491:G493)</f>
        <v>1166000</v>
      </c>
      <c r="H490" s="474"/>
      <c r="I490" s="476"/>
    </row>
    <row r="491" spans="1:9" s="485" customFormat="1" ht="0.75" customHeight="1" hidden="1">
      <c r="A491" s="477"/>
      <c r="B491" s="478" t="s">
        <v>291</v>
      </c>
      <c r="C491" s="479">
        <f>SUM(D491:E491)</f>
        <v>0</v>
      </c>
      <c r="D491" s="480">
        <f>F491+H491</f>
        <v>0</v>
      </c>
      <c r="E491" s="481">
        <f>G491+I491</f>
        <v>0</v>
      </c>
      <c r="F491" s="499"/>
      <c r="G491" s="481">
        <v>0</v>
      </c>
      <c r="H491" s="499"/>
      <c r="I491" s="505"/>
    </row>
    <row r="492" spans="1:9" s="485" customFormat="1" ht="12" hidden="1">
      <c r="A492" s="477"/>
      <c r="B492" s="478" t="s">
        <v>292</v>
      </c>
      <c r="C492" s="479"/>
      <c r="D492" s="480"/>
      <c r="E492" s="481"/>
      <c r="F492" s="499"/>
      <c r="G492" s="481"/>
      <c r="H492" s="499"/>
      <c r="I492" s="505"/>
    </row>
    <row r="493" spans="1:9" s="485" customFormat="1" ht="12">
      <c r="A493" s="591"/>
      <c r="B493" s="558" t="s">
        <v>271</v>
      </c>
      <c r="C493" s="552">
        <f>SUM(D493:E493)</f>
        <v>4868000</v>
      </c>
      <c r="D493" s="559">
        <f>F493+H493</f>
        <v>3702000</v>
      </c>
      <c r="E493" s="560">
        <f>G493+I493</f>
        <v>1166000</v>
      </c>
      <c r="F493" s="561">
        <v>3702000</v>
      </c>
      <c r="G493" s="560">
        <v>1166000</v>
      </c>
      <c r="H493" s="561"/>
      <c r="I493" s="631"/>
    </row>
    <row r="494" spans="1:9" ht="17.25" customHeight="1">
      <c r="A494" s="508">
        <v>85215</v>
      </c>
      <c r="B494" s="596" t="s">
        <v>362</v>
      </c>
      <c r="C494" s="500">
        <f aca="true" t="shared" si="20" ref="C494:F495">SUM(C495)</f>
        <v>5400000</v>
      </c>
      <c r="D494" s="501">
        <f t="shared" si="20"/>
        <v>5400000</v>
      </c>
      <c r="E494" s="502"/>
      <c r="F494" s="503">
        <f t="shared" si="20"/>
        <v>5400000</v>
      </c>
      <c r="G494" s="502"/>
      <c r="H494" s="503"/>
      <c r="I494" s="504"/>
    </row>
    <row r="495" spans="1:9" ht="12.75">
      <c r="A495" s="469"/>
      <c r="B495" s="470" t="s">
        <v>305</v>
      </c>
      <c r="C495" s="471">
        <f t="shared" si="20"/>
        <v>5400000</v>
      </c>
      <c r="D495" s="472">
        <f t="shared" si="20"/>
        <v>5400000</v>
      </c>
      <c r="E495" s="473"/>
      <c r="F495" s="474">
        <f t="shared" si="20"/>
        <v>5400000</v>
      </c>
      <c r="G495" s="475"/>
      <c r="H495" s="474"/>
      <c r="I495" s="476"/>
    </row>
    <row r="496" spans="1:9" s="485" customFormat="1" ht="11.25" customHeight="1">
      <c r="A496" s="477"/>
      <c r="B496" s="478" t="s">
        <v>271</v>
      </c>
      <c r="C496" s="479">
        <f>SUM(D496:E496)</f>
        <v>5400000</v>
      </c>
      <c r="D496" s="480">
        <f>F496+H496</f>
        <v>5400000</v>
      </c>
      <c r="E496" s="481"/>
      <c r="F496" s="499">
        <v>5400000</v>
      </c>
      <c r="G496" s="481"/>
      <c r="H496" s="499"/>
      <c r="I496" s="505"/>
    </row>
    <row r="497" spans="1:9" ht="36" hidden="1">
      <c r="A497" s="508">
        <v>85216</v>
      </c>
      <c r="B497" s="596" t="s">
        <v>363</v>
      </c>
      <c r="C497" s="500">
        <f>SUM(C498)</f>
        <v>0</v>
      </c>
      <c r="D497" s="501"/>
      <c r="E497" s="502">
        <f>SUM(E498)</f>
        <v>0</v>
      </c>
      <c r="F497" s="503"/>
      <c r="G497" s="502">
        <f>SUM(G498)</f>
        <v>0</v>
      </c>
      <c r="H497" s="503"/>
      <c r="I497" s="504">
        <f>SUM(I498)</f>
        <v>0</v>
      </c>
    </row>
    <row r="498" spans="1:9" ht="12.75" hidden="1">
      <c r="A498" s="469"/>
      <c r="B498" s="470" t="s">
        <v>305</v>
      </c>
      <c r="C498" s="471">
        <f>SUM(C499)</f>
        <v>0</v>
      </c>
      <c r="D498" s="472"/>
      <c r="E498" s="473">
        <f>G498+I498</f>
        <v>0</v>
      </c>
      <c r="F498" s="474"/>
      <c r="G498" s="475">
        <f>SUM(G499)</f>
        <v>0</v>
      </c>
      <c r="H498" s="474"/>
      <c r="I498" s="476">
        <f>SUM(I499)</f>
        <v>0</v>
      </c>
    </row>
    <row r="499" spans="1:9" s="485" customFormat="1" ht="12" hidden="1">
      <c r="A499" s="477"/>
      <c r="B499" s="478" t="s">
        <v>271</v>
      </c>
      <c r="C499" s="479">
        <f>SUM(D499:E499)</f>
        <v>0</v>
      </c>
      <c r="D499" s="480"/>
      <c r="E499" s="481">
        <f>G499+I499</f>
        <v>0</v>
      </c>
      <c r="F499" s="499"/>
      <c r="G499" s="481">
        <v>0</v>
      </c>
      <c r="H499" s="499"/>
      <c r="I499" s="505">
        <v>0</v>
      </c>
    </row>
    <row r="500" spans="1:9" ht="24">
      <c r="A500" s="508">
        <v>85218</v>
      </c>
      <c r="B500" s="596" t="s">
        <v>364</v>
      </c>
      <c r="C500" s="500">
        <f aca="true" t="shared" si="21" ref="C500:H500">C501+C505</f>
        <v>592230</v>
      </c>
      <c r="D500" s="501">
        <f t="shared" si="21"/>
        <v>592230</v>
      </c>
      <c r="E500" s="672"/>
      <c r="F500" s="503"/>
      <c r="G500" s="672"/>
      <c r="H500" s="761">
        <f t="shared" si="21"/>
        <v>592230</v>
      </c>
      <c r="I500" s="504"/>
    </row>
    <row r="501" spans="1:9" ht="11.25" customHeight="1">
      <c r="A501" s="469"/>
      <c r="B501" s="470" t="s">
        <v>305</v>
      </c>
      <c r="C501" s="471">
        <f>SUM(C502:C504)</f>
        <v>582030</v>
      </c>
      <c r="D501" s="693">
        <f>SUM(D502:D504)</f>
        <v>582030</v>
      </c>
      <c r="E501" s="473"/>
      <c r="F501" s="495"/>
      <c r="G501" s="473"/>
      <c r="H501" s="693">
        <f>SUM(H502:H504)</f>
        <v>582030</v>
      </c>
      <c r="I501" s="633"/>
    </row>
    <row r="502" spans="1:9" ht="12">
      <c r="A502" s="469"/>
      <c r="B502" s="478" t="s">
        <v>291</v>
      </c>
      <c r="C502" s="479">
        <f>SUM(D502:E502)</f>
        <v>526630</v>
      </c>
      <c r="D502" s="480">
        <f>F502+H502</f>
        <v>526630</v>
      </c>
      <c r="E502" s="473"/>
      <c r="F502" s="495"/>
      <c r="G502" s="473"/>
      <c r="H502" s="499">
        <v>526630</v>
      </c>
      <c r="I502" s="505"/>
    </row>
    <row r="503" spans="1:9" ht="12">
      <c r="A503" s="469"/>
      <c r="B503" s="478" t="s">
        <v>292</v>
      </c>
      <c r="C503" s="471"/>
      <c r="D503" s="495"/>
      <c r="E503" s="473"/>
      <c r="F503" s="495"/>
      <c r="G503" s="473"/>
      <c r="H503" s="499"/>
      <c r="I503" s="505"/>
    </row>
    <row r="504" spans="1:9" ht="12">
      <c r="A504" s="469"/>
      <c r="B504" s="470" t="s">
        <v>271</v>
      </c>
      <c r="C504" s="471">
        <f>SUM(D504:E504)</f>
        <v>55400</v>
      </c>
      <c r="D504" s="480">
        <f>F504+H504</f>
        <v>55400</v>
      </c>
      <c r="E504" s="473"/>
      <c r="F504" s="495"/>
      <c r="G504" s="473"/>
      <c r="H504" s="499">
        <v>55400</v>
      </c>
      <c r="I504" s="505"/>
    </row>
    <row r="505" spans="1:9" ht="12">
      <c r="A505" s="469"/>
      <c r="B505" s="470" t="s">
        <v>266</v>
      </c>
      <c r="C505" s="471">
        <f>SUM(C506)</f>
        <v>10200</v>
      </c>
      <c r="D505" s="472">
        <f>SUM(D506)</f>
        <v>10200</v>
      </c>
      <c r="E505" s="473"/>
      <c r="F505" s="495"/>
      <c r="G505" s="473"/>
      <c r="H505" s="495">
        <f>SUM(H506)</f>
        <v>10200</v>
      </c>
      <c r="I505" s="496"/>
    </row>
    <row r="506" spans="1:9" s="485" customFormat="1" ht="12">
      <c r="A506" s="477"/>
      <c r="B506" s="478" t="s">
        <v>267</v>
      </c>
      <c r="C506" s="471">
        <f>SUM(D506:E506)</f>
        <v>10200</v>
      </c>
      <c r="D506" s="480">
        <f>F506+H506</f>
        <v>10200</v>
      </c>
      <c r="E506" s="481"/>
      <c r="F506" s="499"/>
      <c r="G506" s="481"/>
      <c r="H506" s="499">
        <v>10200</v>
      </c>
      <c r="I506" s="505"/>
    </row>
    <row r="507" spans="1:9" ht="24">
      <c r="A507" s="508">
        <v>85219</v>
      </c>
      <c r="B507" s="596" t="s">
        <v>365</v>
      </c>
      <c r="C507" s="500">
        <f>SUM(C508+C513)</f>
        <v>5421533</v>
      </c>
      <c r="D507" s="501">
        <f>SUM(D508+D513)</f>
        <v>5421533</v>
      </c>
      <c r="E507" s="502"/>
      <c r="F507" s="503">
        <f>SUM(F508+F513)</f>
        <v>5421533</v>
      </c>
      <c r="G507" s="502"/>
      <c r="H507" s="503"/>
      <c r="I507" s="504"/>
    </row>
    <row r="508" spans="1:9" ht="12.75">
      <c r="A508" s="614"/>
      <c r="B508" s="692" t="s">
        <v>270</v>
      </c>
      <c r="C508" s="566">
        <f>SUM(C509:C511)</f>
        <v>5401733</v>
      </c>
      <c r="D508" s="616">
        <f>F508+H508</f>
        <v>5401733</v>
      </c>
      <c r="E508" s="617"/>
      <c r="F508" s="618">
        <f>SUM(F509:F511)</f>
        <v>5401733</v>
      </c>
      <c r="G508" s="638"/>
      <c r="H508" s="618"/>
      <c r="I508" s="621"/>
    </row>
    <row r="509" spans="1:9" s="485" customFormat="1" ht="9.75" customHeight="1">
      <c r="A509" s="477"/>
      <c r="B509" s="478" t="s">
        <v>291</v>
      </c>
      <c r="C509" s="479">
        <f>SUM(D509:E509)</f>
        <v>4652320</v>
      </c>
      <c r="D509" s="480">
        <f>F509+H509</f>
        <v>4652320</v>
      </c>
      <c r="E509" s="481"/>
      <c r="F509" s="499">
        <v>4652320</v>
      </c>
      <c r="G509" s="481"/>
      <c r="H509" s="499"/>
      <c r="I509" s="505"/>
    </row>
    <row r="510" spans="1:9" s="485" customFormat="1" ht="10.5" customHeight="1">
      <c r="A510" s="477"/>
      <c r="B510" s="478" t="s">
        <v>292</v>
      </c>
      <c r="C510" s="471"/>
      <c r="D510" s="480"/>
      <c r="E510" s="481"/>
      <c r="F510" s="499"/>
      <c r="G510" s="481"/>
      <c r="H510" s="499"/>
      <c r="I510" s="505"/>
    </row>
    <row r="511" spans="1:9" s="485" customFormat="1" ht="9" customHeight="1">
      <c r="A511" s="477"/>
      <c r="B511" s="478" t="s">
        <v>271</v>
      </c>
      <c r="C511" s="471">
        <f>SUM(D511:E511)</f>
        <v>749413</v>
      </c>
      <c r="D511" s="480">
        <f>F511+H511</f>
        <v>749413</v>
      </c>
      <c r="E511" s="481"/>
      <c r="F511" s="499">
        <v>749413</v>
      </c>
      <c r="G511" s="481"/>
      <c r="H511" s="499"/>
      <c r="I511" s="505"/>
    </row>
    <row r="512" spans="1:9" s="485" customFormat="1" ht="12.75" customHeight="1">
      <c r="A512" s="591"/>
      <c r="B512" s="558" t="s">
        <v>295</v>
      </c>
      <c r="C512" s="730">
        <f>SUM(D512:E512)</f>
        <v>105000</v>
      </c>
      <c r="D512" s="559">
        <f>F512+H512</f>
        <v>105000</v>
      </c>
      <c r="E512" s="560"/>
      <c r="F512" s="561">
        <v>105000</v>
      </c>
      <c r="G512" s="560"/>
      <c r="H512" s="561"/>
      <c r="I512" s="631"/>
    </row>
    <row r="513" spans="1:9" ht="12">
      <c r="A513" s="469"/>
      <c r="B513" s="470" t="s">
        <v>266</v>
      </c>
      <c r="C513" s="471">
        <f>SUM(C514)</f>
        <v>19800</v>
      </c>
      <c r="D513" s="472">
        <f>SUM(D514)</f>
        <v>19800</v>
      </c>
      <c r="E513" s="473"/>
      <c r="F513" s="495">
        <f>F514</f>
        <v>19800</v>
      </c>
      <c r="G513" s="473"/>
      <c r="H513" s="495"/>
      <c r="I513" s="496"/>
    </row>
    <row r="514" spans="1:9" s="485" customFormat="1" ht="12">
      <c r="A514" s="591"/>
      <c r="B514" s="558" t="s">
        <v>267</v>
      </c>
      <c r="C514" s="730">
        <f>SUM(D514:E514)</f>
        <v>19800</v>
      </c>
      <c r="D514" s="559">
        <f>F514+H514</f>
        <v>19800</v>
      </c>
      <c r="E514" s="560"/>
      <c r="F514" s="561">
        <v>19800</v>
      </c>
      <c r="G514" s="560"/>
      <c r="H514" s="561"/>
      <c r="I514" s="631"/>
    </row>
    <row r="515" spans="1:9" s="493" customFormat="1" ht="46.5" customHeight="1">
      <c r="A515" s="508">
        <v>85220</v>
      </c>
      <c r="B515" s="596" t="s">
        <v>366</v>
      </c>
      <c r="C515" s="500">
        <f>SUM(C516)</f>
        <v>132015</v>
      </c>
      <c r="D515" s="501">
        <f>SUM(D516)</f>
        <v>132015</v>
      </c>
      <c r="E515" s="502"/>
      <c r="F515" s="503"/>
      <c r="G515" s="502"/>
      <c r="H515" s="503">
        <f>SUM(H516)</f>
        <v>132015</v>
      </c>
      <c r="I515" s="504"/>
    </row>
    <row r="516" spans="1:9" ht="13.5" customHeight="1">
      <c r="A516" s="469"/>
      <c r="B516" s="470" t="s">
        <v>305</v>
      </c>
      <c r="C516" s="471">
        <f>C517+C519+C520</f>
        <v>132015</v>
      </c>
      <c r="D516" s="472">
        <f>F516+H516</f>
        <v>132015</v>
      </c>
      <c r="E516" s="473"/>
      <c r="F516" s="474"/>
      <c r="G516" s="475"/>
      <c r="H516" s="474">
        <f>SUM(H517:H520)</f>
        <v>132015</v>
      </c>
      <c r="I516" s="476"/>
    </row>
    <row r="517" spans="1:9" ht="12">
      <c r="A517" s="469"/>
      <c r="B517" s="478" t="s">
        <v>291</v>
      </c>
      <c r="C517" s="479">
        <f>SUM(D517:E517)</f>
        <v>3650</v>
      </c>
      <c r="D517" s="480">
        <f>F517+H517</f>
        <v>3650</v>
      </c>
      <c r="E517" s="473"/>
      <c r="F517" s="495"/>
      <c r="G517" s="473"/>
      <c r="H517" s="499">
        <v>3650</v>
      </c>
      <c r="I517" s="505"/>
    </row>
    <row r="518" spans="1:9" ht="12">
      <c r="A518" s="469"/>
      <c r="B518" s="478" t="s">
        <v>292</v>
      </c>
      <c r="C518" s="471"/>
      <c r="D518" s="495"/>
      <c r="E518" s="473"/>
      <c r="F518" s="495"/>
      <c r="G518" s="473"/>
      <c r="H518" s="499"/>
      <c r="I518" s="505"/>
    </row>
    <row r="519" spans="1:9" s="485" customFormat="1" ht="12">
      <c r="A519" s="477"/>
      <c r="B519" s="498" t="s">
        <v>288</v>
      </c>
      <c r="C519" s="479">
        <f>SUM(D519:E519)</f>
        <v>120000</v>
      </c>
      <c r="D519" s="480">
        <f>F519+H519</f>
        <v>120000</v>
      </c>
      <c r="E519" s="481"/>
      <c r="F519" s="499"/>
      <c r="G519" s="481"/>
      <c r="H519" s="499">
        <v>120000</v>
      </c>
      <c r="I519" s="505"/>
    </row>
    <row r="520" spans="1:9" s="485" customFormat="1" ht="9.75" customHeight="1">
      <c r="A520" s="591"/>
      <c r="B520" s="558" t="s">
        <v>271</v>
      </c>
      <c r="C520" s="552">
        <f>SUM(D520:E520)</f>
        <v>8365</v>
      </c>
      <c r="D520" s="559">
        <f>F520+H520</f>
        <v>8365</v>
      </c>
      <c r="E520" s="560"/>
      <c r="F520" s="561"/>
      <c r="G520" s="560"/>
      <c r="H520" s="561">
        <v>8365</v>
      </c>
      <c r="I520" s="631"/>
    </row>
    <row r="521" spans="1:9" s="493" customFormat="1" ht="24">
      <c r="A521" s="508">
        <v>85226</v>
      </c>
      <c r="B521" s="596" t="s">
        <v>367</v>
      </c>
      <c r="C521" s="500">
        <f>SUM(C522)</f>
        <v>298250</v>
      </c>
      <c r="D521" s="501">
        <f>SUM(D522)</f>
        <v>298250</v>
      </c>
      <c r="E521" s="502"/>
      <c r="F521" s="503"/>
      <c r="G521" s="661"/>
      <c r="H521" s="503">
        <f>SUM(H522)</f>
        <v>298250</v>
      </c>
      <c r="I521" s="405"/>
    </row>
    <row r="522" spans="1:9" ht="12.75">
      <c r="A522" s="469"/>
      <c r="B522" s="494" t="s">
        <v>270</v>
      </c>
      <c r="C522" s="471">
        <f>SUM(C523:C525)</f>
        <v>298250</v>
      </c>
      <c r="D522" s="472">
        <f>SUM(D523:D525)</f>
        <v>298250</v>
      </c>
      <c r="E522" s="473"/>
      <c r="F522" s="474"/>
      <c r="G522" s="554"/>
      <c r="H522" s="474">
        <f>SUM(H523:H525)</f>
        <v>298250</v>
      </c>
      <c r="I522" s="556"/>
    </row>
    <row r="523" spans="1:9" ht="12">
      <c r="A523" s="469"/>
      <c r="B523" s="478" t="s">
        <v>291</v>
      </c>
      <c r="C523" s="479">
        <f>SUM(D523:E523)</f>
        <v>257550</v>
      </c>
      <c r="D523" s="480">
        <f>F523+H523</f>
        <v>257550</v>
      </c>
      <c r="E523" s="481"/>
      <c r="F523" s="499"/>
      <c r="G523" s="473"/>
      <c r="H523" s="499">
        <v>257550</v>
      </c>
      <c r="I523" s="496"/>
    </row>
    <row r="524" spans="1:9" ht="12">
      <c r="A524" s="469"/>
      <c r="B524" s="478" t="s">
        <v>292</v>
      </c>
      <c r="C524" s="479"/>
      <c r="D524" s="480"/>
      <c r="E524" s="481"/>
      <c r="F524" s="499"/>
      <c r="G524" s="473"/>
      <c r="H524" s="499"/>
      <c r="I524" s="496"/>
    </row>
    <row r="525" spans="1:9" ht="11.25" customHeight="1">
      <c r="A525" s="469"/>
      <c r="B525" s="498" t="s">
        <v>271</v>
      </c>
      <c r="C525" s="479">
        <f>SUM(D525:E525)</f>
        <v>40700</v>
      </c>
      <c r="D525" s="480">
        <f>F525+H525</f>
        <v>40700</v>
      </c>
      <c r="E525" s="481"/>
      <c r="F525" s="499"/>
      <c r="G525" s="473"/>
      <c r="H525" s="499">
        <v>40700</v>
      </c>
      <c r="I525" s="496"/>
    </row>
    <row r="526" spans="1:9" s="485" customFormat="1" ht="0.75" customHeight="1" hidden="1">
      <c r="A526" s="477"/>
      <c r="B526" s="478" t="s">
        <v>295</v>
      </c>
      <c r="C526" s="471">
        <f>SUM(D526:E526)</f>
        <v>0</v>
      </c>
      <c r="D526" s="480">
        <f>F526+H526</f>
        <v>0</v>
      </c>
      <c r="E526" s="481"/>
      <c r="F526" s="499"/>
      <c r="G526" s="481"/>
      <c r="H526" s="499">
        <v>0</v>
      </c>
      <c r="I526" s="505"/>
    </row>
    <row r="527" spans="1:9" s="493" customFormat="1" ht="36">
      <c r="A527" s="508">
        <v>85228</v>
      </c>
      <c r="B527" s="596" t="s">
        <v>368</v>
      </c>
      <c r="C527" s="500">
        <f>SUM(C528)</f>
        <v>144820</v>
      </c>
      <c r="D527" s="501">
        <f>SUM(D528)</f>
        <v>24820</v>
      </c>
      <c r="E527" s="502">
        <f>SUM(E528)</f>
        <v>120000</v>
      </c>
      <c r="F527" s="761">
        <f>SUM(F528)</f>
        <v>24820</v>
      </c>
      <c r="G527" s="502">
        <f>SUM(G528)</f>
        <v>120000</v>
      </c>
      <c r="H527" s="672"/>
      <c r="I527" s="405"/>
    </row>
    <row r="528" spans="1:9" ht="12.75">
      <c r="A528" s="469"/>
      <c r="B528" s="494" t="s">
        <v>270</v>
      </c>
      <c r="C528" s="471">
        <f>SUM(C529:C531)</f>
        <v>144820</v>
      </c>
      <c r="D528" s="472">
        <f>SUM(D529:D531)</f>
        <v>24820</v>
      </c>
      <c r="E528" s="473">
        <f>SUM(E529:E531)</f>
        <v>120000</v>
      </c>
      <c r="F528" s="688">
        <f>SUM(F529:F531)</f>
        <v>24820</v>
      </c>
      <c r="G528" s="475">
        <f>SUM(G529:G531)</f>
        <v>120000</v>
      </c>
      <c r="H528" s="742"/>
      <c r="I528" s="556"/>
    </row>
    <row r="529" spans="1:9" ht="12">
      <c r="A529" s="469"/>
      <c r="B529" s="478" t="s">
        <v>291</v>
      </c>
      <c r="C529" s="479">
        <f>SUM(D529:E529)</f>
        <v>3820</v>
      </c>
      <c r="D529" s="480">
        <f>F529+H529</f>
        <v>3820</v>
      </c>
      <c r="E529" s="481"/>
      <c r="F529" s="519">
        <v>3820</v>
      </c>
      <c r="G529" s="481"/>
      <c r="H529" s="601"/>
      <c r="I529" s="496"/>
    </row>
    <row r="530" spans="1:9" ht="12">
      <c r="A530" s="469"/>
      <c r="B530" s="478" t="s">
        <v>292</v>
      </c>
      <c r="C530" s="479"/>
      <c r="D530" s="480"/>
      <c r="E530" s="481"/>
      <c r="F530" s="519"/>
      <c r="G530" s="481"/>
      <c r="H530" s="601"/>
      <c r="I530" s="496"/>
    </row>
    <row r="531" spans="1:9" ht="13.5" customHeight="1">
      <c r="A531" s="557"/>
      <c r="B531" s="592" t="s">
        <v>271</v>
      </c>
      <c r="C531" s="552">
        <f>SUM(D531:E531)</f>
        <v>141000</v>
      </c>
      <c r="D531" s="559">
        <f>F531+H531</f>
        <v>21000</v>
      </c>
      <c r="E531" s="560">
        <f>G531+I531</f>
        <v>120000</v>
      </c>
      <c r="F531" s="762">
        <v>21000</v>
      </c>
      <c r="G531" s="560">
        <v>120000</v>
      </c>
      <c r="H531" s="712"/>
      <c r="I531" s="709"/>
    </row>
    <row r="532" spans="1:9" ht="14.25" customHeight="1">
      <c r="A532" s="508">
        <v>85295</v>
      </c>
      <c r="B532" s="596" t="s">
        <v>276</v>
      </c>
      <c r="C532" s="488">
        <f>SUM(C533+C536)</f>
        <v>1704000</v>
      </c>
      <c r="D532" s="489">
        <f>SUM(D533+D536)</f>
        <v>1704000</v>
      </c>
      <c r="E532" s="490"/>
      <c r="F532" s="491">
        <f>SUM(F533+F536)</f>
        <v>1704000</v>
      </c>
      <c r="G532" s="490"/>
      <c r="H532" s="491"/>
      <c r="I532" s="492"/>
    </row>
    <row r="533" spans="1:9" ht="12.75">
      <c r="A533" s="614"/>
      <c r="B533" s="692" t="s">
        <v>305</v>
      </c>
      <c r="C533" s="763">
        <f>SUM(C534:C535)</f>
        <v>704000</v>
      </c>
      <c r="D533" s="472">
        <f>F533+H533</f>
        <v>704000</v>
      </c>
      <c r="E533" s="473"/>
      <c r="F533" s="620">
        <f>SUM(F534:F535)</f>
        <v>704000</v>
      </c>
      <c r="G533" s="619"/>
      <c r="H533" s="620"/>
      <c r="I533" s="675"/>
    </row>
    <row r="534" spans="1:9" s="570" customFormat="1" ht="9.75" customHeight="1">
      <c r="A534" s="477"/>
      <c r="B534" s="478" t="s">
        <v>288</v>
      </c>
      <c r="C534" s="479">
        <f>SUM(D534:E534)</f>
        <v>174000</v>
      </c>
      <c r="D534" s="480">
        <f>F534+H534</f>
        <v>174000</v>
      </c>
      <c r="E534" s="481"/>
      <c r="F534" s="499">
        <v>174000</v>
      </c>
      <c r="G534" s="483"/>
      <c r="H534" s="482"/>
      <c r="I534" s="484"/>
    </row>
    <row r="535" spans="1:9" s="570" customFormat="1" ht="12.75">
      <c r="A535" s="477"/>
      <c r="B535" s="478" t="s">
        <v>271</v>
      </c>
      <c r="C535" s="479">
        <f>SUM(D535:E535)</f>
        <v>530000</v>
      </c>
      <c r="D535" s="480">
        <f>F535+H535</f>
        <v>530000</v>
      </c>
      <c r="E535" s="481"/>
      <c r="F535" s="499">
        <v>530000</v>
      </c>
      <c r="G535" s="483"/>
      <c r="H535" s="482"/>
      <c r="I535" s="484"/>
    </row>
    <row r="536" spans="1:9" ht="12">
      <c r="A536" s="469"/>
      <c r="B536" s="470" t="s">
        <v>266</v>
      </c>
      <c r="C536" s="471">
        <f>SUM(C537)</f>
        <v>1000000</v>
      </c>
      <c r="D536" s="472">
        <f>SUM(D537)</f>
        <v>1000000</v>
      </c>
      <c r="E536" s="473"/>
      <c r="F536" s="495">
        <f>SUM(F537)</f>
        <v>1000000</v>
      </c>
      <c r="G536" s="473"/>
      <c r="H536" s="495"/>
      <c r="I536" s="496"/>
    </row>
    <row r="537" spans="1:9" s="485" customFormat="1" ht="12.75" thickBot="1">
      <c r="A537" s="477"/>
      <c r="B537" s="478" t="s">
        <v>280</v>
      </c>
      <c r="C537" s="471">
        <f>SUM(D537:E537)</f>
        <v>1000000</v>
      </c>
      <c r="D537" s="480">
        <f>F537+H537</f>
        <v>1000000</v>
      </c>
      <c r="E537" s="481"/>
      <c r="F537" s="499">
        <v>1000000</v>
      </c>
      <c r="G537" s="481"/>
      <c r="H537" s="499"/>
      <c r="I537" s="505"/>
    </row>
    <row r="538" spans="1:9" s="570" customFormat="1" ht="53.25" customHeight="1" thickBot="1" thickTop="1">
      <c r="A538" s="764">
        <v>853</v>
      </c>
      <c r="B538" s="464" t="s">
        <v>167</v>
      </c>
      <c r="C538" s="465">
        <f>C539+C544+C542</f>
        <v>2002422</v>
      </c>
      <c r="D538" s="419">
        <f>D539+D544+D542</f>
        <v>1896422</v>
      </c>
      <c r="E538" s="422">
        <f>E539+E544+E542</f>
        <v>106000</v>
      </c>
      <c r="F538" s="467">
        <f>F539+F544+F542</f>
        <v>1849000</v>
      </c>
      <c r="G538" s="466"/>
      <c r="H538" s="467">
        <f>H539+H544</f>
        <v>47422</v>
      </c>
      <c r="I538" s="678">
        <f>I539+I544+I542</f>
        <v>106000</v>
      </c>
    </row>
    <row r="539" spans="1:9" ht="13.5" customHeight="1" thickTop="1">
      <c r="A539" s="508">
        <v>85305</v>
      </c>
      <c r="B539" s="596" t="s">
        <v>369</v>
      </c>
      <c r="C539" s="500">
        <f aca="true" t="shared" si="22" ref="C539:F542">SUM(C540)</f>
        <v>1849000</v>
      </c>
      <c r="D539" s="501">
        <f t="shared" si="22"/>
        <v>1849000</v>
      </c>
      <c r="E539" s="502"/>
      <c r="F539" s="503">
        <f t="shared" si="22"/>
        <v>1849000</v>
      </c>
      <c r="G539" s="502"/>
      <c r="H539" s="503"/>
      <c r="I539" s="504"/>
    </row>
    <row r="540" spans="1:9" ht="13.5" customHeight="1">
      <c r="A540" s="469"/>
      <c r="B540" s="470" t="s">
        <v>305</v>
      </c>
      <c r="C540" s="471">
        <f t="shared" si="22"/>
        <v>1849000</v>
      </c>
      <c r="D540" s="472">
        <f t="shared" si="22"/>
        <v>1849000</v>
      </c>
      <c r="E540" s="473"/>
      <c r="F540" s="474">
        <f t="shared" si="22"/>
        <v>1849000</v>
      </c>
      <c r="G540" s="475"/>
      <c r="H540" s="474"/>
      <c r="I540" s="476"/>
    </row>
    <row r="541" spans="1:9" s="485" customFormat="1" ht="15" customHeight="1">
      <c r="A541" s="591"/>
      <c r="B541" s="558" t="s">
        <v>288</v>
      </c>
      <c r="C541" s="552">
        <f>SUM(D541:E541)</f>
        <v>1849000</v>
      </c>
      <c r="D541" s="559">
        <f>F541+H541</f>
        <v>1849000</v>
      </c>
      <c r="E541" s="560"/>
      <c r="F541" s="561">
        <v>1849000</v>
      </c>
      <c r="G541" s="560"/>
      <c r="H541" s="561"/>
      <c r="I541" s="631"/>
    </row>
    <row r="542" spans="1:9" s="485" customFormat="1" ht="42.75" customHeight="1" hidden="1">
      <c r="A542" s="543">
        <v>85311</v>
      </c>
      <c r="B542" s="585" t="s">
        <v>370</v>
      </c>
      <c r="C542" s="500">
        <f t="shared" si="22"/>
        <v>0</v>
      </c>
      <c r="D542" s="501">
        <f t="shared" si="22"/>
        <v>0</v>
      </c>
      <c r="E542" s="588"/>
      <c r="F542" s="707">
        <f t="shared" si="22"/>
        <v>0</v>
      </c>
      <c r="G542" s="588"/>
      <c r="H542" s="589"/>
      <c r="I542" s="590"/>
    </row>
    <row r="543" spans="1:9" s="485" customFormat="1" ht="15" customHeight="1" hidden="1">
      <c r="A543" s="591"/>
      <c r="B543" s="558" t="s">
        <v>271</v>
      </c>
      <c r="C543" s="552">
        <f>SUM(D543:E543)</f>
        <v>0</v>
      </c>
      <c r="D543" s="559">
        <f>F543+H543</f>
        <v>0</v>
      </c>
      <c r="E543" s="560"/>
      <c r="F543" s="561">
        <v>0</v>
      </c>
      <c r="G543" s="560"/>
      <c r="H543" s="561"/>
      <c r="I543" s="631"/>
    </row>
    <row r="544" spans="1:9" s="493" customFormat="1" ht="24" customHeight="1">
      <c r="A544" s="508">
        <v>85321</v>
      </c>
      <c r="B544" s="596" t="s">
        <v>371</v>
      </c>
      <c r="C544" s="500">
        <f>SUM(C545+C549)</f>
        <v>153422</v>
      </c>
      <c r="D544" s="501">
        <f>SUM(D545+D549)</f>
        <v>47422</v>
      </c>
      <c r="E544" s="672">
        <f>SUM(E545+E549)</f>
        <v>106000</v>
      </c>
      <c r="F544" s="503"/>
      <c r="G544" s="502"/>
      <c r="H544" s="503">
        <f>H545+H549</f>
        <v>47422</v>
      </c>
      <c r="I544" s="504">
        <f>I545</f>
        <v>106000</v>
      </c>
    </row>
    <row r="545" spans="1:9" ht="12.75">
      <c r="A545" s="469"/>
      <c r="B545" s="470" t="s">
        <v>305</v>
      </c>
      <c r="C545" s="471">
        <f>SUM(C546:C548)</f>
        <v>153422</v>
      </c>
      <c r="D545" s="472">
        <f>SUM(D546:D548)</f>
        <v>47422</v>
      </c>
      <c r="E545" s="550">
        <f>SUM(E546:E548)</f>
        <v>106000</v>
      </c>
      <c r="F545" s="474"/>
      <c r="G545" s="475"/>
      <c r="H545" s="474">
        <f>SUM(H546:H548)</f>
        <v>47422</v>
      </c>
      <c r="I545" s="476">
        <f>I546+I548</f>
        <v>106000</v>
      </c>
    </row>
    <row r="546" spans="1:9" s="485" customFormat="1" ht="12">
      <c r="A546" s="477"/>
      <c r="B546" s="478" t="s">
        <v>291</v>
      </c>
      <c r="C546" s="479">
        <f>SUM(D546:E546)</f>
        <v>121402</v>
      </c>
      <c r="D546" s="480">
        <f>F546+H546</f>
        <v>33102</v>
      </c>
      <c r="E546" s="601">
        <f>G546+I546</f>
        <v>88300</v>
      </c>
      <c r="F546" s="499"/>
      <c r="G546" s="481"/>
      <c r="H546" s="499">
        <v>33102</v>
      </c>
      <c r="I546" s="505">
        <v>88300</v>
      </c>
    </row>
    <row r="547" spans="1:9" s="485" customFormat="1" ht="12">
      <c r="A547" s="477"/>
      <c r="B547" s="478" t="s">
        <v>292</v>
      </c>
      <c r="C547" s="479"/>
      <c r="D547" s="480"/>
      <c r="E547" s="602"/>
      <c r="F547" s="499"/>
      <c r="G547" s="481"/>
      <c r="H547" s="499"/>
      <c r="I547" s="505"/>
    </row>
    <row r="548" spans="1:9" ht="12.75" thickBot="1">
      <c r="A548" s="469"/>
      <c r="B548" s="498" t="s">
        <v>271</v>
      </c>
      <c r="C548" s="479">
        <f>SUM(D548:E548)</f>
        <v>32020</v>
      </c>
      <c r="D548" s="480">
        <f>F548+H548</f>
        <v>14320</v>
      </c>
      <c r="E548" s="601">
        <f>G548+I548</f>
        <v>17700</v>
      </c>
      <c r="F548" s="499"/>
      <c r="G548" s="473"/>
      <c r="H548" s="499">
        <v>14320</v>
      </c>
      <c r="I548" s="505">
        <v>17700</v>
      </c>
    </row>
    <row r="549" spans="1:9" ht="12.75" hidden="1" thickBot="1">
      <c r="A549" s="469"/>
      <c r="B549" s="740" t="s">
        <v>266</v>
      </c>
      <c r="C549" s="471">
        <f>SUM(C550)</f>
        <v>0</v>
      </c>
      <c r="D549" s="472">
        <f>SUM(D550)</f>
        <v>0</v>
      </c>
      <c r="E549" s="473"/>
      <c r="F549" s="495"/>
      <c r="G549" s="473"/>
      <c r="H549" s="550">
        <f>H550</f>
        <v>0</v>
      </c>
      <c r="I549" s="634"/>
    </row>
    <row r="550" spans="1:9" ht="12.75" hidden="1" thickBot="1">
      <c r="A550" s="765"/>
      <c r="B550" s="703" t="s">
        <v>267</v>
      </c>
      <c r="C550" s="471">
        <f>SUM(D550:E550)</f>
        <v>0</v>
      </c>
      <c r="D550" s="480">
        <f>F550+H550</f>
        <v>0</v>
      </c>
      <c r="E550" s="481"/>
      <c r="F550" s="499"/>
      <c r="G550" s="473"/>
      <c r="H550" s="601">
        <v>0</v>
      </c>
      <c r="I550" s="634"/>
    </row>
    <row r="551" spans="1:9" s="533" customFormat="1" ht="36.75" customHeight="1" thickBot="1" thickTop="1">
      <c r="A551" s="764">
        <v>854</v>
      </c>
      <c r="B551" s="464" t="s">
        <v>169</v>
      </c>
      <c r="C551" s="465">
        <f>C560+C566+C572+C577+C583+C588+C596+C601+C609+C606</f>
        <v>8477600</v>
      </c>
      <c r="D551" s="419">
        <f>D560+D566+D572+D577+D583+D588+D596+D601+D609+D606</f>
        <v>8477600</v>
      </c>
      <c r="E551" s="466"/>
      <c r="F551" s="467">
        <f>F560+F566+F572+F577+F583+F588+F596+F601+F609+F606</f>
        <v>1451700</v>
      </c>
      <c r="G551" s="466"/>
      <c r="H551" s="467">
        <f>H560+H566+H572+H577+H583+H588+H596+H601+H609+H606</f>
        <v>7025900</v>
      </c>
      <c r="I551" s="423"/>
    </row>
    <row r="552" spans="1:9" s="533" customFormat="1" ht="14.25" thickTop="1">
      <c r="A552" s="766"/>
      <c r="B552" s="767" t="s">
        <v>305</v>
      </c>
      <c r="C552" s="525">
        <f>D552+E552</f>
        <v>8282600</v>
      </c>
      <c r="D552" s="526">
        <f>F552+H552</f>
        <v>8282600</v>
      </c>
      <c r="E552" s="527"/>
      <c r="F552" s="529">
        <f>F561+F567+F578+F584+F589+F597+F602+F607+F610</f>
        <v>1451700</v>
      </c>
      <c r="G552" s="529"/>
      <c r="H552" s="529">
        <f>H561+H567+H578+H584+H589+H597+H602+H607+H610</f>
        <v>6830900</v>
      </c>
      <c r="I552" s="530"/>
    </row>
    <row r="553" spans="1:9" s="485" customFormat="1" ht="12">
      <c r="A553" s="768"/>
      <c r="B553" s="478" t="s">
        <v>291</v>
      </c>
      <c r="C553" s="479">
        <f aca="true" t="shared" si="23" ref="C553:C559">D553+E553</f>
        <v>5954100</v>
      </c>
      <c r="D553" s="480">
        <f aca="true" t="shared" si="24" ref="D553:D559">F553+H553</f>
        <v>5954100</v>
      </c>
      <c r="E553" s="481"/>
      <c r="F553" s="519">
        <f>F562+F568+F579+F585+F590+F603+F611</f>
        <v>1167700</v>
      </c>
      <c r="G553" s="481"/>
      <c r="H553" s="499">
        <f>H562+H568+H579+H585+H590+H603+H611</f>
        <v>4786400</v>
      </c>
      <c r="I553" s="505"/>
    </row>
    <row r="554" spans="1:9" s="485" customFormat="1" ht="12">
      <c r="A554" s="768"/>
      <c r="B554" s="478" t="s">
        <v>292</v>
      </c>
      <c r="C554" s="479"/>
      <c r="D554" s="480"/>
      <c r="E554" s="481"/>
      <c r="F554" s="519"/>
      <c r="G554" s="481"/>
      <c r="H554" s="499"/>
      <c r="I554" s="505"/>
    </row>
    <row r="555" spans="1:9" s="485" customFormat="1" ht="12">
      <c r="A555" s="768"/>
      <c r="B555" s="498" t="s">
        <v>288</v>
      </c>
      <c r="C555" s="479">
        <f t="shared" si="23"/>
        <v>29500</v>
      </c>
      <c r="D555" s="480">
        <f t="shared" si="24"/>
        <v>29500</v>
      </c>
      <c r="E555" s="481"/>
      <c r="F555" s="519">
        <f>F613</f>
        <v>29500</v>
      </c>
      <c r="G555" s="481"/>
      <c r="H555" s="499"/>
      <c r="I555" s="505"/>
    </row>
    <row r="556" spans="1:9" s="485" customFormat="1" ht="12">
      <c r="A556" s="768"/>
      <c r="B556" s="478" t="s">
        <v>271</v>
      </c>
      <c r="C556" s="479">
        <f t="shared" si="23"/>
        <v>2299000</v>
      </c>
      <c r="D556" s="480">
        <f t="shared" si="24"/>
        <v>2299000</v>
      </c>
      <c r="E556" s="481"/>
      <c r="F556" s="519">
        <f>F564+F570+F581+F587+F592+F600+F605+F608+F614</f>
        <v>254500</v>
      </c>
      <c r="G556" s="481"/>
      <c r="H556" s="499">
        <f>H564+H570+H581+H587+H592+H600+H605+H608+H614</f>
        <v>2044500</v>
      </c>
      <c r="I556" s="505"/>
    </row>
    <row r="557" spans="1:9" s="485" customFormat="1" ht="12">
      <c r="A557" s="769"/>
      <c r="B557" s="703" t="s">
        <v>295</v>
      </c>
      <c r="C557" s="471">
        <f t="shared" si="23"/>
        <v>24300</v>
      </c>
      <c r="D557" s="472">
        <f t="shared" si="24"/>
        <v>24300</v>
      </c>
      <c r="E557" s="473"/>
      <c r="F557" s="523"/>
      <c r="G557" s="473"/>
      <c r="H557" s="495">
        <f>H565+H571+H593</f>
        <v>24300</v>
      </c>
      <c r="I557" s="496"/>
    </row>
    <row r="558" spans="1:9" s="533" customFormat="1" ht="13.5">
      <c r="A558" s="766"/>
      <c r="B558" s="598" t="s">
        <v>266</v>
      </c>
      <c r="C558" s="525">
        <f t="shared" si="23"/>
        <v>195000</v>
      </c>
      <c r="D558" s="526">
        <f t="shared" si="24"/>
        <v>195000</v>
      </c>
      <c r="E558" s="527"/>
      <c r="F558" s="528"/>
      <c r="G558" s="527"/>
      <c r="H558" s="529">
        <f>H594+H616</f>
        <v>195000</v>
      </c>
      <c r="I558" s="530"/>
    </row>
    <row r="559" spans="1:9" s="485" customFormat="1" ht="13.5" customHeight="1">
      <c r="A559" s="770"/>
      <c r="B559" s="592" t="s">
        <v>280</v>
      </c>
      <c r="C559" s="552">
        <f t="shared" si="23"/>
        <v>195000</v>
      </c>
      <c r="D559" s="559">
        <f t="shared" si="24"/>
        <v>195000</v>
      </c>
      <c r="E559" s="560"/>
      <c r="F559" s="762"/>
      <c r="G559" s="560"/>
      <c r="H559" s="561">
        <f>H595+H617</f>
        <v>195000</v>
      </c>
      <c r="I559" s="631"/>
    </row>
    <row r="560" spans="1:9" s="493" customFormat="1" ht="15" customHeight="1">
      <c r="A560" s="543">
        <v>85401</v>
      </c>
      <c r="B560" s="585" t="s">
        <v>372</v>
      </c>
      <c r="C560" s="545">
        <f aca="true" t="shared" si="25" ref="C560:H560">SUM(C561)</f>
        <v>1221800</v>
      </c>
      <c r="D560" s="546">
        <f t="shared" si="25"/>
        <v>1221800</v>
      </c>
      <c r="E560" s="547"/>
      <c r="F560" s="548">
        <f t="shared" si="25"/>
        <v>1077100</v>
      </c>
      <c r="G560" s="547"/>
      <c r="H560" s="548">
        <f t="shared" si="25"/>
        <v>144700</v>
      </c>
      <c r="I560" s="549"/>
    </row>
    <row r="561" spans="1:9" ht="12.75">
      <c r="A561" s="614"/>
      <c r="B561" s="692" t="s">
        <v>305</v>
      </c>
      <c r="C561" s="763">
        <f>SUM(C562:C564)</f>
        <v>1221800</v>
      </c>
      <c r="D561" s="472">
        <f>F561+H561</f>
        <v>1221800</v>
      </c>
      <c r="E561" s="473"/>
      <c r="F561" s="620">
        <f>SUM(F562:F564)</f>
        <v>1077100</v>
      </c>
      <c r="G561" s="619"/>
      <c r="H561" s="620">
        <f>SUM(H562:H564)</f>
        <v>144700</v>
      </c>
      <c r="I561" s="675"/>
    </row>
    <row r="562" spans="1:9" s="570" customFormat="1" ht="12">
      <c r="A562" s="477"/>
      <c r="B562" s="478" t="s">
        <v>291</v>
      </c>
      <c r="C562" s="479">
        <f>SUM(D562:E562)</f>
        <v>1150200</v>
      </c>
      <c r="D562" s="480">
        <f>F562+H562</f>
        <v>1150200</v>
      </c>
      <c r="E562" s="481"/>
      <c r="F562" s="499">
        <v>1018100</v>
      </c>
      <c r="G562" s="481"/>
      <c r="H562" s="499">
        <v>132100</v>
      </c>
      <c r="I562" s="505"/>
    </row>
    <row r="563" spans="1:9" s="570" customFormat="1" ht="12">
      <c r="A563" s="477"/>
      <c r="B563" s="478" t="s">
        <v>292</v>
      </c>
      <c r="C563" s="479"/>
      <c r="D563" s="480"/>
      <c r="E563" s="481"/>
      <c r="F563" s="499"/>
      <c r="G563" s="481"/>
      <c r="H563" s="499"/>
      <c r="I563" s="505"/>
    </row>
    <row r="564" spans="1:9" s="570" customFormat="1" ht="9.75" customHeight="1">
      <c r="A564" s="477"/>
      <c r="B564" s="478" t="s">
        <v>271</v>
      </c>
      <c r="C564" s="479">
        <f>SUM(D564:E564)</f>
        <v>71600</v>
      </c>
      <c r="D564" s="480">
        <f>F564+H564</f>
        <v>71600</v>
      </c>
      <c r="E564" s="481"/>
      <c r="F564" s="499">
        <v>59000</v>
      </c>
      <c r="G564" s="481"/>
      <c r="H564" s="499">
        <v>12600</v>
      </c>
      <c r="I564" s="505"/>
    </row>
    <row r="565" spans="1:9" s="570" customFormat="1" ht="10.5" customHeight="1">
      <c r="A565" s="591"/>
      <c r="B565" s="558" t="s">
        <v>295</v>
      </c>
      <c r="C565" s="552">
        <f>SUM(D565:E565)</f>
        <v>300</v>
      </c>
      <c r="D565" s="559">
        <f>F565+H565</f>
        <v>300</v>
      </c>
      <c r="E565" s="560"/>
      <c r="F565" s="561"/>
      <c r="G565" s="560"/>
      <c r="H565" s="561">
        <v>300</v>
      </c>
      <c r="I565" s="631"/>
    </row>
    <row r="566" spans="1:9" s="485" customFormat="1" ht="25.5" customHeight="1">
      <c r="A566" s="508">
        <v>85403</v>
      </c>
      <c r="B566" s="596" t="s">
        <v>373</v>
      </c>
      <c r="C566" s="489">
        <f>SUM(C567+C575)</f>
        <v>1262400</v>
      </c>
      <c r="D566" s="489">
        <f>SUM(D567+D575)</f>
        <v>1262400</v>
      </c>
      <c r="E566" s="490"/>
      <c r="F566" s="491"/>
      <c r="G566" s="490"/>
      <c r="H566" s="771">
        <f>SUM(H567+H575)</f>
        <v>1262400</v>
      </c>
      <c r="I566" s="504"/>
    </row>
    <row r="567" spans="1:9" s="485" customFormat="1" ht="12.75">
      <c r="A567" s="733"/>
      <c r="B567" s="772" t="s">
        <v>305</v>
      </c>
      <c r="C567" s="773">
        <f>SUM(C568:C570)</f>
        <v>1262400</v>
      </c>
      <c r="D567" s="404">
        <f>F567+H567</f>
        <v>1262400</v>
      </c>
      <c r="E567" s="661"/>
      <c r="F567" s="774"/>
      <c r="G567" s="775"/>
      <c r="H567" s="774">
        <f>SUM(H568:H570)</f>
        <v>1262400</v>
      </c>
      <c r="I567" s="739"/>
    </row>
    <row r="568" spans="1:9" s="485" customFormat="1" ht="10.5" customHeight="1">
      <c r="A568" s="477"/>
      <c r="B568" s="478" t="s">
        <v>291</v>
      </c>
      <c r="C568" s="479">
        <f>SUM(D568:E568)</f>
        <v>975800</v>
      </c>
      <c r="D568" s="480">
        <f>F568+H568</f>
        <v>975800</v>
      </c>
      <c r="E568" s="481"/>
      <c r="F568" s="499"/>
      <c r="G568" s="481"/>
      <c r="H568" s="499">
        <v>975800</v>
      </c>
      <c r="I568" s="496"/>
    </row>
    <row r="569" spans="1:9" s="485" customFormat="1" ht="10.5" customHeight="1">
      <c r="A569" s="477"/>
      <c r="B569" s="478" t="s">
        <v>292</v>
      </c>
      <c r="C569" s="479"/>
      <c r="D569" s="480"/>
      <c r="E569" s="481"/>
      <c r="F569" s="499"/>
      <c r="G569" s="481"/>
      <c r="H569" s="499"/>
      <c r="I569" s="496"/>
    </row>
    <row r="570" spans="1:9" s="485" customFormat="1" ht="10.5" customHeight="1">
      <c r="A570" s="477"/>
      <c r="B570" s="478" t="s">
        <v>271</v>
      </c>
      <c r="C570" s="479">
        <f>SUM(D570:E570)</f>
        <v>286600</v>
      </c>
      <c r="D570" s="480">
        <f>F570+H570</f>
        <v>286600</v>
      </c>
      <c r="E570" s="481"/>
      <c r="F570" s="499"/>
      <c r="G570" s="481"/>
      <c r="H570" s="499">
        <v>286600</v>
      </c>
      <c r="I570" s="496"/>
    </row>
    <row r="571" spans="1:9" s="485" customFormat="1" ht="10.5" customHeight="1">
      <c r="A571" s="477"/>
      <c r="B571" s="478" t="s">
        <v>295</v>
      </c>
      <c r="C571" s="479">
        <f>SUM(D571:E571)</f>
        <v>8000</v>
      </c>
      <c r="D571" s="480">
        <f>F571+H571</f>
        <v>8000</v>
      </c>
      <c r="E571" s="481"/>
      <c r="F571" s="499"/>
      <c r="G571" s="481"/>
      <c r="H571" s="499">
        <v>8000</v>
      </c>
      <c r="I571" s="496"/>
    </row>
    <row r="572" spans="1:9" ht="14.25" customHeight="1" hidden="1">
      <c r="A572" s="543">
        <v>85404</v>
      </c>
      <c r="B572" s="585" t="s">
        <v>332</v>
      </c>
      <c r="C572" s="545">
        <f>SUM(C573)</f>
        <v>0</v>
      </c>
      <c r="D572" s="546">
        <f>SUM(D573)</f>
        <v>0</v>
      </c>
      <c r="E572" s="547"/>
      <c r="F572" s="548">
        <f>SUM(F573)</f>
        <v>0</v>
      </c>
      <c r="G572" s="547"/>
      <c r="H572" s="589"/>
      <c r="I572" s="590"/>
    </row>
    <row r="573" spans="1:9" ht="12.75" hidden="1">
      <c r="A573" s="469"/>
      <c r="B573" s="494" t="s">
        <v>270</v>
      </c>
      <c r="C573" s="471">
        <f>SUM(C574)</f>
        <v>0</v>
      </c>
      <c r="D573" s="472">
        <f>SUM(D574)</f>
        <v>0</v>
      </c>
      <c r="E573" s="473"/>
      <c r="F573" s="474">
        <f>SUM(F574)</f>
        <v>0</v>
      </c>
      <c r="G573" s="554"/>
      <c r="H573" s="555"/>
      <c r="I573" s="556"/>
    </row>
    <row r="574" spans="1:9" ht="12" hidden="1">
      <c r="A574" s="469"/>
      <c r="B574" s="498" t="s">
        <v>288</v>
      </c>
      <c r="C574" s="479">
        <f>SUM(D574:E574)</f>
        <v>0</v>
      </c>
      <c r="D574" s="480">
        <f>F574+H574</f>
        <v>0</v>
      </c>
      <c r="E574" s="481"/>
      <c r="F574" s="499"/>
      <c r="G574" s="473"/>
      <c r="H574" s="495"/>
      <c r="I574" s="709"/>
    </row>
    <row r="575" spans="1:9" ht="12" hidden="1">
      <c r="A575" s="469"/>
      <c r="B575" s="740" t="s">
        <v>266</v>
      </c>
      <c r="C575" s="471">
        <f>SUM(C576)</f>
        <v>0</v>
      </c>
      <c r="D575" s="472">
        <f>SUM(D576)</f>
        <v>0</v>
      </c>
      <c r="E575" s="473"/>
      <c r="F575" s="495"/>
      <c r="G575" s="473"/>
      <c r="H575" s="550">
        <f>H576</f>
        <v>0</v>
      </c>
      <c r="I575" s="496"/>
    </row>
    <row r="576" spans="1:9" ht="12" hidden="1">
      <c r="A576" s="557"/>
      <c r="B576" s="757" t="s">
        <v>267</v>
      </c>
      <c r="C576" s="730">
        <f>SUM(D576:E576)</f>
        <v>0</v>
      </c>
      <c r="D576" s="559">
        <f>F576+H576</f>
        <v>0</v>
      </c>
      <c r="E576" s="560"/>
      <c r="F576" s="561"/>
      <c r="G576" s="629"/>
      <c r="H576" s="712"/>
      <c r="I576" s="709"/>
    </row>
    <row r="577" spans="1:9" s="493" customFormat="1" ht="24.75" customHeight="1">
      <c r="A577" s="508">
        <v>85406</v>
      </c>
      <c r="B577" s="596" t="s">
        <v>374</v>
      </c>
      <c r="C577" s="488">
        <f aca="true" t="shared" si="26" ref="C577:H577">SUM(C578)</f>
        <v>1195500</v>
      </c>
      <c r="D577" s="489">
        <f t="shared" si="26"/>
        <v>1195500</v>
      </c>
      <c r="E577" s="490"/>
      <c r="F577" s="491"/>
      <c r="G577" s="490"/>
      <c r="H577" s="491">
        <f t="shared" si="26"/>
        <v>1195500</v>
      </c>
      <c r="I577" s="504"/>
    </row>
    <row r="578" spans="1:9" ht="12.75">
      <c r="A578" s="614"/>
      <c r="B578" s="692" t="s">
        <v>305</v>
      </c>
      <c r="C578" s="763">
        <f>SUM(C579:C581)</f>
        <v>1195500</v>
      </c>
      <c r="D578" s="472">
        <f>F578+H578</f>
        <v>1195500</v>
      </c>
      <c r="E578" s="473"/>
      <c r="F578" s="620"/>
      <c r="G578" s="619"/>
      <c r="H578" s="620">
        <f>SUM(H579:H581)</f>
        <v>1195500</v>
      </c>
      <c r="I578" s="675"/>
    </row>
    <row r="579" spans="1:9" s="570" customFormat="1" ht="12">
      <c r="A579" s="477"/>
      <c r="B579" s="478" t="s">
        <v>291</v>
      </c>
      <c r="C579" s="479">
        <f>SUM(D579:E579)</f>
        <v>1047400</v>
      </c>
      <c r="D579" s="480">
        <f>F579+H579</f>
        <v>1047400</v>
      </c>
      <c r="E579" s="481"/>
      <c r="F579" s="499"/>
      <c r="G579" s="481"/>
      <c r="H579" s="499">
        <v>1047400</v>
      </c>
      <c r="I579" s="505"/>
    </row>
    <row r="580" spans="1:9" s="570" customFormat="1" ht="12">
      <c r="A580" s="477"/>
      <c r="B580" s="478" t="s">
        <v>292</v>
      </c>
      <c r="C580" s="479"/>
      <c r="D580" s="480"/>
      <c r="E580" s="481"/>
      <c r="F580" s="499"/>
      <c r="G580" s="481"/>
      <c r="H580" s="499"/>
      <c r="I580" s="505"/>
    </row>
    <row r="581" spans="1:9" s="570" customFormat="1" ht="12">
      <c r="A581" s="477"/>
      <c r="B581" s="478" t="s">
        <v>271</v>
      </c>
      <c r="C581" s="479">
        <f>SUM(D581:E581)</f>
        <v>148100</v>
      </c>
      <c r="D581" s="480">
        <f>F581+H581</f>
        <v>148100</v>
      </c>
      <c r="E581" s="481"/>
      <c r="F581" s="499"/>
      <c r="G581" s="481"/>
      <c r="H581" s="499">
        <v>148100</v>
      </c>
      <c r="I581" s="505"/>
    </row>
    <row r="582" spans="1:9" s="570" customFormat="1" ht="12" hidden="1">
      <c r="A582" s="477"/>
      <c r="B582" s="478" t="s">
        <v>295</v>
      </c>
      <c r="C582" s="479">
        <f>SUM(D582:E582)</f>
        <v>0</v>
      </c>
      <c r="D582" s="480">
        <f>F582+H582</f>
        <v>0</v>
      </c>
      <c r="E582" s="481"/>
      <c r="F582" s="499"/>
      <c r="G582" s="481"/>
      <c r="H582" s="499"/>
      <c r="I582" s="505"/>
    </row>
    <row r="583" spans="1:9" s="493" customFormat="1" ht="24.75" customHeight="1">
      <c r="A583" s="508">
        <v>85407</v>
      </c>
      <c r="B583" s="596" t="s">
        <v>375</v>
      </c>
      <c r="C583" s="488">
        <f aca="true" t="shared" si="27" ref="C583:H583">SUM(C584)</f>
        <v>1067500</v>
      </c>
      <c r="D583" s="489">
        <f t="shared" si="27"/>
        <v>1067500</v>
      </c>
      <c r="E583" s="490"/>
      <c r="F583" s="491"/>
      <c r="G583" s="490"/>
      <c r="H583" s="491">
        <f t="shared" si="27"/>
        <v>1067500</v>
      </c>
      <c r="I583" s="492"/>
    </row>
    <row r="584" spans="1:9" ht="12.75">
      <c r="A584" s="614"/>
      <c r="B584" s="692" t="s">
        <v>305</v>
      </c>
      <c r="C584" s="763">
        <f>SUM(C585:C587)</f>
        <v>1067500</v>
      </c>
      <c r="D584" s="616">
        <f>F584+H584</f>
        <v>1067500</v>
      </c>
      <c r="E584" s="617"/>
      <c r="F584" s="620"/>
      <c r="G584" s="619"/>
      <c r="H584" s="620">
        <f>SUM(H585:H587)</f>
        <v>1067500</v>
      </c>
      <c r="I584" s="675"/>
    </row>
    <row r="585" spans="1:9" s="570" customFormat="1" ht="10.5" customHeight="1">
      <c r="A585" s="477"/>
      <c r="B585" s="478" t="s">
        <v>291</v>
      </c>
      <c r="C585" s="479">
        <f>SUM(D585:E585)</f>
        <v>871500</v>
      </c>
      <c r="D585" s="480">
        <f>F585+H585</f>
        <v>871500</v>
      </c>
      <c r="E585" s="481"/>
      <c r="F585" s="499"/>
      <c r="G585" s="481"/>
      <c r="H585" s="499">
        <v>871500</v>
      </c>
      <c r="I585" s="505"/>
    </row>
    <row r="586" spans="1:9" s="570" customFormat="1" ht="10.5" customHeight="1">
      <c r="A586" s="477"/>
      <c r="B586" s="478" t="s">
        <v>292</v>
      </c>
      <c r="C586" s="479"/>
      <c r="D586" s="480"/>
      <c r="E586" s="481"/>
      <c r="F586" s="499"/>
      <c r="G586" s="481"/>
      <c r="H586" s="499"/>
      <c r="I586" s="505"/>
    </row>
    <row r="587" spans="1:9" s="570" customFormat="1" ht="10.5" customHeight="1">
      <c r="A587" s="591"/>
      <c r="B587" s="558" t="s">
        <v>271</v>
      </c>
      <c r="C587" s="552">
        <f>SUM(D587:E587)</f>
        <v>196000</v>
      </c>
      <c r="D587" s="559">
        <f>F587+H587</f>
        <v>196000</v>
      </c>
      <c r="E587" s="560"/>
      <c r="F587" s="561"/>
      <c r="G587" s="560"/>
      <c r="H587" s="561">
        <v>196000</v>
      </c>
      <c r="I587" s="631"/>
    </row>
    <row r="588" spans="1:9" s="493" customFormat="1" ht="23.25" customHeight="1">
      <c r="A588" s="508">
        <v>85410</v>
      </c>
      <c r="B588" s="596" t="s">
        <v>376</v>
      </c>
      <c r="C588" s="488">
        <f>SUM(C589)+C594</f>
        <v>2609600</v>
      </c>
      <c r="D588" s="489">
        <f>SUM(D589)+D594</f>
        <v>2609600</v>
      </c>
      <c r="E588" s="490"/>
      <c r="F588" s="491"/>
      <c r="G588" s="490"/>
      <c r="H588" s="491">
        <f>SUM(H589)+H594</f>
        <v>2609600</v>
      </c>
      <c r="I588" s="492"/>
    </row>
    <row r="589" spans="1:9" ht="12.75">
      <c r="A589" s="614"/>
      <c r="B589" s="692" t="s">
        <v>305</v>
      </c>
      <c r="C589" s="763">
        <f>SUM(C590:C592)</f>
        <v>2449600</v>
      </c>
      <c r="D589" s="472">
        <f>F589+H589</f>
        <v>2449600</v>
      </c>
      <c r="E589" s="473"/>
      <c r="F589" s="620"/>
      <c r="G589" s="619"/>
      <c r="H589" s="620">
        <f>SUM(H590:H592)</f>
        <v>2449600</v>
      </c>
      <c r="I589" s="675"/>
    </row>
    <row r="590" spans="1:9" s="570" customFormat="1" ht="11.25" customHeight="1">
      <c r="A590" s="477"/>
      <c r="B590" s="478" t="s">
        <v>291</v>
      </c>
      <c r="C590" s="479">
        <f>SUM(D590:E590)</f>
        <v>1739600</v>
      </c>
      <c r="D590" s="480">
        <f>F590+H590</f>
        <v>1739600</v>
      </c>
      <c r="E590" s="481"/>
      <c r="F590" s="499"/>
      <c r="G590" s="481"/>
      <c r="H590" s="499">
        <v>1739600</v>
      </c>
      <c r="I590" s="505"/>
    </row>
    <row r="591" spans="1:9" s="570" customFormat="1" ht="12">
      <c r="A591" s="477"/>
      <c r="B591" s="478" t="s">
        <v>292</v>
      </c>
      <c r="C591" s="479"/>
      <c r="D591" s="480"/>
      <c r="E591" s="481"/>
      <c r="F591" s="499"/>
      <c r="G591" s="481"/>
      <c r="H591" s="499"/>
      <c r="I591" s="505"/>
    </row>
    <row r="592" spans="1:9" s="570" customFormat="1" ht="12">
      <c r="A592" s="477"/>
      <c r="B592" s="478" t="s">
        <v>271</v>
      </c>
      <c r="C592" s="479">
        <f>SUM(D592:E592)</f>
        <v>710000</v>
      </c>
      <c r="D592" s="480">
        <f>F592+H592</f>
        <v>710000</v>
      </c>
      <c r="E592" s="481"/>
      <c r="F592" s="499"/>
      <c r="G592" s="481"/>
      <c r="H592" s="499">
        <v>710000</v>
      </c>
      <c r="I592" s="505"/>
    </row>
    <row r="593" spans="1:9" s="570" customFormat="1" ht="10.5" customHeight="1">
      <c r="A593" s="477"/>
      <c r="B593" s="478" t="s">
        <v>295</v>
      </c>
      <c r="C593" s="479">
        <f>SUM(D593:E593)</f>
        <v>16000</v>
      </c>
      <c r="D593" s="480">
        <f>F593+H593</f>
        <v>16000</v>
      </c>
      <c r="E593" s="481"/>
      <c r="F593" s="499"/>
      <c r="G593" s="481"/>
      <c r="H593" s="499">
        <v>16000</v>
      </c>
      <c r="I593" s="505"/>
    </row>
    <row r="594" spans="1:9" ht="12.75">
      <c r="A594" s="469"/>
      <c r="B594" s="494" t="s">
        <v>266</v>
      </c>
      <c r="C594" s="471">
        <f>SUM(C595)</f>
        <v>160000</v>
      </c>
      <c r="D594" s="472">
        <f>SUM(D595)</f>
        <v>160000</v>
      </c>
      <c r="E594" s="473"/>
      <c r="F594" s="474"/>
      <c r="G594" s="554"/>
      <c r="H594" s="474">
        <f>SUM(H595)</f>
        <v>160000</v>
      </c>
      <c r="I594" s="556"/>
    </row>
    <row r="595" spans="1:9" ht="12">
      <c r="A595" s="469"/>
      <c r="B595" s="498" t="s">
        <v>280</v>
      </c>
      <c r="C595" s="479">
        <f>SUM(D595:E595)</f>
        <v>160000</v>
      </c>
      <c r="D595" s="480">
        <f>F595+H595</f>
        <v>160000</v>
      </c>
      <c r="E595" s="481"/>
      <c r="F595" s="499"/>
      <c r="G595" s="473"/>
      <c r="H595" s="499">
        <v>160000</v>
      </c>
      <c r="I595" s="496"/>
    </row>
    <row r="596" spans="1:9" s="493" customFormat="1" ht="24.75" customHeight="1">
      <c r="A596" s="508">
        <v>85415</v>
      </c>
      <c r="B596" s="596" t="s">
        <v>377</v>
      </c>
      <c r="C596" s="488">
        <f>SUM(C597)</f>
        <v>565300</v>
      </c>
      <c r="D596" s="489">
        <f>SUM(D597)</f>
        <v>565300</v>
      </c>
      <c r="E596" s="490"/>
      <c r="F596" s="491">
        <f>SUM(F597)</f>
        <v>7000</v>
      </c>
      <c r="G596" s="490"/>
      <c r="H596" s="491">
        <f>SUM(H597)</f>
        <v>558300</v>
      </c>
      <c r="I596" s="492"/>
    </row>
    <row r="597" spans="1:9" ht="12.75">
      <c r="A597" s="614"/>
      <c r="B597" s="692" t="s">
        <v>305</v>
      </c>
      <c r="C597" s="763">
        <f>SUM(C598:C600)</f>
        <v>565300</v>
      </c>
      <c r="D597" s="472">
        <f>F597+H597</f>
        <v>565300</v>
      </c>
      <c r="E597" s="473"/>
      <c r="F597" s="620">
        <f>SUM(F598:F600)</f>
        <v>7000</v>
      </c>
      <c r="G597" s="619"/>
      <c r="H597" s="620">
        <f>SUM(H598:H600)</f>
        <v>558300</v>
      </c>
      <c r="I597" s="675"/>
    </row>
    <row r="598" spans="1:9" s="570" customFormat="1" ht="12.75" hidden="1">
      <c r="A598" s="477"/>
      <c r="B598" s="478" t="s">
        <v>291</v>
      </c>
      <c r="C598" s="479">
        <f>SUM(D598:E598)</f>
        <v>0</v>
      </c>
      <c r="D598" s="480">
        <f>F598+H598</f>
        <v>0</v>
      </c>
      <c r="E598" s="481"/>
      <c r="F598" s="482"/>
      <c r="G598" s="483"/>
      <c r="H598" s="482"/>
      <c r="I598" s="484"/>
    </row>
    <row r="599" spans="1:9" s="570" customFormat="1" ht="12.75" hidden="1">
      <c r="A599" s="477"/>
      <c r="B599" s="478" t="s">
        <v>292</v>
      </c>
      <c r="C599" s="479"/>
      <c r="D599" s="480"/>
      <c r="E599" s="481"/>
      <c r="F599" s="482"/>
      <c r="G599" s="483"/>
      <c r="H599" s="482"/>
      <c r="I599" s="484"/>
    </row>
    <row r="600" spans="1:9" s="570" customFormat="1" ht="12" customHeight="1">
      <c r="A600" s="591"/>
      <c r="B600" s="558" t="s">
        <v>271</v>
      </c>
      <c r="C600" s="552">
        <f>SUM(D600:E600)</f>
        <v>565300</v>
      </c>
      <c r="D600" s="559">
        <f>F600+H600</f>
        <v>565300</v>
      </c>
      <c r="E600" s="560"/>
      <c r="F600" s="561">
        <v>7000</v>
      </c>
      <c r="G600" s="560"/>
      <c r="H600" s="561">
        <v>558300</v>
      </c>
      <c r="I600" s="595"/>
    </row>
    <row r="601" spans="1:9" s="493" customFormat="1" ht="24">
      <c r="A601" s="508">
        <v>85417</v>
      </c>
      <c r="B601" s="596" t="s">
        <v>378</v>
      </c>
      <c r="C601" s="488">
        <f>SUM(C602)</f>
        <v>213500</v>
      </c>
      <c r="D601" s="489">
        <f>SUM(D602)</f>
        <v>213500</v>
      </c>
      <c r="E601" s="490"/>
      <c r="F601" s="491">
        <f>SUM(F602)</f>
        <v>213500</v>
      </c>
      <c r="G601" s="490"/>
      <c r="H601" s="491"/>
      <c r="I601" s="492"/>
    </row>
    <row r="602" spans="1:9" ht="12.75">
      <c r="A602" s="614"/>
      <c r="B602" s="692" t="s">
        <v>305</v>
      </c>
      <c r="C602" s="763">
        <f>SUM(C603:C605)</f>
        <v>213500</v>
      </c>
      <c r="D602" s="472">
        <f>F602+H602</f>
        <v>213500</v>
      </c>
      <c r="E602" s="473"/>
      <c r="F602" s="620">
        <f>SUM(F603:F605)</f>
        <v>213500</v>
      </c>
      <c r="G602" s="619"/>
      <c r="H602" s="620"/>
      <c r="I602" s="675"/>
    </row>
    <row r="603" spans="1:9" s="570" customFormat="1" ht="12">
      <c r="A603" s="477"/>
      <c r="B603" s="478" t="s">
        <v>291</v>
      </c>
      <c r="C603" s="479">
        <f>SUM(D603:E603)</f>
        <v>149600</v>
      </c>
      <c r="D603" s="480">
        <f>F603+H603</f>
        <v>149600</v>
      </c>
      <c r="E603" s="481"/>
      <c r="F603" s="499">
        <v>149600</v>
      </c>
      <c r="G603" s="481"/>
      <c r="H603" s="499"/>
      <c r="I603" s="505"/>
    </row>
    <row r="604" spans="1:9" s="570" customFormat="1" ht="12">
      <c r="A604" s="477"/>
      <c r="B604" s="478" t="s">
        <v>292</v>
      </c>
      <c r="C604" s="479"/>
      <c r="D604" s="480"/>
      <c r="E604" s="481"/>
      <c r="F604" s="499"/>
      <c r="G604" s="481"/>
      <c r="H604" s="499"/>
      <c r="I604" s="505"/>
    </row>
    <row r="605" spans="1:9" s="570" customFormat="1" ht="12">
      <c r="A605" s="477"/>
      <c r="B605" s="478" t="s">
        <v>271</v>
      </c>
      <c r="C605" s="479">
        <f>SUM(D605:E605)</f>
        <v>63900</v>
      </c>
      <c r="D605" s="480">
        <f>F605+H605</f>
        <v>63900</v>
      </c>
      <c r="E605" s="481"/>
      <c r="F605" s="499">
        <v>63900</v>
      </c>
      <c r="G605" s="481"/>
      <c r="H605" s="499"/>
      <c r="I605" s="505"/>
    </row>
    <row r="606" spans="1:9" s="493" customFormat="1" ht="22.5" customHeight="1">
      <c r="A606" s="508">
        <v>85446</v>
      </c>
      <c r="B606" s="596" t="s">
        <v>379</v>
      </c>
      <c r="C606" s="488">
        <f>SUM(C607)</f>
        <v>22400</v>
      </c>
      <c r="D606" s="489">
        <f>SUM(D607)</f>
        <v>22400</v>
      </c>
      <c r="E606" s="490"/>
      <c r="F606" s="491"/>
      <c r="G606" s="490"/>
      <c r="H606" s="491">
        <f>SUM(H607)</f>
        <v>22400</v>
      </c>
      <c r="I606" s="492"/>
    </row>
    <row r="607" spans="1:9" ht="12.75">
      <c r="A607" s="614"/>
      <c r="B607" s="692" t="s">
        <v>305</v>
      </c>
      <c r="C607" s="763">
        <f>SUM(C608:C608)</f>
        <v>22400</v>
      </c>
      <c r="D607" s="472">
        <f>F607+H607</f>
        <v>22400</v>
      </c>
      <c r="E607" s="473"/>
      <c r="F607" s="620"/>
      <c r="G607" s="619"/>
      <c r="H607" s="620">
        <f>SUM(H608:H608)</f>
        <v>22400</v>
      </c>
      <c r="I607" s="675"/>
    </row>
    <row r="608" spans="1:9" s="570" customFormat="1" ht="10.5" customHeight="1">
      <c r="A608" s="591"/>
      <c r="B608" s="558" t="s">
        <v>271</v>
      </c>
      <c r="C608" s="552">
        <f>SUM(D608:E608)</f>
        <v>22400</v>
      </c>
      <c r="D608" s="559">
        <f>F608+H608</f>
        <v>22400</v>
      </c>
      <c r="E608" s="560"/>
      <c r="F608" s="594"/>
      <c r="G608" s="593"/>
      <c r="H608" s="561">
        <v>22400</v>
      </c>
      <c r="I608" s="595"/>
    </row>
    <row r="609" spans="1:9" s="493" customFormat="1" ht="15.75" customHeight="1">
      <c r="A609" s="508">
        <v>85495</v>
      </c>
      <c r="B609" s="596" t="s">
        <v>276</v>
      </c>
      <c r="C609" s="488">
        <f>SUM(C610)+C616</f>
        <v>319600</v>
      </c>
      <c r="D609" s="489">
        <f>SUM(D610)+D616</f>
        <v>319600</v>
      </c>
      <c r="E609" s="490"/>
      <c r="F609" s="491">
        <f>SUM(F610)+F616</f>
        <v>154100</v>
      </c>
      <c r="G609" s="490"/>
      <c r="H609" s="491">
        <f>SUM(H610)+H616</f>
        <v>165500</v>
      </c>
      <c r="I609" s="504"/>
    </row>
    <row r="610" spans="1:9" ht="12.75">
      <c r="A610" s="469"/>
      <c r="B610" s="494" t="s">
        <v>270</v>
      </c>
      <c r="C610" s="471">
        <f>SUM(C611:C614)</f>
        <v>284600</v>
      </c>
      <c r="D610" s="472">
        <f>SUM(D611:D614)</f>
        <v>284600</v>
      </c>
      <c r="E610" s="473"/>
      <c r="F610" s="474">
        <f>SUM(F611:F614)</f>
        <v>154100</v>
      </c>
      <c r="G610" s="554"/>
      <c r="H610" s="474">
        <f>SUM(H611:H614)</f>
        <v>130500</v>
      </c>
      <c r="I610" s="556"/>
    </row>
    <row r="611" spans="1:9" s="570" customFormat="1" ht="12">
      <c r="A611" s="477"/>
      <c r="B611" s="478" t="s">
        <v>291</v>
      </c>
      <c r="C611" s="479">
        <f>SUM(D611:E611)</f>
        <v>20000</v>
      </c>
      <c r="D611" s="480">
        <f>F611+H611</f>
        <v>20000</v>
      </c>
      <c r="E611" s="481"/>
      <c r="F611" s="499"/>
      <c r="G611" s="481"/>
      <c r="H611" s="499">
        <v>20000</v>
      </c>
      <c r="I611" s="505"/>
    </row>
    <row r="612" spans="1:9" s="570" customFormat="1" ht="12">
      <c r="A612" s="477"/>
      <c r="B612" s="478" t="s">
        <v>292</v>
      </c>
      <c r="C612" s="479"/>
      <c r="D612" s="480"/>
      <c r="E612" s="481"/>
      <c r="F612" s="499"/>
      <c r="G612" s="481"/>
      <c r="H612" s="499"/>
      <c r="I612" s="505"/>
    </row>
    <row r="613" spans="1:9" ht="11.25" customHeight="1">
      <c r="A613" s="469"/>
      <c r="B613" s="498" t="s">
        <v>288</v>
      </c>
      <c r="C613" s="479">
        <f>SUM(D613:E613)</f>
        <v>29500</v>
      </c>
      <c r="D613" s="480">
        <f>F613+H613</f>
        <v>29500</v>
      </c>
      <c r="E613" s="481"/>
      <c r="F613" s="482">
        <v>29500</v>
      </c>
      <c r="G613" s="475"/>
      <c r="H613" s="474"/>
      <c r="I613" s="476"/>
    </row>
    <row r="614" spans="1:9" ht="11.25" customHeight="1">
      <c r="A614" s="469"/>
      <c r="B614" s="478" t="s">
        <v>271</v>
      </c>
      <c r="C614" s="479">
        <f>SUM(D614:E614)</f>
        <v>235100</v>
      </c>
      <c r="D614" s="480">
        <f>F614+H614</f>
        <v>235100</v>
      </c>
      <c r="E614" s="481"/>
      <c r="F614" s="499">
        <v>124600</v>
      </c>
      <c r="G614" s="473"/>
      <c r="H614" s="499">
        <v>110500</v>
      </c>
      <c r="I614" s="496"/>
    </row>
    <row r="615" spans="1:9" s="570" customFormat="1" ht="12" hidden="1">
      <c r="A615" s="477"/>
      <c r="B615" s="478" t="s">
        <v>295</v>
      </c>
      <c r="C615" s="479">
        <f>SUM(D615:E615)</f>
        <v>0</v>
      </c>
      <c r="D615" s="480">
        <f>F615+H615</f>
        <v>0</v>
      </c>
      <c r="E615" s="481"/>
      <c r="F615" s="499"/>
      <c r="G615" s="481"/>
      <c r="H615" s="499">
        <v>0</v>
      </c>
      <c r="I615" s="505"/>
    </row>
    <row r="616" spans="1:9" ht="12.75">
      <c r="A616" s="469"/>
      <c r="B616" s="494" t="s">
        <v>266</v>
      </c>
      <c r="C616" s="471">
        <f>SUM(C617)</f>
        <v>35000</v>
      </c>
      <c r="D616" s="472">
        <f>SUM(D617)</f>
        <v>35000</v>
      </c>
      <c r="E616" s="473"/>
      <c r="F616" s="474"/>
      <c r="G616" s="554"/>
      <c r="H616" s="474">
        <f>SUM(H617)</f>
        <v>35000</v>
      </c>
      <c r="I616" s="556"/>
    </row>
    <row r="617" spans="1:9" ht="12">
      <c r="A617" s="557"/>
      <c r="B617" s="592" t="s">
        <v>280</v>
      </c>
      <c r="C617" s="552">
        <f>SUM(D617:E617)</f>
        <v>35000</v>
      </c>
      <c r="D617" s="559">
        <f>F617+H617</f>
        <v>35000</v>
      </c>
      <c r="E617" s="560"/>
      <c r="F617" s="561"/>
      <c r="G617" s="629"/>
      <c r="H617" s="561">
        <v>35000</v>
      </c>
      <c r="I617" s="709"/>
    </row>
    <row r="618" spans="1:9" s="468" customFormat="1" ht="50.25" customHeight="1" thickBot="1">
      <c r="A618" s="696">
        <v>900</v>
      </c>
      <c r="B618" s="776" t="s">
        <v>380</v>
      </c>
      <c r="C618" s="698">
        <f>C624+C630+C633+C636+C642+C648</f>
        <v>14225500</v>
      </c>
      <c r="D618" s="777">
        <f>D624+D630+D633+D636+D642+D648</f>
        <v>14225500</v>
      </c>
      <c r="E618" s="700"/>
      <c r="F618" s="701">
        <f>F624+F630+F633+F636+F642+F648</f>
        <v>11036200</v>
      </c>
      <c r="G618" s="700"/>
      <c r="H618" s="701">
        <f>H630+H633+H642+H648+H636+H624</f>
        <v>3189300</v>
      </c>
      <c r="I618" s="702"/>
    </row>
    <row r="619" spans="1:9" s="468" customFormat="1" ht="12.75" customHeight="1" thickTop="1">
      <c r="A619" s="509"/>
      <c r="B619" s="524" t="s">
        <v>305</v>
      </c>
      <c r="C619" s="525">
        <f>D619+E619</f>
        <v>7720500</v>
      </c>
      <c r="D619" s="599">
        <f>F619+H619</f>
        <v>7720500</v>
      </c>
      <c r="E619" s="527"/>
      <c r="F619" s="528">
        <f>F625+F631+F634+F637+F643+F649</f>
        <v>4581200</v>
      </c>
      <c r="G619" s="623"/>
      <c r="H619" s="529">
        <f>H625+H631+H634+H637+H643+H649</f>
        <v>3139300</v>
      </c>
      <c r="I619" s="530"/>
    </row>
    <row r="620" spans="1:9" s="570" customFormat="1" ht="12" customHeight="1">
      <c r="A620" s="567"/>
      <c r="B620" s="478" t="s">
        <v>271</v>
      </c>
      <c r="C620" s="479">
        <f>D620+E620</f>
        <v>7720500</v>
      </c>
      <c r="D620" s="601">
        <f>F620+H620</f>
        <v>7720500</v>
      </c>
      <c r="E620" s="481"/>
      <c r="F620" s="519">
        <f>F626+F632+F635+F638+F644+F652</f>
        <v>4581200</v>
      </c>
      <c r="G620" s="481"/>
      <c r="H620" s="499">
        <f>H626+H632+H635+H638+H644+H652</f>
        <v>3139300</v>
      </c>
      <c r="I620" s="505"/>
    </row>
    <row r="621" spans="1:9" s="493" customFormat="1" ht="12.75" customHeight="1">
      <c r="A621" s="521"/>
      <c r="B621" s="478" t="s">
        <v>381</v>
      </c>
      <c r="C621" s="471">
        <f>D621+E621</f>
        <v>1518500</v>
      </c>
      <c r="D621" s="550">
        <f>F621+H621</f>
        <v>1518500</v>
      </c>
      <c r="E621" s="473"/>
      <c r="F621" s="523">
        <f>F627+F645+F653</f>
        <v>1018500</v>
      </c>
      <c r="G621" s="473"/>
      <c r="H621" s="495">
        <f>H627+H645+H653</f>
        <v>500000</v>
      </c>
      <c r="I621" s="496"/>
    </row>
    <row r="622" spans="1:9" s="468" customFormat="1" ht="12.75" customHeight="1">
      <c r="A622" s="509"/>
      <c r="B622" s="598" t="s">
        <v>266</v>
      </c>
      <c r="C622" s="525">
        <f>D622+E622</f>
        <v>6505000</v>
      </c>
      <c r="D622" s="599">
        <f>F622+H622</f>
        <v>6505000</v>
      </c>
      <c r="E622" s="527"/>
      <c r="F622" s="528">
        <f>F628+F640+F646+F654</f>
        <v>6455000</v>
      </c>
      <c r="G622" s="527"/>
      <c r="H622" s="528">
        <f>H628+H640+H646+H654</f>
        <v>50000</v>
      </c>
      <c r="I622" s="530"/>
    </row>
    <row r="623" spans="1:9" s="570" customFormat="1" ht="12.75" customHeight="1">
      <c r="A623" s="728"/>
      <c r="B623" s="592" t="s">
        <v>280</v>
      </c>
      <c r="C623" s="552">
        <f>D623+E623</f>
        <v>6505000</v>
      </c>
      <c r="D623" s="712">
        <f>F623+H623</f>
        <v>6505000</v>
      </c>
      <c r="E623" s="560"/>
      <c r="F623" s="762">
        <f>F629+F641+F647+F655</f>
        <v>6455000</v>
      </c>
      <c r="G623" s="560"/>
      <c r="H623" s="762">
        <f>H629+H641+H647+H655</f>
        <v>50000</v>
      </c>
      <c r="I623" s="631"/>
    </row>
    <row r="624" spans="1:9" s="468" customFormat="1" ht="24" customHeight="1">
      <c r="A624" s="543">
        <v>90001</v>
      </c>
      <c r="B624" s="778" t="s">
        <v>382</v>
      </c>
      <c r="C624" s="545">
        <f>SUM(C625+C628)</f>
        <v>5000000</v>
      </c>
      <c r="D624" s="779">
        <f>SUM(D625+D628)</f>
        <v>5000000</v>
      </c>
      <c r="E624" s="780"/>
      <c r="F624" s="548">
        <f>SUM(F625+F628)</f>
        <v>4900000</v>
      </c>
      <c r="G624" s="780"/>
      <c r="H624" s="548">
        <f>SUM(H625)+H628</f>
        <v>100000</v>
      </c>
      <c r="I624" s="781"/>
    </row>
    <row r="625" spans="1:9" s="493" customFormat="1" ht="12.75">
      <c r="A625" s="469"/>
      <c r="B625" s="470" t="s">
        <v>305</v>
      </c>
      <c r="C625" s="687">
        <f>SUM(C626:C626)</f>
        <v>150000</v>
      </c>
      <c r="D625" s="472">
        <f>F625+H625</f>
        <v>150000</v>
      </c>
      <c r="E625" s="473"/>
      <c r="F625" s="474">
        <f>SUM(F626)</f>
        <v>100000</v>
      </c>
      <c r="G625" s="554"/>
      <c r="H625" s="474">
        <f>SUM(H626)</f>
        <v>50000</v>
      </c>
      <c r="I625" s="556"/>
    </row>
    <row r="626" spans="1:9" s="493" customFormat="1" ht="12">
      <c r="A626" s="469"/>
      <c r="B626" s="478" t="s">
        <v>271</v>
      </c>
      <c r="C626" s="479">
        <f>SUM(D626:E626)</f>
        <v>150000</v>
      </c>
      <c r="D626" s="480">
        <f>F626+H626</f>
        <v>150000</v>
      </c>
      <c r="E626" s="481"/>
      <c r="F626" s="499">
        <v>100000</v>
      </c>
      <c r="G626" s="473"/>
      <c r="H626" s="499">
        <v>50000</v>
      </c>
      <c r="I626" s="496"/>
    </row>
    <row r="627" spans="1:9" s="485" customFormat="1" ht="10.5" customHeight="1">
      <c r="A627" s="477"/>
      <c r="B627" s="478" t="s">
        <v>381</v>
      </c>
      <c r="C627" s="479">
        <f>SUM(D627:E627)</f>
        <v>150000</v>
      </c>
      <c r="D627" s="601">
        <f>F627+H627</f>
        <v>150000</v>
      </c>
      <c r="E627" s="481"/>
      <c r="F627" s="499">
        <v>100000</v>
      </c>
      <c r="G627" s="481"/>
      <c r="H627" s="499">
        <v>50000</v>
      </c>
      <c r="I627" s="505"/>
    </row>
    <row r="628" spans="1:9" ht="12.75">
      <c r="A628" s="469"/>
      <c r="B628" s="494" t="s">
        <v>266</v>
      </c>
      <c r="C628" s="471">
        <f>SUM(C629)</f>
        <v>4850000</v>
      </c>
      <c r="D628" s="472">
        <f>SUM(D629)</f>
        <v>4850000</v>
      </c>
      <c r="E628" s="473"/>
      <c r="F628" s="474">
        <f>SUM(F629)</f>
        <v>4800000</v>
      </c>
      <c r="G628" s="554"/>
      <c r="H628" s="474">
        <f>SUM(H629)</f>
        <v>50000</v>
      </c>
      <c r="I628" s="556"/>
    </row>
    <row r="629" spans="1:9" ht="12">
      <c r="A629" s="557"/>
      <c r="B629" s="592" t="s">
        <v>280</v>
      </c>
      <c r="C629" s="552">
        <f>SUM(D629:E629)</f>
        <v>4850000</v>
      </c>
      <c r="D629" s="559">
        <f>F629+H629</f>
        <v>4850000</v>
      </c>
      <c r="E629" s="560"/>
      <c r="F629" s="561">
        <v>4800000</v>
      </c>
      <c r="G629" s="629"/>
      <c r="H629" s="561">
        <v>50000</v>
      </c>
      <c r="I629" s="709"/>
    </row>
    <row r="630" spans="1:9" s="493" customFormat="1" ht="16.5" customHeight="1">
      <c r="A630" s="543">
        <v>90003</v>
      </c>
      <c r="B630" s="585" t="s">
        <v>383</v>
      </c>
      <c r="C630" s="545">
        <f>SUM(C631)</f>
        <v>2450000</v>
      </c>
      <c r="D630" s="546">
        <f>SUM(D631)</f>
        <v>2450000</v>
      </c>
      <c r="E630" s="547"/>
      <c r="F630" s="548">
        <f>SUM(F631)</f>
        <v>1078000</v>
      </c>
      <c r="G630" s="588"/>
      <c r="H630" s="548">
        <f>SUM(H631)</f>
        <v>1372000</v>
      </c>
      <c r="I630" s="549"/>
    </row>
    <row r="631" spans="1:9" ht="12.75">
      <c r="A631" s="469"/>
      <c r="B631" s="494" t="s">
        <v>270</v>
      </c>
      <c r="C631" s="471">
        <f>SUM(C632)</f>
        <v>2450000</v>
      </c>
      <c r="D631" s="472">
        <f>SUM(D632)</f>
        <v>2450000</v>
      </c>
      <c r="E631" s="473"/>
      <c r="F631" s="474">
        <f>SUM(F632)</f>
        <v>1078000</v>
      </c>
      <c r="G631" s="554"/>
      <c r="H631" s="474">
        <f>SUM(H632)</f>
        <v>1372000</v>
      </c>
      <c r="I631" s="556"/>
    </row>
    <row r="632" spans="1:9" ht="12">
      <c r="A632" s="469"/>
      <c r="B632" s="498" t="s">
        <v>271</v>
      </c>
      <c r="C632" s="479">
        <f>SUM(D632:E632)</f>
        <v>2450000</v>
      </c>
      <c r="D632" s="480">
        <f>F632+H632</f>
        <v>2450000</v>
      </c>
      <c r="E632" s="481"/>
      <c r="F632" s="499">
        <v>1078000</v>
      </c>
      <c r="G632" s="473"/>
      <c r="H632" s="499">
        <v>1372000</v>
      </c>
      <c r="I632" s="496"/>
    </row>
    <row r="633" spans="1:9" s="493" customFormat="1" ht="22.5" customHeight="1">
      <c r="A633" s="508">
        <v>90004</v>
      </c>
      <c r="B633" s="596" t="s">
        <v>384</v>
      </c>
      <c r="C633" s="488">
        <f>SUM(C634)</f>
        <v>1650000</v>
      </c>
      <c r="D633" s="489">
        <f>SUM(D634)</f>
        <v>1650000</v>
      </c>
      <c r="E633" s="490"/>
      <c r="F633" s="491">
        <f>SUM(F634)</f>
        <v>1052700</v>
      </c>
      <c r="G633" s="502"/>
      <c r="H633" s="491">
        <f>SUM(H634)</f>
        <v>597300</v>
      </c>
      <c r="I633" s="504"/>
    </row>
    <row r="634" spans="1:9" ht="12.75">
      <c r="A634" s="469"/>
      <c r="B634" s="494" t="s">
        <v>270</v>
      </c>
      <c r="C634" s="471">
        <f>SUM(C635)</f>
        <v>1650000</v>
      </c>
      <c r="D634" s="472">
        <f>SUM(D635)</f>
        <v>1650000</v>
      </c>
      <c r="E634" s="473"/>
      <c r="F634" s="474">
        <f>SUM(F635)</f>
        <v>1052700</v>
      </c>
      <c r="G634" s="554"/>
      <c r="H634" s="474">
        <f>SUM(H635)</f>
        <v>597300</v>
      </c>
      <c r="I634" s="556"/>
    </row>
    <row r="635" spans="1:9" ht="12">
      <c r="A635" s="469"/>
      <c r="B635" s="498" t="s">
        <v>271</v>
      </c>
      <c r="C635" s="479">
        <f>SUM(D635:E635)</f>
        <v>1650000</v>
      </c>
      <c r="D635" s="480">
        <f>F635+H635</f>
        <v>1650000</v>
      </c>
      <c r="E635" s="481"/>
      <c r="F635" s="499">
        <v>1052700</v>
      </c>
      <c r="G635" s="473"/>
      <c r="H635" s="499">
        <v>597300</v>
      </c>
      <c r="I635" s="496"/>
    </row>
    <row r="636" spans="1:9" s="493" customFormat="1" ht="14.25" customHeight="1">
      <c r="A636" s="508">
        <v>90013</v>
      </c>
      <c r="B636" s="596" t="s">
        <v>385</v>
      </c>
      <c r="C636" s="500">
        <f>C637+C640</f>
        <v>495000</v>
      </c>
      <c r="D636" s="501">
        <f>D637+D640</f>
        <v>495000</v>
      </c>
      <c r="E636" s="502"/>
      <c r="F636" s="503">
        <f>F637+F640</f>
        <v>495000</v>
      </c>
      <c r="G636" s="502"/>
      <c r="H636" s="503"/>
      <c r="I636" s="504"/>
    </row>
    <row r="637" spans="1:9" ht="10.5" customHeight="1">
      <c r="A637" s="614"/>
      <c r="B637" s="615" t="s">
        <v>305</v>
      </c>
      <c r="C637" s="571">
        <f>SUM(C638)</f>
        <v>295000</v>
      </c>
      <c r="D637" s="572">
        <f>SUM(D638)</f>
        <v>295000</v>
      </c>
      <c r="E637" s="475"/>
      <c r="F637" s="474">
        <f>SUM(F638)</f>
        <v>295000</v>
      </c>
      <c r="G637" s="475"/>
      <c r="H637" s="474"/>
      <c r="I637" s="476"/>
    </row>
    <row r="638" spans="1:9" s="485" customFormat="1" ht="12">
      <c r="A638" s="477"/>
      <c r="B638" s="478" t="s">
        <v>271</v>
      </c>
      <c r="C638" s="479">
        <f>SUM(D638:E638)</f>
        <v>295000</v>
      </c>
      <c r="D638" s="480">
        <f>F638+H638</f>
        <v>295000</v>
      </c>
      <c r="E638" s="481"/>
      <c r="F638" s="499">
        <v>295000</v>
      </c>
      <c r="G638" s="481"/>
      <c r="H638" s="499"/>
      <c r="I638" s="505"/>
    </row>
    <row r="639" spans="1:9" s="485" customFormat="1" ht="12" hidden="1">
      <c r="A639" s="477"/>
      <c r="B639" s="478" t="s">
        <v>386</v>
      </c>
      <c r="C639" s="479">
        <f>SUM(D639:E639)</f>
        <v>0</v>
      </c>
      <c r="D639" s="480">
        <f>F639+H639</f>
        <v>0</v>
      </c>
      <c r="E639" s="481"/>
      <c r="F639" s="499"/>
      <c r="G639" s="481"/>
      <c r="H639" s="499"/>
      <c r="I639" s="505"/>
    </row>
    <row r="640" spans="1:9" ht="13.5" customHeight="1">
      <c r="A640" s="469"/>
      <c r="B640" s="470" t="s">
        <v>266</v>
      </c>
      <c r="C640" s="571">
        <f>SUM(C641)</f>
        <v>200000</v>
      </c>
      <c r="D640" s="572">
        <f>SUM(D641)</f>
        <v>200000</v>
      </c>
      <c r="E640" s="475"/>
      <c r="F640" s="474">
        <f>SUM(F641)</f>
        <v>200000</v>
      </c>
      <c r="G640" s="475"/>
      <c r="H640" s="474"/>
      <c r="I640" s="476"/>
    </row>
    <row r="641" spans="1:9" s="485" customFormat="1" ht="12">
      <c r="A641" s="477"/>
      <c r="B641" s="478" t="s">
        <v>280</v>
      </c>
      <c r="C641" s="479">
        <f>SUM(D641:E641)</f>
        <v>200000</v>
      </c>
      <c r="D641" s="480">
        <f>F641+H641</f>
        <v>200000</v>
      </c>
      <c r="E641" s="481"/>
      <c r="F641" s="499">
        <v>200000</v>
      </c>
      <c r="G641" s="481"/>
      <c r="H641" s="499"/>
      <c r="I641" s="505"/>
    </row>
    <row r="642" spans="1:9" s="493" customFormat="1" ht="24" customHeight="1">
      <c r="A642" s="508">
        <v>90015</v>
      </c>
      <c r="B642" s="596" t="s">
        <v>387</v>
      </c>
      <c r="C642" s="500">
        <f>C643+C646</f>
        <v>2870000</v>
      </c>
      <c r="D642" s="501">
        <f>D643+D646</f>
        <v>2870000</v>
      </c>
      <c r="E642" s="502"/>
      <c r="F642" s="503">
        <f>F643+F646</f>
        <v>1750000</v>
      </c>
      <c r="G642" s="502"/>
      <c r="H642" s="503">
        <f>H643+H646</f>
        <v>1120000</v>
      </c>
      <c r="I642" s="504"/>
    </row>
    <row r="643" spans="1:9" ht="12.75" customHeight="1">
      <c r="A643" s="614"/>
      <c r="B643" s="615" t="s">
        <v>305</v>
      </c>
      <c r="C643" s="782">
        <f>SUM(C644)</f>
        <v>2795000</v>
      </c>
      <c r="D643" s="741">
        <f>SUM(D644)</f>
        <v>2795000</v>
      </c>
      <c r="E643" s="638"/>
      <c r="F643" s="618">
        <f>SUM(F644)</f>
        <v>1675000</v>
      </c>
      <c r="G643" s="638"/>
      <c r="H643" s="618">
        <f>SUM(H644)</f>
        <v>1120000</v>
      </c>
      <c r="I643" s="621"/>
    </row>
    <row r="644" spans="1:9" s="485" customFormat="1" ht="12" customHeight="1">
      <c r="A644" s="477"/>
      <c r="B644" s="478" t="s">
        <v>271</v>
      </c>
      <c r="C644" s="479">
        <f>SUM(D644:E644)</f>
        <v>2795000</v>
      </c>
      <c r="D644" s="480">
        <f>F644+H644</f>
        <v>2795000</v>
      </c>
      <c r="E644" s="481"/>
      <c r="F644" s="499">
        <v>1675000</v>
      </c>
      <c r="G644" s="481"/>
      <c r="H644" s="499">
        <v>1120000</v>
      </c>
      <c r="I644" s="505"/>
    </row>
    <row r="645" spans="1:9" s="485" customFormat="1" ht="12" customHeight="1">
      <c r="A645" s="477"/>
      <c r="B645" s="478" t="s">
        <v>381</v>
      </c>
      <c r="C645" s="479">
        <f>SUM(D645:E645)</f>
        <v>1175000</v>
      </c>
      <c r="D645" s="601">
        <f>F645+H645</f>
        <v>1175000</v>
      </c>
      <c r="E645" s="481"/>
      <c r="F645" s="499">
        <v>725000</v>
      </c>
      <c r="G645" s="481"/>
      <c r="H645" s="499">
        <v>450000</v>
      </c>
      <c r="I645" s="505"/>
    </row>
    <row r="646" spans="1:9" ht="12" customHeight="1">
      <c r="A646" s="469"/>
      <c r="B646" s="470" t="s">
        <v>266</v>
      </c>
      <c r="C646" s="571">
        <f>SUM(C647)</f>
        <v>75000</v>
      </c>
      <c r="D646" s="742">
        <f>SUM(D647)</f>
        <v>75000</v>
      </c>
      <c r="E646" s="475"/>
      <c r="F646" s="474">
        <f>SUM(F647)</f>
        <v>75000</v>
      </c>
      <c r="G646" s="475"/>
      <c r="H646" s="474"/>
      <c r="I646" s="476"/>
    </row>
    <row r="647" spans="1:9" s="485" customFormat="1" ht="12" customHeight="1">
      <c r="A647" s="477"/>
      <c r="B647" s="478" t="s">
        <v>280</v>
      </c>
      <c r="C647" s="479">
        <f>SUM(D647:E647)</f>
        <v>75000</v>
      </c>
      <c r="D647" s="601">
        <f>F647+H647</f>
        <v>75000</v>
      </c>
      <c r="E647" s="560"/>
      <c r="F647" s="499">
        <v>75000</v>
      </c>
      <c r="G647" s="481"/>
      <c r="H647" s="499"/>
      <c r="I647" s="505"/>
    </row>
    <row r="648" spans="1:9" ht="15" customHeight="1">
      <c r="A648" s="508">
        <v>90095</v>
      </c>
      <c r="B648" s="596" t="s">
        <v>276</v>
      </c>
      <c r="C648" s="500">
        <f>C649+C654</f>
        <v>1760500</v>
      </c>
      <c r="D648" s="672">
        <f>D649+D654</f>
        <v>1760500</v>
      </c>
      <c r="E648" s="502"/>
      <c r="F648" s="503">
        <f>F649+F654</f>
        <v>1760500</v>
      </c>
      <c r="G648" s="502"/>
      <c r="H648" s="503"/>
      <c r="I648" s="504"/>
    </row>
    <row r="649" spans="1:9" ht="12" customHeight="1">
      <c r="A649" s="614"/>
      <c r="B649" s="615" t="s">
        <v>305</v>
      </c>
      <c r="C649" s="571">
        <f>SUM(C650:C652)</f>
        <v>380500</v>
      </c>
      <c r="D649" s="742">
        <f>SUM(D650:D652)</f>
        <v>380500</v>
      </c>
      <c r="E649" s="475"/>
      <c r="F649" s="474">
        <f>SUM(F650:F652)</f>
        <v>380500</v>
      </c>
      <c r="G649" s="475"/>
      <c r="H649" s="474"/>
      <c r="I649" s="476"/>
    </row>
    <row r="650" spans="1:9" ht="12" customHeight="1">
      <c r="A650" s="469"/>
      <c r="B650" s="478" t="s">
        <v>291</v>
      </c>
      <c r="C650" s="573">
        <f>D650</f>
        <v>0</v>
      </c>
      <c r="D650" s="624">
        <f>F650</f>
        <v>0</v>
      </c>
      <c r="E650" s="475"/>
      <c r="F650" s="482"/>
      <c r="G650" s="475"/>
      <c r="H650" s="474"/>
      <c r="I650" s="476"/>
    </row>
    <row r="651" spans="1:9" ht="12" customHeight="1">
      <c r="A651" s="469"/>
      <c r="B651" s="478" t="s">
        <v>292</v>
      </c>
      <c r="C651" s="571"/>
      <c r="D651" s="742"/>
      <c r="E651" s="475"/>
      <c r="F651" s="474"/>
      <c r="G651" s="475"/>
      <c r="H651" s="474"/>
      <c r="I651" s="476"/>
    </row>
    <row r="652" spans="1:9" s="485" customFormat="1" ht="12" customHeight="1">
      <c r="A652" s="477"/>
      <c r="B652" s="478" t="s">
        <v>271</v>
      </c>
      <c r="C652" s="479">
        <f>SUM(D652:E652)</f>
        <v>380500</v>
      </c>
      <c r="D652" s="480">
        <f>F652+H652</f>
        <v>380500</v>
      </c>
      <c r="E652" s="481"/>
      <c r="F652" s="499">
        <v>380500</v>
      </c>
      <c r="G652" s="481"/>
      <c r="H652" s="499"/>
      <c r="I652" s="505"/>
    </row>
    <row r="653" spans="1:9" s="485" customFormat="1" ht="11.25" customHeight="1">
      <c r="A653" s="477"/>
      <c r="B653" s="478" t="s">
        <v>386</v>
      </c>
      <c r="C653" s="479">
        <f>SUM(D653:E653)</f>
        <v>193500</v>
      </c>
      <c r="D653" s="480">
        <f>F653+H653</f>
        <v>193500</v>
      </c>
      <c r="E653" s="481"/>
      <c r="F653" s="499">
        <v>193500</v>
      </c>
      <c r="G653" s="481"/>
      <c r="H653" s="499"/>
      <c r="I653" s="505"/>
    </row>
    <row r="654" spans="1:9" ht="11.25" customHeight="1">
      <c r="A654" s="469"/>
      <c r="B654" s="470" t="s">
        <v>266</v>
      </c>
      <c r="C654" s="571">
        <f>SUM(C655:C656)</f>
        <v>1380000</v>
      </c>
      <c r="D654" s="572">
        <f>SUM(D655:D656)</f>
        <v>1380000</v>
      </c>
      <c r="E654" s="475"/>
      <c r="F654" s="474">
        <f>SUM(F655:F656)</f>
        <v>1380000</v>
      </c>
      <c r="G654" s="475"/>
      <c r="H654" s="474"/>
      <c r="I654" s="476"/>
    </row>
    <row r="655" spans="1:9" s="485" customFormat="1" ht="12" customHeight="1" thickBot="1">
      <c r="A655" s="591"/>
      <c r="B655" s="558" t="s">
        <v>280</v>
      </c>
      <c r="C655" s="552">
        <f>SUM(D655:E655)</f>
        <v>1380000</v>
      </c>
      <c r="D655" s="559">
        <f>F655+H655</f>
        <v>1380000</v>
      </c>
      <c r="E655" s="560"/>
      <c r="F655" s="561">
        <v>1380000</v>
      </c>
      <c r="G655" s="560"/>
      <c r="H655" s="561"/>
      <c r="I655" s="631"/>
    </row>
    <row r="656" spans="1:9" s="485" customFormat="1" ht="12.75" hidden="1" thickBot="1">
      <c r="A656" s="477"/>
      <c r="B656" s="478" t="s">
        <v>281</v>
      </c>
      <c r="C656" s="479">
        <f>SUM(D656:E656)</f>
        <v>0</v>
      </c>
      <c r="D656" s="480">
        <f>F656+H656</f>
        <v>0</v>
      </c>
      <c r="E656" s="481"/>
      <c r="F656" s="499"/>
      <c r="G656" s="481"/>
      <c r="H656" s="499"/>
      <c r="I656" s="505"/>
    </row>
    <row r="657" spans="1:9" s="468" customFormat="1" ht="50.25" customHeight="1" thickBot="1" thickTop="1">
      <c r="A657" s="507">
        <v>921</v>
      </c>
      <c r="B657" s="464" t="s">
        <v>173</v>
      </c>
      <c r="C657" s="465">
        <f>C665+C674+C678+C684+C698+C704+C711+C717+C687</f>
        <v>14660101</v>
      </c>
      <c r="D657" s="419">
        <f>D665+D674+D678+D684+D698+D704+D711+D717+D687</f>
        <v>14660101</v>
      </c>
      <c r="E657" s="466"/>
      <c r="F657" s="467">
        <f>F665+F674+F678+F684+F698+F704+F711+F717+F687</f>
        <v>4048070</v>
      </c>
      <c r="G657" s="466"/>
      <c r="H657" s="467">
        <f>H665+H674+H678+H684+H698+H704+H711+H717+H687</f>
        <v>10612031</v>
      </c>
      <c r="I657" s="423"/>
    </row>
    <row r="658" spans="1:9" s="468" customFormat="1" ht="12.75" customHeight="1" thickTop="1">
      <c r="A658" s="509"/>
      <c r="B658" s="783" t="s">
        <v>305</v>
      </c>
      <c r="C658" s="525">
        <f>D658+E658</f>
        <v>12290070</v>
      </c>
      <c r="D658" s="526">
        <f>F658+H658</f>
        <v>12290070</v>
      </c>
      <c r="E658" s="527"/>
      <c r="F658" s="528">
        <f>F675+F679+F685+F688+F699+F705+F712+F718</f>
        <v>3772070</v>
      </c>
      <c r="G658" s="623"/>
      <c r="H658" s="528">
        <f>H675+H679+H685+H688+H699+H705+H712+H718</f>
        <v>8518000</v>
      </c>
      <c r="I658" s="517"/>
    </row>
    <row r="659" spans="1:9" s="533" customFormat="1" ht="11.25" customHeight="1">
      <c r="A659" s="531"/>
      <c r="B659" s="498" t="s">
        <v>288</v>
      </c>
      <c r="C659" s="479">
        <f aca="true" t="shared" si="28" ref="C659:C664">D659+E659</f>
        <v>11643000</v>
      </c>
      <c r="D659" s="480">
        <f aca="true" t="shared" si="29" ref="D659:D664">F659+H659</f>
        <v>11643000</v>
      </c>
      <c r="E659" s="481"/>
      <c r="F659" s="519">
        <f>F676+F680+F686+F691+F700+F706</f>
        <v>3125000</v>
      </c>
      <c r="G659" s="481"/>
      <c r="H659" s="519">
        <f>H676+H680+H686+H691+H700+H706</f>
        <v>8518000</v>
      </c>
      <c r="I659" s="505"/>
    </row>
    <row r="660" spans="1:9" s="533" customFormat="1" ht="11.25" customHeight="1">
      <c r="A660" s="531"/>
      <c r="B660" s="478" t="s">
        <v>271</v>
      </c>
      <c r="C660" s="479">
        <f t="shared" si="28"/>
        <v>647070</v>
      </c>
      <c r="D660" s="480">
        <f t="shared" si="29"/>
        <v>647070</v>
      </c>
      <c r="E660" s="481"/>
      <c r="F660" s="519">
        <f>F677+F713+F720</f>
        <v>647070</v>
      </c>
      <c r="G660" s="481"/>
      <c r="H660" s="519"/>
      <c r="I660" s="505"/>
    </row>
    <row r="661" spans="1:9" s="533" customFormat="1" ht="12.75" customHeight="1">
      <c r="A661" s="531"/>
      <c r="B661" s="498" t="s">
        <v>277</v>
      </c>
      <c r="C661" s="479">
        <f t="shared" si="28"/>
        <v>200000</v>
      </c>
      <c r="D661" s="480">
        <f t="shared" si="29"/>
        <v>200000</v>
      </c>
      <c r="E661" s="481"/>
      <c r="F661" s="519">
        <f>F714</f>
        <v>200000</v>
      </c>
      <c r="G661" s="481"/>
      <c r="H661" s="519"/>
      <c r="I661" s="505"/>
    </row>
    <row r="662" spans="1:9" s="468" customFormat="1" ht="12.75" customHeight="1">
      <c r="A662" s="509"/>
      <c r="B662" s="524" t="s">
        <v>266</v>
      </c>
      <c r="C662" s="525">
        <f t="shared" si="28"/>
        <v>2370031</v>
      </c>
      <c r="D662" s="526">
        <f t="shared" si="29"/>
        <v>2370031</v>
      </c>
      <c r="E662" s="527"/>
      <c r="F662" s="528">
        <f>F682+F694+F708</f>
        <v>276000</v>
      </c>
      <c r="G662" s="527"/>
      <c r="H662" s="528">
        <f>H682+H694+H708</f>
        <v>2094031</v>
      </c>
      <c r="I662" s="530"/>
    </row>
    <row r="663" spans="1:9" s="570" customFormat="1" ht="11.25" customHeight="1">
      <c r="A663" s="567"/>
      <c r="B663" s="478" t="s">
        <v>280</v>
      </c>
      <c r="C663" s="479">
        <f t="shared" si="28"/>
        <v>2370031</v>
      </c>
      <c r="D663" s="480">
        <f t="shared" si="29"/>
        <v>2370031</v>
      </c>
      <c r="E663" s="481"/>
      <c r="F663" s="519">
        <f>F683+F695+F709</f>
        <v>276000</v>
      </c>
      <c r="G663" s="481"/>
      <c r="H663" s="519">
        <f>H683+H695+H709</f>
        <v>2094031</v>
      </c>
      <c r="I663" s="505"/>
    </row>
    <row r="664" spans="1:9" s="493" customFormat="1" ht="12" customHeight="1">
      <c r="A664" s="543"/>
      <c r="B664" s="784" t="s">
        <v>293</v>
      </c>
      <c r="C664" s="730">
        <f t="shared" si="28"/>
        <v>176000</v>
      </c>
      <c r="D664" s="785">
        <f t="shared" si="29"/>
        <v>176000</v>
      </c>
      <c r="E664" s="629"/>
      <c r="F664" s="786">
        <f>F696</f>
        <v>176000</v>
      </c>
      <c r="G664" s="588"/>
      <c r="H664" s="786"/>
      <c r="I664" s="590"/>
    </row>
    <row r="665" spans="1:9" ht="36" hidden="1">
      <c r="A665" s="543">
        <v>92109</v>
      </c>
      <c r="B665" s="585" t="s">
        <v>388</v>
      </c>
      <c r="C665" s="586">
        <f>C666+C672</f>
        <v>0</v>
      </c>
      <c r="D665" s="587">
        <f>D666+D672</f>
        <v>0</v>
      </c>
      <c r="E665" s="588"/>
      <c r="F665" s="589">
        <f>F666+F672</f>
        <v>0</v>
      </c>
      <c r="G665" s="588"/>
      <c r="H665" s="589">
        <f>H666+H672</f>
        <v>0</v>
      </c>
      <c r="I665" s="590"/>
    </row>
    <row r="666" spans="1:9" ht="12.75" hidden="1">
      <c r="A666" s="614"/>
      <c r="B666" s="615" t="s">
        <v>305</v>
      </c>
      <c r="C666" s="782">
        <f>C667+C669+C671</f>
        <v>0</v>
      </c>
      <c r="D666" s="572">
        <f>D667+D669+D671</f>
        <v>0</v>
      </c>
      <c r="E666" s="475"/>
      <c r="F666" s="474">
        <f>F667+F669+F671</f>
        <v>0</v>
      </c>
      <c r="G666" s="475"/>
      <c r="H666" s="474">
        <f>H667+H671</f>
        <v>0</v>
      </c>
      <c r="I666" s="476"/>
    </row>
    <row r="667" spans="1:9" s="485" customFormat="1" ht="12" hidden="1">
      <c r="A667" s="477"/>
      <c r="B667" s="478" t="s">
        <v>291</v>
      </c>
      <c r="C667" s="479">
        <f>SUM(D667:E667)</f>
        <v>0</v>
      </c>
      <c r="D667" s="480">
        <f>F667+H667</f>
        <v>0</v>
      </c>
      <c r="E667" s="481"/>
      <c r="F667" s="499"/>
      <c r="G667" s="481"/>
      <c r="H667" s="499"/>
      <c r="I667" s="505"/>
    </row>
    <row r="668" spans="1:9" s="485" customFormat="1" ht="12" hidden="1">
      <c r="A668" s="477"/>
      <c r="B668" s="478" t="s">
        <v>292</v>
      </c>
      <c r="C668" s="479"/>
      <c r="D668" s="480"/>
      <c r="E668" s="481"/>
      <c r="F668" s="499"/>
      <c r="G668" s="481"/>
      <c r="H668" s="499"/>
      <c r="I668" s="505"/>
    </row>
    <row r="669" spans="1:9" s="485" customFormat="1" ht="12" hidden="1">
      <c r="A669" s="477"/>
      <c r="B669" s="498" t="s">
        <v>288</v>
      </c>
      <c r="C669" s="479">
        <f>SUM(D669:E669)</f>
        <v>0</v>
      </c>
      <c r="D669" s="480">
        <f>F669+H669</f>
        <v>0</v>
      </c>
      <c r="E669" s="481"/>
      <c r="F669" s="499"/>
      <c r="G669" s="481"/>
      <c r="H669" s="499"/>
      <c r="I669" s="505"/>
    </row>
    <row r="670" spans="1:9" s="485" customFormat="1" ht="12.75" customHeight="1" hidden="1">
      <c r="A670" s="477"/>
      <c r="B670" s="498" t="s">
        <v>277</v>
      </c>
      <c r="C670" s="479"/>
      <c r="D670" s="480"/>
      <c r="E670" s="481"/>
      <c r="F670" s="499"/>
      <c r="G670" s="481"/>
      <c r="H670" s="499"/>
      <c r="I670" s="505"/>
    </row>
    <row r="671" spans="1:9" s="485" customFormat="1" ht="12" hidden="1">
      <c r="A671" s="477"/>
      <c r="B671" s="478" t="s">
        <v>271</v>
      </c>
      <c r="C671" s="479">
        <f>SUM(D671:E671)</f>
        <v>0</v>
      </c>
      <c r="D671" s="480">
        <f>F671+H671</f>
        <v>0</v>
      </c>
      <c r="E671" s="481"/>
      <c r="F671" s="499"/>
      <c r="G671" s="481"/>
      <c r="H671" s="499"/>
      <c r="I671" s="505"/>
    </row>
    <row r="672" spans="1:9" ht="12.75" hidden="1">
      <c r="A672" s="469"/>
      <c r="B672" s="470" t="s">
        <v>266</v>
      </c>
      <c r="C672" s="571">
        <f>SUM(C673)</f>
        <v>0</v>
      </c>
      <c r="D672" s="572">
        <f>SUM(D673)</f>
        <v>0</v>
      </c>
      <c r="E672" s="475"/>
      <c r="F672" s="474">
        <f>SUM(F673)</f>
        <v>0</v>
      </c>
      <c r="G672" s="475"/>
      <c r="H672" s="474">
        <f>SUM(H673)</f>
        <v>0</v>
      </c>
      <c r="I672" s="476"/>
    </row>
    <row r="673" spans="1:9" s="485" customFormat="1" ht="12" hidden="1">
      <c r="A673" s="477"/>
      <c r="B673" s="478" t="s">
        <v>280</v>
      </c>
      <c r="C673" s="479">
        <f>SUM(D673:E673)</f>
        <v>0</v>
      </c>
      <c r="D673" s="480">
        <f>F673+H673</f>
        <v>0</v>
      </c>
      <c r="E673" s="481"/>
      <c r="F673" s="499"/>
      <c r="G673" s="481"/>
      <c r="H673" s="499"/>
      <c r="I673" s="505"/>
    </row>
    <row r="674" spans="1:9" ht="24">
      <c r="A674" s="508">
        <v>92105</v>
      </c>
      <c r="B674" s="596" t="s">
        <v>389</v>
      </c>
      <c r="C674" s="500">
        <f>C675</f>
        <v>522100</v>
      </c>
      <c r="D674" s="501">
        <f>D675</f>
        <v>522100</v>
      </c>
      <c r="E674" s="502"/>
      <c r="F674" s="503">
        <f>F675</f>
        <v>522100</v>
      </c>
      <c r="G674" s="502"/>
      <c r="H674" s="503"/>
      <c r="I674" s="504"/>
    </row>
    <row r="675" spans="1:9" ht="12.75">
      <c r="A675" s="614"/>
      <c r="B675" s="615" t="s">
        <v>305</v>
      </c>
      <c r="C675" s="571">
        <f>SUM(C676:C677)</f>
        <v>522100</v>
      </c>
      <c r="D675" s="572">
        <f>SUM(D676:D677)</f>
        <v>522100</v>
      </c>
      <c r="E675" s="475"/>
      <c r="F675" s="474">
        <f>SUM(F676:F677)</f>
        <v>522100</v>
      </c>
      <c r="G675" s="475"/>
      <c r="H675" s="474"/>
      <c r="I675" s="476"/>
    </row>
    <row r="676" spans="1:9" s="485" customFormat="1" ht="12">
      <c r="A676" s="477"/>
      <c r="B676" s="498" t="s">
        <v>288</v>
      </c>
      <c r="C676" s="479">
        <f>SUM(D676:E676)</f>
        <v>105000</v>
      </c>
      <c r="D676" s="480">
        <f>F676+H676</f>
        <v>105000</v>
      </c>
      <c r="E676" s="481"/>
      <c r="F676" s="499">
        <v>105000</v>
      </c>
      <c r="G676" s="481"/>
      <c r="H676" s="499"/>
      <c r="I676" s="505"/>
    </row>
    <row r="677" spans="1:9" s="485" customFormat="1" ht="12">
      <c r="A677" s="477"/>
      <c r="B677" s="478" t="s">
        <v>271</v>
      </c>
      <c r="C677" s="479">
        <f>SUM(D677:E677)</f>
        <v>417100</v>
      </c>
      <c r="D677" s="480">
        <f>F677+H677</f>
        <v>417100</v>
      </c>
      <c r="E677" s="481"/>
      <c r="F677" s="499">
        <v>417100</v>
      </c>
      <c r="G677" s="481"/>
      <c r="H677" s="499"/>
      <c r="I677" s="505"/>
    </row>
    <row r="678" spans="1:9" ht="24">
      <c r="A678" s="508">
        <v>92106</v>
      </c>
      <c r="B678" s="787" t="s">
        <v>390</v>
      </c>
      <c r="C678" s="500">
        <f>C679+C682</f>
        <v>2535000</v>
      </c>
      <c r="D678" s="672">
        <f>D679+D682</f>
        <v>2535000</v>
      </c>
      <c r="E678" s="502"/>
      <c r="F678" s="660"/>
      <c r="G678" s="661"/>
      <c r="H678" s="503">
        <f>H679+H682</f>
        <v>2535000</v>
      </c>
      <c r="I678" s="504"/>
    </row>
    <row r="679" spans="1:9" ht="12.75">
      <c r="A679" s="733"/>
      <c r="B679" s="772" t="s">
        <v>305</v>
      </c>
      <c r="C679" s="788">
        <f>C680</f>
        <v>2335000</v>
      </c>
      <c r="D679" s="404">
        <f>D680</f>
        <v>2335000</v>
      </c>
      <c r="E679" s="661"/>
      <c r="F679" s="738"/>
      <c r="G679" s="737"/>
      <c r="H679" s="660">
        <f>H680</f>
        <v>2335000</v>
      </c>
      <c r="I679" s="405"/>
    </row>
    <row r="680" spans="1:9" s="485" customFormat="1" ht="12">
      <c r="A680" s="477"/>
      <c r="B680" s="478" t="s">
        <v>288</v>
      </c>
      <c r="C680" s="479">
        <f>SUM(D680:E680)</f>
        <v>2335000</v>
      </c>
      <c r="D680" s="480">
        <f>F680+H680</f>
        <v>2335000</v>
      </c>
      <c r="E680" s="481"/>
      <c r="F680" s="499"/>
      <c r="G680" s="481"/>
      <c r="H680" s="499">
        <v>2335000</v>
      </c>
      <c r="I680" s="505"/>
    </row>
    <row r="681" spans="1:9" s="485" customFormat="1" ht="12">
      <c r="A681" s="477"/>
      <c r="B681" s="498" t="s">
        <v>277</v>
      </c>
      <c r="C681" s="479"/>
      <c r="D681" s="480"/>
      <c r="E681" s="481"/>
      <c r="F681" s="499"/>
      <c r="G681" s="481"/>
      <c r="H681" s="499"/>
      <c r="I681" s="505"/>
    </row>
    <row r="682" spans="1:9" s="485" customFormat="1" ht="12.75">
      <c r="A682" s="469"/>
      <c r="B682" s="470" t="s">
        <v>266</v>
      </c>
      <c r="C682" s="571">
        <f>SUM(C683)</f>
        <v>200000</v>
      </c>
      <c r="D682" s="572">
        <f>SUM(D683)</f>
        <v>200000</v>
      </c>
      <c r="E682" s="475"/>
      <c r="F682" s="474"/>
      <c r="G682" s="475"/>
      <c r="H682" s="474">
        <f>SUM(H683)</f>
        <v>200000</v>
      </c>
      <c r="I682" s="476"/>
    </row>
    <row r="683" spans="1:9" s="485" customFormat="1" ht="12">
      <c r="A683" s="591"/>
      <c r="B683" s="558" t="s">
        <v>280</v>
      </c>
      <c r="C683" s="552">
        <f>SUM(D683:E683)</f>
        <v>200000</v>
      </c>
      <c r="D683" s="559">
        <f>F683+H683</f>
        <v>200000</v>
      </c>
      <c r="E683" s="560"/>
      <c r="F683" s="561"/>
      <c r="G683" s="560"/>
      <c r="H683" s="561">
        <v>200000</v>
      </c>
      <c r="I683" s="631"/>
    </row>
    <row r="684" spans="1:9" ht="30.75" customHeight="1">
      <c r="A684" s="508">
        <v>92108</v>
      </c>
      <c r="B684" s="596" t="s">
        <v>391</v>
      </c>
      <c r="C684" s="500">
        <f>SUM(C686:C686)</f>
        <v>2634000</v>
      </c>
      <c r="D684" s="501">
        <f>SUM(D686:D686)</f>
        <v>2634000</v>
      </c>
      <c r="E684" s="502"/>
      <c r="F684" s="660"/>
      <c r="G684" s="661"/>
      <c r="H684" s="503">
        <f>SUM(H686)</f>
        <v>2634000</v>
      </c>
      <c r="I684" s="504"/>
    </row>
    <row r="685" spans="1:9" ht="12.75">
      <c r="A685" s="469"/>
      <c r="B685" s="470" t="s">
        <v>305</v>
      </c>
      <c r="C685" s="471">
        <f>C686</f>
        <v>2634000</v>
      </c>
      <c r="D685" s="472">
        <f>D686</f>
        <v>2634000</v>
      </c>
      <c r="E685" s="473"/>
      <c r="F685" s="474"/>
      <c r="G685" s="475"/>
      <c r="H685" s="495">
        <f>SUM(H686)</f>
        <v>2634000</v>
      </c>
      <c r="I685" s="496"/>
    </row>
    <row r="686" spans="1:9" s="485" customFormat="1" ht="12">
      <c r="A686" s="477"/>
      <c r="B686" s="478" t="s">
        <v>288</v>
      </c>
      <c r="C686" s="479">
        <f>SUM(D686:E686)</f>
        <v>2634000</v>
      </c>
      <c r="D686" s="480">
        <f>F686+H686</f>
        <v>2634000</v>
      </c>
      <c r="E686" s="481"/>
      <c r="F686" s="499"/>
      <c r="G686" s="481"/>
      <c r="H686" s="499">
        <v>2634000</v>
      </c>
      <c r="I686" s="505"/>
    </row>
    <row r="687" spans="1:9" ht="26.25" customHeight="1">
      <c r="A687" s="508">
        <v>92109</v>
      </c>
      <c r="B687" s="596" t="s">
        <v>388</v>
      </c>
      <c r="C687" s="500">
        <f>C688+C694</f>
        <v>2261000</v>
      </c>
      <c r="D687" s="501">
        <f>D688+D694</f>
        <v>2261000</v>
      </c>
      <c r="E687" s="502"/>
      <c r="F687" s="503">
        <f>F688+F694</f>
        <v>2261000</v>
      </c>
      <c r="G687" s="502"/>
      <c r="H687" s="503"/>
      <c r="I687" s="504"/>
    </row>
    <row r="688" spans="1:9" ht="13.5" customHeight="1">
      <c r="A688" s="614"/>
      <c r="B688" s="615" t="s">
        <v>305</v>
      </c>
      <c r="C688" s="782">
        <f>C689+C691+C693</f>
        <v>1985000</v>
      </c>
      <c r="D688" s="572">
        <f>D689+D691+D693</f>
        <v>1985000</v>
      </c>
      <c r="E688" s="475"/>
      <c r="F688" s="474">
        <f>F689+F691+F693</f>
        <v>1985000</v>
      </c>
      <c r="G688" s="475"/>
      <c r="H688" s="474"/>
      <c r="I688" s="476"/>
    </row>
    <row r="689" spans="1:9" s="485" customFormat="1" ht="12" hidden="1">
      <c r="A689" s="477"/>
      <c r="B689" s="478" t="s">
        <v>291</v>
      </c>
      <c r="C689" s="479">
        <f>SUM(D689:E689)</f>
        <v>0</v>
      </c>
      <c r="D689" s="480">
        <f>F689+H689</f>
        <v>0</v>
      </c>
      <c r="E689" s="481"/>
      <c r="F689" s="499"/>
      <c r="G689" s="481"/>
      <c r="H689" s="499"/>
      <c r="I689" s="505"/>
    </row>
    <row r="690" spans="1:9" s="485" customFormat="1" ht="12" hidden="1">
      <c r="A690" s="477"/>
      <c r="B690" s="478" t="s">
        <v>292</v>
      </c>
      <c r="C690" s="479"/>
      <c r="D690" s="480"/>
      <c r="E690" s="481"/>
      <c r="F690" s="499"/>
      <c r="G690" s="481"/>
      <c r="H690" s="499"/>
      <c r="I690" s="505"/>
    </row>
    <row r="691" spans="1:9" s="485" customFormat="1" ht="12.75" customHeight="1">
      <c r="A691" s="477"/>
      <c r="B691" s="498" t="s">
        <v>288</v>
      </c>
      <c r="C691" s="479">
        <f>SUM(D691:E691)</f>
        <v>1985000</v>
      </c>
      <c r="D691" s="480">
        <f>F691+H691</f>
        <v>1985000</v>
      </c>
      <c r="E691" s="481"/>
      <c r="F691" s="499">
        <v>1985000</v>
      </c>
      <c r="G691" s="481"/>
      <c r="H691" s="499"/>
      <c r="I691" s="505"/>
    </row>
    <row r="692" spans="1:9" s="485" customFormat="1" ht="12.75" customHeight="1" hidden="1">
      <c r="A692" s="477"/>
      <c r="B692" s="498" t="s">
        <v>277</v>
      </c>
      <c r="C692" s="479"/>
      <c r="D692" s="480"/>
      <c r="E692" s="481"/>
      <c r="F692" s="499"/>
      <c r="G692" s="481"/>
      <c r="H692" s="499"/>
      <c r="I692" s="505"/>
    </row>
    <row r="693" spans="1:9" s="485" customFormat="1" ht="12" hidden="1">
      <c r="A693" s="477"/>
      <c r="B693" s="478" t="s">
        <v>271</v>
      </c>
      <c r="C693" s="479">
        <f>SUM(D693:E693)</f>
        <v>0</v>
      </c>
      <c r="D693" s="480">
        <f>F693+H693</f>
        <v>0</v>
      </c>
      <c r="E693" s="481"/>
      <c r="F693" s="499"/>
      <c r="G693" s="481"/>
      <c r="H693" s="499"/>
      <c r="I693" s="505"/>
    </row>
    <row r="694" spans="1:9" ht="12.75" customHeight="1">
      <c r="A694" s="469"/>
      <c r="B694" s="740" t="s">
        <v>266</v>
      </c>
      <c r="C694" s="571">
        <f>C695+C697</f>
        <v>276000</v>
      </c>
      <c r="D694" s="742">
        <f>D695+D697</f>
        <v>276000</v>
      </c>
      <c r="E694" s="475"/>
      <c r="F694" s="474">
        <f>F695+F697</f>
        <v>276000</v>
      </c>
      <c r="G694" s="475"/>
      <c r="H694" s="474"/>
      <c r="I694" s="476"/>
    </row>
    <row r="695" spans="1:9" s="485" customFormat="1" ht="15" customHeight="1">
      <c r="A695" s="477"/>
      <c r="B695" s="478" t="s">
        <v>280</v>
      </c>
      <c r="C695" s="479">
        <f>SUM(D695:E695)</f>
        <v>276000</v>
      </c>
      <c r="D695" s="480">
        <f>F695+H695</f>
        <v>276000</v>
      </c>
      <c r="E695" s="481"/>
      <c r="F695" s="499">
        <v>276000</v>
      </c>
      <c r="G695" s="481"/>
      <c r="H695" s="499"/>
      <c r="I695" s="505"/>
    </row>
    <row r="696" spans="1:9" s="485" customFormat="1" ht="13.5" customHeight="1">
      <c r="A696" s="477"/>
      <c r="B696" s="470" t="s">
        <v>293</v>
      </c>
      <c r="C696" s="471">
        <f>SUM(D696:E696)</f>
        <v>176000</v>
      </c>
      <c r="D696" s="472">
        <f>F696+H696</f>
        <v>176000</v>
      </c>
      <c r="E696" s="473"/>
      <c r="F696" s="495">
        <v>176000</v>
      </c>
      <c r="G696" s="481"/>
      <c r="H696" s="499"/>
      <c r="I696" s="505"/>
    </row>
    <row r="697" spans="1:9" s="485" customFormat="1" ht="12" hidden="1">
      <c r="A697" s="477"/>
      <c r="B697" s="478" t="s">
        <v>267</v>
      </c>
      <c r="C697" s="480">
        <f>F697+G697</f>
        <v>0</v>
      </c>
      <c r="D697" s="480">
        <f>F697+H697</f>
        <v>0</v>
      </c>
      <c r="E697" s="481"/>
      <c r="F697" s="499">
        <v>0</v>
      </c>
      <c r="G697" s="481"/>
      <c r="H697" s="499"/>
      <c r="I697" s="505"/>
    </row>
    <row r="698" spans="1:9" ht="16.5" customHeight="1">
      <c r="A698" s="508">
        <v>92116</v>
      </c>
      <c r="B698" s="596" t="s">
        <v>392</v>
      </c>
      <c r="C698" s="500">
        <f>C699+C702</f>
        <v>3127000</v>
      </c>
      <c r="D698" s="501">
        <f>D699+D702</f>
        <v>3127000</v>
      </c>
      <c r="E698" s="502"/>
      <c r="F698" s="503">
        <f>F699+F702</f>
        <v>1035000</v>
      </c>
      <c r="G698" s="502"/>
      <c r="H698" s="503">
        <f>H699+H702</f>
        <v>2092000</v>
      </c>
      <c r="I698" s="504"/>
    </row>
    <row r="699" spans="1:9" ht="15" customHeight="1">
      <c r="A699" s="469"/>
      <c r="B699" s="470" t="s">
        <v>305</v>
      </c>
      <c r="C699" s="566">
        <f>C700</f>
        <v>3127000</v>
      </c>
      <c r="D699" s="550">
        <f>D700</f>
        <v>3127000</v>
      </c>
      <c r="E699" s="473"/>
      <c r="F699" s="495">
        <f>SUM(F700)</f>
        <v>1035000</v>
      </c>
      <c r="G699" s="473"/>
      <c r="H699" s="495">
        <f>SUM(H700)</f>
        <v>2092000</v>
      </c>
      <c r="I699" s="496"/>
    </row>
    <row r="700" spans="1:9" s="485" customFormat="1" ht="12.75" customHeight="1">
      <c r="A700" s="477"/>
      <c r="B700" s="478" t="s">
        <v>393</v>
      </c>
      <c r="C700" s="479">
        <f>SUM(D700:E700)</f>
        <v>3127000</v>
      </c>
      <c r="D700" s="601">
        <f>F700+H700</f>
        <v>3127000</v>
      </c>
      <c r="E700" s="481"/>
      <c r="F700" s="499">
        <v>1035000</v>
      </c>
      <c r="G700" s="481"/>
      <c r="H700" s="499">
        <v>2092000</v>
      </c>
      <c r="I700" s="505"/>
    </row>
    <row r="701" spans="1:9" s="485" customFormat="1" ht="4.5" customHeight="1" hidden="1">
      <c r="A701" s="477"/>
      <c r="B701" s="498" t="s">
        <v>277</v>
      </c>
      <c r="C701" s="479">
        <f>SUM(D701:E701)</f>
        <v>0</v>
      </c>
      <c r="D701" s="601">
        <f>F701+H701</f>
        <v>0</v>
      </c>
      <c r="E701" s="481"/>
      <c r="F701" s="499">
        <v>0</v>
      </c>
      <c r="G701" s="481"/>
      <c r="H701" s="499"/>
      <c r="I701" s="505"/>
    </row>
    <row r="702" spans="1:9" ht="12.75" hidden="1">
      <c r="A702" s="469"/>
      <c r="B702" s="470" t="s">
        <v>266</v>
      </c>
      <c r="C702" s="571">
        <f>SUM(C703)</f>
        <v>0</v>
      </c>
      <c r="D702" s="742">
        <f>SUM(D703)</f>
        <v>0</v>
      </c>
      <c r="E702" s="475"/>
      <c r="F702" s="474"/>
      <c r="G702" s="475"/>
      <c r="H702" s="474">
        <f>SUM(H703)</f>
        <v>0</v>
      </c>
      <c r="I702" s="476"/>
    </row>
    <row r="703" spans="1:9" s="485" customFormat="1" ht="12" hidden="1">
      <c r="A703" s="477"/>
      <c r="B703" s="478" t="s">
        <v>280</v>
      </c>
      <c r="C703" s="479">
        <f>SUM(D703:E703)</f>
        <v>0</v>
      </c>
      <c r="D703" s="601">
        <f>F703+H703</f>
        <v>0</v>
      </c>
      <c r="E703" s="481"/>
      <c r="F703" s="499"/>
      <c r="G703" s="481"/>
      <c r="H703" s="499">
        <v>0</v>
      </c>
      <c r="I703" s="505"/>
    </row>
    <row r="704" spans="1:9" s="493" customFormat="1" ht="13.5" customHeight="1">
      <c r="A704" s="508">
        <v>92118</v>
      </c>
      <c r="B704" s="596" t="s">
        <v>394</v>
      </c>
      <c r="C704" s="500">
        <f>C705+C708</f>
        <v>3351031</v>
      </c>
      <c r="D704" s="672">
        <f>D705+D708</f>
        <v>3351031</v>
      </c>
      <c r="E704" s="502"/>
      <c r="F704" s="660"/>
      <c r="G704" s="661"/>
      <c r="H704" s="503">
        <f>H705+H708</f>
        <v>3351031</v>
      </c>
      <c r="I704" s="504"/>
    </row>
    <row r="705" spans="1:9" s="493" customFormat="1" ht="12.75">
      <c r="A705" s="521"/>
      <c r="B705" s="470" t="s">
        <v>305</v>
      </c>
      <c r="C705" s="471">
        <f>C706</f>
        <v>1457000</v>
      </c>
      <c r="D705" s="550">
        <f>D706</f>
        <v>1457000</v>
      </c>
      <c r="E705" s="473"/>
      <c r="F705" s="474"/>
      <c r="G705" s="475"/>
      <c r="H705" s="495">
        <f>H706</f>
        <v>1457000</v>
      </c>
      <c r="I705" s="496"/>
    </row>
    <row r="706" spans="1:9" s="493" customFormat="1" ht="14.25" customHeight="1">
      <c r="A706" s="469"/>
      <c r="B706" s="478" t="s">
        <v>393</v>
      </c>
      <c r="C706" s="479">
        <f>SUM(D706:E706)</f>
        <v>1457000</v>
      </c>
      <c r="D706" s="601">
        <f>F706+H706</f>
        <v>1457000</v>
      </c>
      <c r="E706" s="481"/>
      <c r="F706" s="499"/>
      <c r="G706" s="481"/>
      <c r="H706" s="499">
        <v>1457000</v>
      </c>
      <c r="I706" s="505"/>
    </row>
    <row r="707" spans="1:9" s="493" customFormat="1" ht="12" hidden="1">
      <c r="A707" s="469"/>
      <c r="B707" s="478" t="s">
        <v>295</v>
      </c>
      <c r="C707" s="479">
        <f>SUM(D707:E707)</f>
        <v>0</v>
      </c>
      <c r="D707" s="601">
        <f>F707+H707</f>
        <v>0</v>
      </c>
      <c r="E707" s="481"/>
      <c r="F707" s="499"/>
      <c r="G707" s="481"/>
      <c r="H707" s="499"/>
      <c r="I707" s="505"/>
    </row>
    <row r="708" spans="1:9" s="493" customFormat="1" ht="12.75">
      <c r="A708" s="469"/>
      <c r="B708" s="470" t="s">
        <v>266</v>
      </c>
      <c r="C708" s="571">
        <f>SUM(C709)</f>
        <v>1894031</v>
      </c>
      <c r="D708" s="742">
        <f>SUM(D709)</f>
        <v>1894031</v>
      </c>
      <c r="E708" s="475"/>
      <c r="F708" s="474"/>
      <c r="G708" s="475"/>
      <c r="H708" s="474">
        <f>SUM(H709)</f>
        <v>1894031</v>
      </c>
      <c r="I708" s="476"/>
    </row>
    <row r="709" spans="1:9" s="493" customFormat="1" ht="15.75" customHeight="1">
      <c r="A709" s="477"/>
      <c r="B709" s="478" t="s">
        <v>280</v>
      </c>
      <c r="C709" s="479">
        <f>SUM(D709:E709)</f>
        <v>1894031</v>
      </c>
      <c r="D709" s="601">
        <f>F709+H709</f>
        <v>1894031</v>
      </c>
      <c r="E709" s="481"/>
      <c r="F709" s="499"/>
      <c r="G709" s="481"/>
      <c r="H709" s="499">
        <v>1894031</v>
      </c>
      <c r="I709" s="505"/>
    </row>
    <row r="710" spans="1:9" s="493" customFormat="1" ht="15.75" customHeight="1">
      <c r="A710" s="477"/>
      <c r="B710" s="470" t="s">
        <v>293</v>
      </c>
      <c r="C710" s="471">
        <f>SUM(D710:E710)</f>
        <v>400000</v>
      </c>
      <c r="D710" s="472">
        <f>F710+H710</f>
        <v>400000</v>
      </c>
      <c r="E710" s="473"/>
      <c r="F710" s="499"/>
      <c r="G710" s="481"/>
      <c r="H710" s="499">
        <v>400000</v>
      </c>
      <c r="I710" s="505"/>
    </row>
    <row r="711" spans="1:9" ht="24.75" customHeight="1">
      <c r="A711" s="508">
        <v>92120</v>
      </c>
      <c r="B711" s="596" t="s">
        <v>395</v>
      </c>
      <c r="C711" s="500">
        <f>C712+C715</f>
        <v>200000</v>
      </c>
      <c r="D711" s="672">
        <f>D712+D715</f>
        <v>200000</v>
      </c>
      <c r="E711" s="502"/>
      <c r="F711" s="503">
        <f>F712+F715</f>
        <v>200000</v>
      </c>
      <c r="G711" s="502"/>
      <c r="H711" s="503"/>
      <c r="I711" s="504"/>
    </row>
    <row r="712" spans="1:9" ht="16.5" customHeight="1">
      <c r="A712" s="521"/>
      <c r="B712" s="470" t="s">
        <v>305</v>
      </c>
      <c r="C712" s="471">
        <f>C713</f>
        <v>200000</v>
      </c>
      <c r="D712" s="550">
        <f>D713</f>
        <v>200000</v>
      </c>
      <c r="E712" s="473"/>
      <c r="F712" s="495">
        <f>F713</f>
        <v>200000</v>
      </c>
      <c r="G712" s="473"/>
      <c r="H712" s="495"/>
      <c r="I712" s="496"/>
    </row>
    <row r="713" spans="1:9" s="493" customFormat="1" ht="12.75" customHeight="1">
      <c r="A713" s="469"/>
      <c r="B713" s="789" t="s">
        <v>271</v>
      </c>
      <c r="C713" s="479">
        <f>SUM(D713:E713)</f>
        <v>200000</v>
      </c>
      <c r="D713" s="601">
        <f>F713+H713</f>
        <v>200000</v>
      </c>
      <c r="E713" s="481"/>
      <c r="F713" s="499">
        <v>200000</v>
      </c>
      <c r="G713" s="481"/>
      <c r="H713" s="499"/>
      <c r="I713" s="505"/>
    </row>
    <row r="714" spans="1:9" s="493" customFormat="1" ht="11.25" customHeight="1">
      <c r="A714" s="469"/>
      <c r="B714" s="789" t="s">
        <v>295</v>
      </c>
      <c r="C714" s="479">
        <f>SUM(D714:E714)</f>
        <v>200000</v>
      </c>
      <c r="D714" s="601">
        <f>F714+H714</f>
        <v>200000</v>
      </c>
      <c r="E714" s="481"/>
      <c r="F714" s="499">
        <v>200000</v>
      </c>
      <c r="G714" s="481"/>
      <c r="H714" s="499"/>
      <c r="I714" s="505"/>
    </row>
    <row r="715" spans="1:9" s="493" customFormat="1" ht="11.25" customHeight="1" hidden="1">
      <c r="A715" s="469"/>
      <c r="B715" s="470" t="s">
        <v>266</v>
      </c>
      <c r="C715" s="571">
        <f>SUM(C716)</f>
        <v>0</v>
      </c>
      <c r="D715" s="742">
        <f>SUM(D716)</f>
        <v>0</v>
      </c>
      <c r="E715" s="475"/>
      <c r="F715" s="474">
        <f>F716</f>
        <v>0</v>
      </c>
      <c r="G715" s="475"/>
      <c r="H715" s="474"/>
      <c r="I715" s="476"/>
    </row>
    <row r="716" spans="1:9" s="493" customFormat="1" ht="12.75" customHeight="1" hidden="1">
      <c r="A716" s="591"/>
      <c r="B716" s="558" t="s">
        <v>267</v>
      </c>
      <c r="C716" s="552">
        <f>SUM(D716:E716)</f>
        <v>0</v>
      </c>
      <c r="D716" s="559">
        <f>F716+H716</f>
        <v>0</v>
      </c>
      <c r="E716" s="560"/>
      <c r="F716" s="561"/>
      <c r="G716" s="560"/>
      <c r="H716" s="561"/>
      <c r="I716" s="631"/>
    </row>
    <row r="717" spans="1:9" ht="15.75" customHeight="1">
      <c r="A717" s="508">
        <v>92195</v>
      </c>
      <c r="B717" s="596" t="s">
        <v>276</v>
      </c>
      <c r="C717" s="500">
        <f>C718</f>
        <v>29970</v>
      </c>
      <c r="D717" s="501">
        <f>D718</f>
        <v>29970</v>
      </c>
      <c r="E717" s="502"/>
      <c r="F717" s="503">
        <f>F718</f>
        <v>29970</v>
      </c>
      <c r="G717" s="502"/>
      <c r="H717" s="503"/>
      <c r="I717" s="504"/>
    </row>
    <row r="718" spans="1:9" ht="12.75" customHeight="1">
      <c r="A718" s="521"/>
      <c r="B718" s="470" t="s">
        <v>305</v>
      </c>
      <c r="C718" s="471">
        <f>SUM(C719:C720)</f>
        <v>29970</v>
      </c>
      <c r="D718" s="472">
        <f>SUM(D719:D720)</f>
        <v>29970</v>
      </c>
      <c r="E718" s="473"/>
      <c r="F718" s="495">
        <f>SUM(F719:F720)</f>
        <v>29970</v>
      </c>
      <c r="G718" s="473"/>
      <c r="H718" s="495"/>
      <c r="I718" s="496"/>
    </row>
    <row r="719" spans="1:9" s="485" customFormat="1" ht="12.75" customHeight="1" hidden="1">
      <c r="A719" s="477"/>
      <c r="B719" s="478" t="s">
        <v>393</v>
      </c>
      <c r="C719" s="479">
        <f>SUM(D719:E719)</f>
        <v>0</v>
      </c>
      <c r="D719" s="480">
        <f>F719+H719</f>
        <v>0</v>
      </c>
      <c r="E719" s="481"/>
      <c r="F719" s="499"/>
      <c r="G719" s="481"/>
      <c r="H719" s="499"/>
      <c r="I719" s="505"/>
    </row>
    <row r="720" spans="1:9" s="493" customFormat="1" ht="13.5" customHeight="1" thickBot="1">
      <c r="A720" s="557"/>
      <c r="B720" s="790" t="s">
        <v>271</v>
      </c>
      <c r="C720" s="552">
        <f>SUM(D720:E720)</f>
        <v>29970</v>
      </c>
      <c r="D720" s="712">
        <f>F720+H720</f>
        <v>29970</v>
      </c>
      <c r="E720" s="560"/>
      <c r="F720" s="561">
        <v>29970</v>
      </c>
      <c r="G720" s="593"/>
      <c r="H720" s="594"/>
      <c r="I720" s="595"/>
    </row>
    <row r="721" spans="1:9" s="493" customFormat="1" ht="102.75" hidden="1" thickBot="1">
      <c r="A721" s="791">
        <v>925</v>
      </c>
      <c r="B721" s="792" t="s">
        <v>396</v>
      </c>
      <c r="C721" s="793">
        <f>C722</f>
        <v>0</v>
      </c>
      <c r="D721" s="794"/>
      <c r="E721" s="795">
        <f>E722</f>
        <v>0</v>
      </c>
      <c r="F721" s="796"/>
      <c r="G721" s="795"/>
      <c r="H721" s="796"/>
      <c r="I721" s="797"/>
    </row>
    <row r="722" spans="1:9" ht="15.75" customHeight="1" hidden="1">
      <c r="A722" s="543">
        <v>92595</v>
      </c>
      <c r="B722" s="585" t="s">
        <v>276</v>
      </c>
      <c r="C722" s="586">
        <f>C723</f>
        <v>0</v>
      </c>
      <c r="D722" s="798"/>
      <c r="E722" s="588">
        <f>E723</f>
        <v>0</v>
      </c>
      <c r="F722" s="589"/>
      <c r="G722" s="588"/>
      <c r="H722" s="589"/>
      <c r="I722" s="590"/>
    </row>
    <row r="723" spans="1:9" ht="15" customHeight="1" hidden="1">
      <c r="A723" s="521"/>
      <c r="B723" s="470" t="s">
        <v>305</v>
      </c>
      <c r="C723" s="471">
        <f>C724</f>
        <v>0</v>
      </c>
      <c r="D723" s="550"/>
      <c r="E723" s="473">
        <f>E724</f>
        <v>0</v>
      </c>
      <c r="F723" s="495"/>
      <c r="G723" s="473"/>
      <c r="H723" s="495"/>
      <c r="I723" s="496"/>
    </row>
    <row r="724" spans="1:9" s="493" customFormat="1" ht="20.25" customHeight="1" hidden="1">
      <c r="A724" s="469"/>
      <c r="B724" s="478" t="s">
        <v>271</v>
      </c>
      <c r="C724" s="479">
        <f>SUM(D724:E724)</f>
        <v>0</v>
      </c>
      <c r="D724" s="601"/>
      <c r="E724" s="481">
        <f>G724+I724</f>
        <v>0</v>
      </c>
      <c r="F724" s="482"/>
      <c r="G724" s="483"/>
      <c r="H724" s="482"/>
      <c r="I724" s="484"/>
    </row>
    <row r="725" spans="1:9" s="468" customFormat="1" ht="27" customHeight="1" thickBot="1" thickTop="1">
      <c r="A725" s="507">
        <v>926</v>
      </c>
      <c r="B725" s="799" t="s">
        <v>175</v>
      </c>
      <c r="C725" s="678">
        <f>C731+C741+C744</f>
        <v>11096220</v>
      </c>
      <c r="D725" s="422">
        <f>D731+D741+D744</f>
        <v>11096220</v>
      </c>
      <c r="E725" s="466"/>
      <c r="F725" s="467">
        <f>F731+F741+F744</f>
        <v>11096220</v>
      </c>
      <c r="G725" s="466"/>
      <c r="H725" s="467"/>
      <c r="I725" s="423"/>
    </row>
    <row r="726" spans="1:9" s="468" customFormat="1" ht="13.5" customHeight="1" thickTop="1">
      <c r="A726" s="509"/>
      <c r="B726" s="727" t="s">
        <v>305</v>
      </c>
      <c r="C726" s="800">
        <f>D726+E726</f>
        <v>3596220</v>
      </c>
      <c r="D726" s="599">
        <f>F726+H726</f>
        <v>3596220</v>
      </c>
      <c r="E726" s="527"/>
      <c r="F726" s="529">
        <f>F742+F745</f>
        <v>3596220</v>
      </c>
      <c r="G726" s="527"/>
      <c r="H726" s="529"/>
      <c r="I726" s="530"/>
    </row>
    <row r="727" spans="1:9" s="533" customFormat="1" ht="11.25" customHeight="1">
      <c r="A727" s="531"/>
      <c r="B727" s="703" t="s">
        <v>288</v>
      </c>
      <c r="C727" s="634">
        <f>D727</f>
        <v>3500000</v>
      </c>
      <c r="D727" s="601">
        <f>F727+H727</f>
        <v>3500000</v>
      </c>
      <c r="E727" s="481"/>
      <c r="F727" s="499">
        <f>F743</f>
        <v>3500000</v>
      </c>
      <c r="G727" s="575"/>
      <c r="H727" s="576"/>
      <c r="I727" s="577"/>
    </row>
    <row r="728" spans="1:9" s="533" customFormat="1" ht="12" customHeight="1">
      <c r="A728" s="531"/>
      <c r="B728" s="703" t="s">
        <v>271</v>
      </c>
      <c r="C728" s="634">
        <f>D728</f>
        <v>96220</v>
      </c>
      <c r="D728" s="601">
        <f>F728+H728</f>
        <v>96220</v>
      </c>
      <c r="E728" s="481"/>
      <c r="F728" s="499">
        <f>F746</f>
        <v>96220</v>
      </c>
      <c r="G728" s="575"/>
      <c r="H728" s="576"/>
      <c r="I728" s="577"/>
    </row>
    <row r="729" spans="1:9" s="468" customFormat="1" ht="12" customHeight="1">
      <c r="A729" s="509"/>
      <c r="B729" s="727" t="s">
        <v>266</v>
      </c>
      <c r="C729" s="800">
        <f>D729</f>
        <v>7500000</v>
      </c>
      <c r="D729" s="599">
        <f>F729+H729</f>
        <v>7500000</v>
      </c>
      <c r="E729" s="527"/>
      <c r="F729" s="529">
        <f>F736</f>
        <v>7500000</v>
      </c>
      <c r="G729" s="527"/>
      <c r="H729" s="529"/>
      <c r="I729" s="530"/>
    </row>
    <row r="730" spans="1:9" s="570" customFormat="1" ht="13.5" customHeight="1" thickBot="1">
      <c r="A730" s="684"/>
      <c r="B730" s="801" t="s">
        <v>280</v>
      </c>
      <c r="C730" s="536">
        <f>D730</f>
        <v>7500000</v>
      </c>
      <c r="D730" s="604">
        <f>F730+H730</f>
        <v>7500000</v>
      </c>
      <c r="E730" s="540"/>
      <c r="F730" s="541">
        <f>F737</f>
        <v>7500000</v>
      </c>
      <c r="G730" s="538"/>
      <c r="H730" s="802"/>
      <c r="I730" s="803"/>
    </row>
    <row r="731" spans="1:9" ht="19.5" customHeight="1" thickTop="1">
      <c r="A731" s="663">
        <v>92601</v>
      </c>
      <c r="B731" s="804" t="s">
        <v>397</v>
      </c>
      <c r="C731" s="805">
        <f>C732+C736</f>
        <v>7500000</v>
      </c>
      <c r="D731" s="806">
        <f>D732+D736</f>
        <v>7500000</v>
      </c>
      <c r="E731" s="807"/>
      <c r="F731" s="808">
        <f>F732+F736</f>
        <v>7500000</v>
      </c>
      <c r="G731" s="807"/>
      <c r="H731" s="670"/>
      <c r="I731" s="691"/>
    </row>
    <row r="732" spans="1:9" ht="12" hidden="1">
      <c r="A732" s="809"/>
      <c r="B732" s="810" t="s">
        <v>305</v>
      </c>
      <c r="C732" s="811">
        <f>SUM(C733:C734)</f>
        <v>0</v>
      </c>
      <c r="D732" s="616">
        <f>SUM(D733:D734)</f>
        <v>0</v>
      </c>
      <c r="E732" s="617"/>
      <c r="F732" s="693">
        <f>SUM(F733:F734)</f>
        <v>0</v>
      </c>
      <c r="G732" s="617"/>
      <c r="H732" s="693"/>
      <c r="I732" s="695"/>
    </row>
    <row r="733" spans="1:9" s="493" customFormat="1" ht="15" customHeight="1" hidden="1">
      <c r="A733" s="469"/>
      <c r="B733" s="703" t="s">
        <v>393</v>
      </c>
      <c r="C733" s="634">
        <f>SUM(D733:E733)</f>
        <v>0</v>
      </c>
      <c r="D733" s="480">
        <f>F733+H733</f>
        <v>0</v>
      </c>
      <c r="E733" s="481"/>
      <c r="F733" s="499">
        <v>0</v>
      </c>
      <c r="G733" s="481"/>
      <c r="H733" s="499"/>
      <c r="I733" s="505"/>
    </row>
    <row r="734" spans="1:9" s="493" customFormat="1" ht="12" hidden="1">
      <c r="A734" s="469"/>
      <c r="B734" s="703" t="s">
        <v>271</v>
      </c>
      <c r="C734" s="634">
        <f>SUM(D734:E734)</f>
        <v>0</v>
      </c>
      <c r="D734" s="480">
        <f>F734+H734</f>
        <v>0</v>
      </c>
      <c r="E734" s="481"/>
      <c r="F734" s="499">
        <v>0</v>
      </c>
      <c r="G734" s="481"/>
      <c r="H734" s="499"/>
      <c r="I734" s="505"/>
    </row>
    <row r="735" spans="1:9" s="493" customFormat="1" ht="12" hidden="1">
      <c r="A735" s="469"/>
      <c r="B735" s="703" t="s">
        <v>277</v>
      </c>
      <c r="C735" s="634">
        <f>SUM(D735:E735)</f>
        <v>0</v>
      </c>
      <c r="D735" s="480">
        <f>F735+H735</f>
        <v>0</v>
      </c>
      <c r="E735" s="481"/>
      <c r="F735" s="499">
        <v>0</v>
      </c>
      <c r="G735" s="481"/>
      <c r="H735" s="499"/>
      <c r="I735" s="505"/>
    </row>
    <row r="736" spans="1:9" ht="12.75">
      <c r="A736" s="469"/>
      <c r="B736" s="740" t="s">
        <v>266</v>
      </c>
      <c r="C736" s="571">
        <f>SUM(C737+C740)</f>
        <v>7500000</v>
      </c>
      <c r="D736" s="742">
        <f>SUM(D737+D740)</f>
        <v>7500000</v>
      </c>
      <c r="E736" s="475"/>
      <c r="F736" s="474">
        <f>SUM(F737+F740)</f>
        <v>7500000</v>
      </c>
      <c r="G736" s="475"/>
      <c r="H736" s="474"/>
      <c r="I736" s="476"/>
    </row>
    <row r="737" spans="1:9" s="485" customFormat="1" ht="12" customHeight="1">
      <c r="A737" s="591"/>
      <c r="B737" s="757" t="s">
        <v>280</v>
      </c>
      <c r="C737" s="635">
        <f>SUM(D737:E737)</f>
        <v>7500000</v>
      </c>
      <c r="D737" s="559">
        <f>F737+H737</f>
        <v>7500000</v>
      </c>
      <c r="E737" s="560"/>
      <c r="F737" s="561">
        <v>7500000</v>
      </c>
      <c r="G737" s="560"/>
      <c r="H737" s="561"/>
      <c r="I737" s="631"/>
    </row>
    <row r="738" spans="1:9" s="493" customFormat="1" ht="24" hidden="1">
      <c r="A738" s="508">
        <v>92604</v>
      </c>
      <c r="B738" s="812" t="s">
        <v>398</v>
      </c>
      <c r="C738" s="500">
        <f>SUM(C739)</f>
        <v>0</v>
      </c>
      <c r="D738" s="501">
        <f>SUM(D739)</f>
        <v>0</v>
      </c>
      <c r="E738" s="502"/>
      <c r="F738" s="503">
        <f>SUM(F739)</f>
        <v>0</v>
      </c>
      <c r="G738" s="502"/>
      <c r="H738" s="503"/>
      <c r="I738" s="504"/>
    </row>
    <row r="739" spans="1:9" ht="0.75" customHeight="1" hidden="1">
      <c r="A739" s="521"/>
      <c r="B739" s="470" t="s">
        <v>305</v>
      </c>
      <c r="C739" s="471">
        <f>C740</f>
        <v>0</v>
      </c>
      <c r="D739" s="472">
        <f>D740</f>
        <v>0</v>
      </c>
      <c r="E739" s="473"/>
      <c r="F739" s="495">
        <f>F740</f>
        <v>0</v>
      </c>
      <c r="G739" s="473"/>
      <c r="H739" s="495"/>
      <c r="I739" s="496"/>
    </row>
    <row r="740" spans="1:9" s="493" customFormat="1" ht="17.25" customHeight="1" hidden="1">
      <c r="A740" s="557"/>
      <c r="B740" s="558" t="s">
        <v>267</v>
      </c>
      <c r="C740" s="552">
        <f>SUM(D740:E740)</f>
        <v>0</v>
      </c>
      <c r="D740" s="559">
        <f>F740+H740</f>
        <v>0</v>
      </c>
      <c r="E740" s="560"/>
      <c r="F740" s="594">
        <v>0</v>
      </c>
      <c r="G740" s="593"/>
      <c r="H740" s="594"/>
      <c r="I740" s="595"/>
    </row>
    <row r="741" spans="1:9" s="493" customFormat="1" ht="33" customHeight="1">
      <c r="A741" s="508">
        <v>92605</v>
      </c>
      <c r="B741" s="596" t="s">
        <v>399</v>
      </c>
      <c r="C741" s="500">
        <f>C742</f>
        <v>3500000</v>
      </c>
      <c r="D741" s="501">
        <f>D742</f>
        <v>3500000</v>
      </c>
      <c r="E741" s="502"/>
      <c r="F741" s="503">
        <f>F742</f>
        <v>3500000</v>
      </c>
      <c r="G741" s="502"/>
      <c r="H741" s="503"/>
      <c r="I741" s="504"/>
    </row>
    <row r="742" spans="1:9" ht="12.75" customHeight="1">
      <c r="A742" s="521"/>
      <c r="B742" s="470" t="s">
        <v>305</v>
      </c>
      <c r="C742" s="471">
        <f>SUM(C743:C743)</f>
        <v>3500000</v>
      </c>
      <c r="D742" s="472">
        <f>SUM(D743:D743)</f>
        <v>3500000</v>
      </c>
      <c r="E742" s="473"/>
      <c r="F742" s="495">
        <f>SUM(F743:F743)</f>
        <v>3500000</v>
      </c>
      <c r="G742" s="473"/>
      <c r="H742" s="495"/>
      <c r="I742" s="496"/>
    </row>
    <row r="743" spans="1:9" s="485" customFormat="1" ht="11.25" customHeight="1">
      <c r="A743" s="567"/>
      <c r="B743" s="478" t="s">
        <v>288</v>
      </c>
      <c r="C743" s="479">
        <f>SUM(D743:E743)</f>
        <v>3500000</v>
      </c>
      <c r="D743" s="480">
        <f>F743+H743</f>
        <v>3500000</v>
      </c>
      <c r="E743" s="481"/>
      <c r="F743" s="499">
        <v>3500000</v>
      </c>
      <c r="G743" s="481"/>
      <c r="H743" s="499"/>
      <c r="I743" s="505"/>
    </row>
    <row r="744" spans="1:9" ht="15" customHeight="1">
      <c r="A744" s="508">
        <v>92695</v>
      </c>
      <c r="B744" s="596" t="s">
        <v>400</v>
      </c>
      <c r="C744" s="500">
        <f>C745+C747</f>
        <v>96220</v>
      </c>
      <c r="D744" s="501">
        <f>D745+D747</f>
        <v>96220</v>
      </c>
      <c r="E744" s="502"/>
      <c r="F744" s="503">
        <f>F745+F747</f>
        <v>96220</v>
      </c>
      <c r="G744" s="502"/>
      <c r="H744" s="503"/>
      <c r="I744" s="632"/>
    </row>
    <row r="745" spans="1:9" ht="13.5" customHeight="1">
      <c r="A745" s="521"/>
      <c r="B745" s="470" t="s">
        <v>305</v>
      </c>
      <c r="C745" s="471">
        <f>SUM(C746:C746)</f>
        <v>96220</v>
      </c>
      <c r="D745" s="472">
        <f>SUM(D746:D746)</f>
        <v>96220</v>
      </c>
      <c r="E745" s="617"/>
      <c r="F745" s="693">
        <f>SUM(F746:F746)</f>
        <v>96220</v>
      </c>
      <c r="G745" s="715"/>
      <c r="H745" s="495"/>
      <c r="I745" s="633"/>
    </row>
    <row r="746" spans="1:9" s="493" customFormat="1" ht="13.5" customHeight="1" thickBot="1">
      <c r="A746" s="557"/>
      <c r="B746" s="558" t="s">
        <v>271</v>
      </c>
      <c r="C746" s="552">
        <f>SUM(D746:E746)</f>
        <v>96220</v>
      </c>
      <c r="D746" s="559">
        <f>F746+H746</f>
        <v>96220</v>
      </c>
      <c r="E746" s="560"/>
      <c r="F746" s="561">
        <v>96220</v>
      </c>
      <c r="G746" s="813"/>
      <c r="H746" s="594"/>
      <c r="I746" s="814"/>
    </row>
    <row r="747" spans="1:9" s="493" customFormat="1" ht="13.5" hidden="1" thickBot="1">
      <c r="A747" s="469"/>
      <c r="B747" s="470" t="s">
        <v>266</v>
      </c>
      <c r="C747" s="571">
        <f>SUM(C748)</f>
        <v>0</v>
      </c>
      <c r="D747" s="572">
        <f>SUM(D748)</f>
        <v>0</v>
      </c>
      <c r="E747" s="475"/>
      <c r="F747" s="474">
        <f>SUM(F748)</f>
        <v>0</v>
      </c>
      <c r="G747" s="815"/>
      <c r="H747" s="482"/>
      <c r="I747" s="637"/>
    </row>
    <row r="748" spans="1:9" s="493" customFormat="1" ht="13.5" hidden="1" thickBot="1">
      <c r="A748" s="469"/>
      <c r="B748" s="478" t="s">
        <v>280</v>
      </c>
      <c r="C748" s="479">
        <f>SUM(D748:E748)</f>
        <v>0</v>
      </c>
      <c r="D748" s="480">
        <f>F748+H748</f>
        <v>0</v>
      </c>
      <c r="E748" s="481"/>
      <c r="F748" s="482"/>
      <c r="G748" s="815"/>
      <c r="H748" s="482"/>
      <c r="I748" s="637"/>
    </row>
    <row r="749" spans="1:9" ht="20.25" customHeight="1" thickBot="1" thickTop="1">
      <c r="A749" s="676"/>
      <c r="B749" s="816" t="s">
        <v>186</v>
      </c>
      <c r="C749" s="465">
        <f aca="true" t="shared" si="30" ref="C749:I749">C27+C22+C618+C80+C269+C394+C657+C402+C448+C725+C69+C147+C214+C258+C262+C551+C18+C12+C116+C721+C198+C538+C252+C205+C210</f>
        <v>307369996</v>
      </c>
      <c r="D749" s="721">
        <f t="shared" si="30"/>
        <v>274184471</v>
      </c>
      <c r="E749" s="466">
        <f t="shared" si="30"/>
        <v>33185525</v>
      </c>
      <c r="F749" s="422">
        <f t="shared" si="30"/>
        <v>177458137</v>
      </c>
      <c r="G749" s="722">
        <f t="shared" si="30"/>
        <v>27290425</v>
      </c>
      <c r="H749" s="467">
        <f t="shared" si="30"/>
        <v>96726334</v>
      </c>
      <c r="I749" s="423">
        <f t="shared" si="30"/>
        <v>5895100</v>
      </c>
    </row>
    <row r="750" spans="1:9" s="824" customFormat="1" ht="16.5" customHeight="1" thickTop="1">
      <c r="A750" s="817"/>
      <c r="B750" s="818" t="s">
        <v>270</v>
      </c>
      <c r="C750" s="819">
        <f aca="true" t="shared" si="31" ref="C750:I750">C16+C24+C38+C43+C49+C55+C61+C74+C91+C101+C109+C122+C127+C130+C133+C140+C145+C157+C162+C169+C172+C181+C192+C206+C212+C232+C241+C244+C254+C260+C264+C267+C280+C289+C301+C307+C313+C322+C328+C337+C343+C356+C364+C370+C376+C379+C385+C396+C399+C412+C423+C427+C437+C443+C459+C466+C469+C475+C481+C597+C487+C490+C495+C501+C508+C516+C522+C528+C533+C540+C543+C545+C561+C567+C578+C584+C589+C602+C607+C610+C625+C631+C634+C637+C643+C649+C675+C679+C685+C688+C699+C705+C712+C718+C732+C742+C745+C78+C295+C409+C186</f>
        <v>239159465</v>
      </c>
      <c r="D750" s="820">
        <f t="shared" si="31"/>
        <v>206003940</v>
      </c>
      <c r="E750" s="821">
        <f t="shared" si="31"/>
        <v>33155525</v>
      </c>
      <c r="F750" s="822">
        <f t="shared" si="31"/>
        <v>136089337</v>
      </c>
      <c r="G750" s="821">
        <f t="shared" si="31"/>
        <v>27290425</v>
      </c>
      <c r="H750" s="822">
        <f t="shared" si="31"/>
        <v>69914603</v>
      </c>
      <c r="I750" s="823">
        <f t="shared" si="31"/>
        <v>5865100</v>
      </c>
    </row>
    <row r="751" spans="1:9" s="506" customFormat="1" ht="12.75" customHeight="1">
      <c r="A751" s="825"/>
      <c r="B751" s="478" t="s">
        <v>291</v>
      </c>
      <c r="C751" s="826">
        <f aca="true" t="shared" si="32" ref="C751:I751">C62+C134+C158+C163+C173+C182+C193+C233+C255+C281+C290+C302+C308+C314+C323+C329+C338+C344+C357+C365+C371+C380+C386+C438+C460+C470+C476+C482+C502+C509+C523+C529+C546+C562+C568+C579+C585+C590+C603+C611+C650+C110+C123+C187+C296+C517+C207</f>
        <v>102395628</v>
      </c>
      <c r="D751" s="827">
        <f t="shared" si="32"/>
        <v>96092262</v>
      </c>
      <c r="E751" s="828">
        <f t="shared" si="32"/>
        <v>6303366</v>
      </c>
      <c r="F751" s="829">
        <f t="shared" si="32"/>
        <v>58503364</v>
      </c>
      <c r="G751" s="830">
        <f t="shared" si="32"/>
        <v>1769136</v>
      </c>
      <c r="H751" s="828">
        <f t="shared" si="32"/>
        <v>37588898</v>
      </c>
      <c r="I751" s="831">
        <f t="shared" si="32"/>
        <v>4534230</v>
      </c>
    </row>
    <row r="752" spans="1:9" s="506" customFormat="1" ht="12.75" customHeight="1">
      <c r="A752" s="825"/>
      <c r="B752" s="478" t="s">
        <v>292</v>
      </c>
      <c r="C752" s="826"/>
      <c r="D752" s="832"/>
      <c r="E752" s="830"/>
      <c r="F752" s="828"/>
      <c r="G752" s="830"/>
      <c r="H752" s="828"/>
      <c r="I752" s="831"/>
    </row>
    <row r="753" spans="1:9" s="506" customFormat="1" ht="12">
      <c r="A753" s="825"/>
      <c r="B753" s="478" t="s">
        <v>288</v>
      </c>
      <c r="C753" s="833">
        <f>C75+C92+C195+C242+C283+C304+C316+C331+C346+C382+C388+C400+C413+C424+C428+C444+C462+C478+C534+C541+C613+C676+C680+C686+C691+C700+C706+C733+C743+C166+C410+C519+C298</f>
        <v>36701232</v>
      </c>
      <c r="D753" s="834">
        <f>D75+D92+D195+D242+D283+D304+D316+D331+D346+D382+D388+D400+D413+D424+D428+D444+D462+D478+D534+D541+D613+D676+D680+D686+D691+D700+D706+D733+D743+D166+D410+D519+D298</f>
        <v>36701232</v>
      </c>
      <c r="E753" s="835"/>
      <c r="F753" s="836">
        <f>F75+F92+F195+F242+F283+F304+F316+F331+F346+F382+F388+F400+F413+F424+F428+F444+F462+F478+F534+F541+F613+F676+F680+F686+F691+F700+F706+F733+F743+F166+F410+F519+F298</f>
        <v>23842200</v>
      </c>
      <c r="G753" s="837"/>
      <c r="H753" s="836">
        <f>H75+H92+H195+H242+H283+H304+H316+H331+H346+H382+H388+H400+H413+H424+H428+H444+H462+H478+H534+H541+H613+H676+H680+H686+H691+H700+H706+H733+H743+H166+H410+H519+H298</f>
        <v>12859032</v>
      </c>
      <c r="I753" s="838"/>
    </row>
    <row r="754" spans="1:9" s="845" customFormat="1" ht="11.25" customHeight="1" hidden="1">
      <c r="A754" s="839"/>
      <c r="B754" s="607" t="s">
        <v>401</v>
      </c>
      <c r="C754" s="840">
        <f>C93+C670+C707+C701+C681</f>
        <v>0</v>
      </c>
      <c r="D754" s="841">
        <f>D93+D670+D707+D701+D681</f>
        <v>0</v>
      </c>
      <c r="E754" s="842"/>
      <c r="F754" s="843">
        <f>F93+F670+F707+F701+F681</f>
        <v>0</v>
      </c>
      <c r="G754" s="842"/>
      <c r="H754" s="843">
        <f>H93+H670+H707+H701+H681</f>
        <v>0</v>
      </c>
      <c r="I754" s="844"/>
    </row>
    <row r="755" spans="1:9" s="497" customFormat="1" ht="12" hidden="1">
      <c r="A755" s="846"/>
      <c r="B755" s="470"/>
      <c r="C755" s="847"/>
      <c r="D755" s="848"/>
      <c r="E755" s="849"/>
      <c r="F755" s="850"/>
      <c r="G755" s="849"/>
      <c r="H755" s="850"/>
      <c r="I755" s="851"/>
    </row>
    <row r="756" spans="1:9" s="497" customFormat="1" ht="12">
      <c r="A756" s="846"/>
      <c r="B756" s="478" t="s">
        <v>402</v>
      </c>
      <c r="C756" s="847">
        <f>C261</f>
        <v>3770000</v>
      </c>
      <c r="D756" s="848">
        <f>D261</f>
        <v>3770000</v>
      </c>
      <c r="E756" s="849"/>
      <c r="F756" s="850">
        <f>F261</f>
        <v>3770000</v>
      </c>
      <c r="G756" s="849"/>
      <c r="H756" s="850"/>
      <c r="I756" s="851"/>
    </row>
    <row r="757" spans="1:9" s="506" customFormat="1" ht="11.25" customHeight="1">
      <c r="A757" s="825"/>
      <c r="B757" s="478" t="s">
        <v>271</v>
      </c>
      <c r="C757" s="826">
        <f aca="true" t="shared" si="33" ref="C757:I757">C17+C25+C39+C44+C50+C56+C64+C76+C102+C112+C125+C128+C131+C136+C141+C146+C160+C167+C170+C175+C184+C203+C209+C213+C236+C247+C257+C265+C268+C284+C292+C305+C310+C317+C325+C332+C340+C347+C359+C367+C373+C377+C383+C389+C397+C414+C425+C429+C440+C445+C467+C472+C479+C485+C488+C493+C496+C504+C511+C520+C525+C531+C535+C543+C548+C564+C570+C581+C587+C592+C600+C605+C608+C614+C626+C632+C635+C638+C644+C652+C677+C713+C720+C734+C746+C196+C463+C79+C299+C401+C189</f>
        <v>96292605</v>
      </c>
      <c r="D757" s="832">
        <f t="shared" si="33"/>
        <v>69440446</v>
      </c>
      <c r="E757" s="830">
        <f t="shared" si="33"/>
        <v>26852159</v>
      </c>
      <c r="F757" s="828">
        <f t="shared" si="33"/>
        <v>49973773</v>
      </c>
      <c r="G757" s="830">
        <f t="shared" si="33"/>
        <v>25521289</v>
      </c>
      <c r="H757" s="828">
        <f t="shared" si="33"/>
        <v>19466673</v>
      </c>
      <c r="I757" s="831">
        <f t="shared" si="33"/>
        <v>1330870</v>
      </c>
    </row>
    <row r="758" spans="1:9" s="497" customFormat="1" ht="15.75" customHeight="1">
      <c r="A758" s="846"/>
      <c r="B758" s="470" t="s">
        <v>401</v>
      </c>
      <c r="C758" s="847">
        <f>C45+C51+C57+C176+C190+C237+C285+C293+C311+C326+C333+C341+C348+C368+C374+C390+C464+C473+C512+C565+C571+C593+C639+C645+C653+C714+C26+C65+C318+C615+C627</f>
        <v>8107300</v>
      </c>
      <c r="D758" s="852">
        <f>D45+D51+D57+D176+D190+D237+D285+D293+D311+D326+D333+D341+D348+D368+D374+D390+D464+D473+D512+D565+D571+D593+D639+D645+D653+D714+D26+D65+D318+D615+D627</f>
        <v>8047300</v>
      </c>
      <c r="E758" s="853">
        <f>E45+E51+E57+E176+E190+E237+E285+E293+E311+E326+E333+E341+E348+E368+E374+E390+E464+E473+E512+E565+E571+E593+E639+E645+E653+E714+E26+E65+E318+E615+E627</f>
        <v>60000</v>
      </c>
      <c r="F758" s="854">
        <f>F45+F51+F57+F176+F190+F237+F285+F293+F311+F326+F333+F341+F348+F368+F374+F390+F464+F473+F512+F565+F571+F593+F639+F645+F653+F714+F26+F65+F318+F615+F627</f>
        <v>5478100</v>
      </c>
      <c r="G758" s="850"/>
      <c r="H758" s="855">
        <f>H45+H51+H57+H176+H190+H237+H285+H293+H311+H326+H333+H341+H348+H368+H374+H390+H464+H473+H512+H565+H571+H593+H639+H645+H653+H714+H26+H65+H318+H615+H627</f>
        <v>2569200</v>
      </c>
      <c r="I758" s="851">
        <f>I45+I51+I57+I176+I190+I237+I285+I293+I311+I326+I333+I341+I348+I368+I374+I390+I464+I473+I512+I565+I571+I593+I639+I645+I653+I714+I26+I65+I318+I615+I627</f>
        <v>60000</v>
      </c>
    </row>
    <row r="759" spans="1:9" s="862" customFormat="1" ht="10.5" customHeight="1">
      <c r="A759" s="856"/>
      <c r="B759" s="647" t="s">
        <v>403</v>
      </c>
      <c r="C759" s="857">
        <f>C754+C758</f>
        <v>8107300</v>
      </c>
      <c r="D759" s="858">
        <f aca="true" t="shared" si="34" ref="D759:I759">D754+D758</f>
        <v>8047300</v>
      </c>
      <c r="E759" s="859">
        <f t="shared" si="34"/>
        <v>60000</v>
      </c>
      <c r="F759" s="860">
        <f t="shared" si="34"/>
        <v>5478100</v>
      </c>
      <c r="G759" s="859"/>
      <c r="H759" s="860">
        <f t="shared" si="34"/>
        <v>2569200</v>
      </c>
      <c r="I759" s="861">
        <f t="shared" si="34"/>
        <v>60000</v>
      </c>
    </row>
    <row r="760" spans="1:9" s="824" customFormat="1" ht="15.75" customHeight="1">
      <c r="A760" s="817"/>
      <c r="B760" s="818" t="s">
        <v>266</v>
      </c>
      <c r="C760" s="863">
        <f>C46+C52+C66+C103+C106+C113+C177+C286+C334+C434+C505+C513+C536+C549+C575+C628+C646+C654+C682+C694+C702+C708+C715+C736+C238+C40+C58+C94+C319+C391+C446+C594+C616+C229+C640</f>
        <v>68210531</v>
      </c>
      <c r="D760" s="864">
        <f>D46+D52+D66+D103+D106+D113+D177+D286+D334+D434+D505+D513+D536+D549+D575+D628+D646+D654+D682+D694+D702+D708+D715+D736+D238+D40+D58+D94+D319+D391+D446+D594+D616+D229+D640</f>
        <v>68180531</v>
      </c>
      <c r="E760" s="865">
        <f>E46+E52+E66+E103+E106+E113+E177+E286+E334+E434+E505+E513+E536+E549+E575+E628+E646+E654+E682+E694+E702+E708+E715+E736+E238+E40+E58+E94+E319+E391+E446+E594+E616+E229+E640</f>
        <v>30000</v>
      </c>
      <c r="F760" s="866">
        <f>F46+F52+F66+F103+F106+F113+F177+F286+F334+F434+F505+F513+F536+F549+F575+F628+F646+F654+F682+F694+F702+F708+F715+F736+F238+F40+F58+F94+F319+F391+F446+F594+F616+F229+F640</f>
        <v>41368800</v>
      </c>
      <c r="G760" s="865"/>
      <c r="H760" s="867">
        <f>H46+H52+H66+H103+H106+H113+H177+H286+H334+H434+H505+H513+H536+H549+H575+H628+H646+H654+H682+H694+H702+H708+H715+H736+H238+H40+H58+H94+H319+H391+H446+H594+H616+H229+H640</f>
        <v>26811731</v>
      </c>
      <c r="I760" s="868">
        <f>I46+I52+I66+I103+I106+I113+I177+I286+I334+I434+I505+I513+I536+I549+I575+I628+I646+I654+I682+I694+I702+I708+I715+I736+I238+I40+I58+I94+I319+I391+I446+I594+I616+I229+I640</f>
        <v>30000</v>
      </c>
    </row>
    <row r="761" spans="1:9" s="506" customFormat="1" ht="13.5" customHeight="1">
      <c r="A761" s="825"/>
      <c r="B761" s="478" t="s">
        <v>267</v>
      </c>
      <c r="C761" s="826">
        <f>C179+C506+C514+C550+C576+C716+C740+C68+C697+C393+C104</f>
        <v>1263400</v>
      </c>
      <c r="D761" s="832">
        <f>D179+D506+D514+D550+D576+D716+D740+D68+D697+D393+D104</f>
        <v>1263400</v>
      </c>
      <c r="E761" s="830"/>
      <c r="F761" s="828">
        <f>F179+F506+F514+F550+F576+F716+F740+F68+F697+F393+F104</f>
        <v>1243200</v>
      </c>
      <c r="G761" s="830"/>
      <c r="H761" s="869">
        <f>H179+H506+H514+H550+H576+H716+H740+H68+H697+H393+H104</f>
        <v>20200</v>
      </c>
      <c r="I761" s="831"/>
    </row>
    <row r="762" spans="1:9" s="506" customFormat="1" ht="13.5" customHeight="1">
      <c r="A762" s="825"/>
      <c r="B762" s="478" t="s">
        <v>280</v>
      </c>
      <c r="C762" s="826">
        <f>C47+C53+C114+C287+C335+C435+C537+C629+C647+C655+C683+C695+C703+C737+C239+C59+C95+C320+C392+C447+C595+C617+C67+C641+C230+C709</f>
        <v>57377131</v>
      </c>
      <c r="D762" s="832">
        <f>D47+D53+D114+D287+D335+D435+D537+D629+D647+D655+D683+D695+D703+D737+D239+D59+D95+D320+D392+D447+D595+D617+D67+D641+D230+D709</f>
        <v>57347131</v>
      </c>
      <c r="E762" s="830">
        <f>E47+E53+E114+E287+E335+E435+E537+E629+E647+E655+E683+E695+E703+E737+E239+E59+E95+E320+E392+E447+E595+E617+E67+E641+E230+E709</f>
        <v>30000</v>
      </c>
      <c r="F762" s="828">
        <f>F47+F53+F114+F287+F335+F435+F537+F629+F647+F655+F683+F695+F703+F737+F239+F59+F95+F320+F392+F447+F595+F617+F67+F641+F230+F709</f>
        <v>30555600</v>
      </c>
      <c r="G762" s="830"/>
      <c r="H762" s="869">
        <f>H47+H53+H114+H287+H335+H435+H537+H629+H647+H655+H683+H695+H703+H737+H239+H59+H95+H320+H392+H447+H595+H617+H67+H641+H230+H709</f>
        <v>26791531</v>
      </c>
      <c r="I762" s="831">
        <f>I47+I53+I114+I287+I335+I435+I537+I629+I647+I655+I683+I695+I703+I737+I239+I59+I95+I320+I392+I447+I595+I617+I67+I641+I230+I709</f>
        <v>30000</v>
      </c>
    </row>
    <row r="763" spans="1:9" s="497" customFormat="1" ht="13.5" customHeight="1">
      <c r="A763" s="846"/>
      <c r="B763" s="470" t="s">
        <v>293</v>
      </c>
      <c r="C763" s="847">
        <f>D763+E763</f>
        <v>7076000</v>
      </c>
      <c r="D763" s="848">
        <f>F763+H763</f>
        <v>7076000</v>
      </c>
      <c r="E763" s="849"/>
      <c r="F763" s="850">
        <f>F696+F96+F710</f>
        <v>6676000</v>
      </c>
      <c r="G763" s="849"/>
      <c r="H763" s="850">
        <f>H696+H96+H710</f>
        <v>400000</v>
      </c>
      <c r="I763" s="851"/>
    </row>
    <row r="764" spans="1:9" s="506" customFormat="1" ht="13.5" customHeight="1" thickBot="1">
      <c r="A764" s="870"/>
      <c r="B764" s="871" t="s">
        <v>281</v>
      </c>
      <c r="C764" s="872">
        <f>C107+C115+C41</f>
        <v>9570000</v>
      </c>
      <c r="D764" s="873">
        <f>D107+D115+D41</f>
        <v>9570000</v>
      </c>
      <c r="E764" s="874"/>
      <c r="F764" s="875">
        <f>F107+F115+F41</f>
        <v>9570000</v>
      </c>
      <c r="G764" s="874"/>
      <c r="H764" s="876"/>
      <c r="I764" s="877"/>
    </row>
    <row r="765" ht="13.5" thickTop="1">
      <c r="B765" s="91"/>
    </row>
    <row r="766" ht="12.75">
      <c r="B766" s="9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C2" sqref="C2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878" t="s">
        <v>404</v>
      </c>
      <c r="J1" s="878"/>
    </row>
    <row r="2" spans="9:10" ht="14.25" customHeight="1">
      <c r="I2" s="3" t="s">
        <v>118</v>
      </c>
      <c r="J2" s="878"/>
    </row>
    <row r="3" spans="9:256" ht="14.25" customHeight="1">
      <c r="I3" s="3" t="s">
        <v>119</v>
      </c>
      <c r="J3" s="8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879" t="s">
        <v>405</v>
      </c>
      <c r="I4" s="3" t="s">
        <v>120</v>
      </c>
      <c r="J4" s="87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406</v>
      </c>
      <c r="B5" s="15"/>
      <c r="C5" s="15"/>
      <c r="D5" s="16"/>
      <c r="E5" s="17"/>
      <c r="F5" s="17"/>
      <c r="G5" s="17"/>
      <c r="H5" s="17"/>
      <c r="I5" s="16"/>
      <c r="J5" s="16"/>
      <c r="K5" s="880" t="s">
        <v>123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881"/>
      <c r="B6" s="882"/>
      <c r="C6" s="883" t="s">
        <v>407</v>
      </c>
      <c r="D6" s="884" t="s">
        <v>187</v>
      </c>
      <c r="E6" s="884"/>
      <c r="F6" s="885"/>
      <c r="G6" s="886"/>
      <c r="H6" s="887" t="s">
        <v>188</v>
      </c>
      <c r="I6" s="885"/>
      <c r="J6" s="885"/>
      <c r="K6" s="888"/>
    </row>
    <row r="7" spans="1:11" s="9" customFormat="1" ht="25.5" customHeight="1" thickBot="1" thickTop="1">
      <c r="A7" s="889" t="s">
        <v>124</v>
      </c>
      <c r="B7" s="890" t="s">
        <v>125</v>
      </c>
      <c r="C7" s="891" t="s">
        <v>186</v>
      </c>
      <c r="D7" s="892" t="s">
        <v>128</v>
      </c>
      <c r="E7" s="893" t="s">
        <v>408</v>
      </c>
      <c r="F7" s="894" t="s">
        <v>409</v>
      </c>
      <c r="G7" s="895" t="s">
        <v>132</v>
      </c>
      <c r="H7" s="892" t="s">
        <v>128</v>
      </c>
      <c r="I7" s="893" t="s">
        <v>408</v>
      </c>
      <c r="J7" s="894" t="s">
        <v>409</v>
      </c>
      <c r="K7" s="896" t="s">
        <v>132</v>
      </c>
    </row>
    <row r="8" spans="1:11" s="41" customFormat="1" ht="11.25" customHeight="1" thickBot="1" thickTop="1">
      <c r="A8" s="35">
        <v>1</v>
      </c>
      <c r="B8" s="38">
        <v>2</v>
      </c>
      <c r="C8" s="897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898" t="s">
        <v>133</v>
      </c>
      <c r="B9" s="899" t="s">
        <v>134</v>
      </c>
      <c r="C9" s="900">
        <f>D9+H9</f>
        <v>1600</v>
      </c>
      <c r="D9" s="901">
        <f>SUM(E9+G9)</f>
        <v>1600</v>
      </c>
      <c r="E9" s="902">
        <v>1600</v>
      </c>
      <c r="F9" s="903"/>
      <c r="G9" s="904"/>
      <c r="H9" s="901"/>
      <c r="I9" s="902"/>
      <c r="J9" s="903"/>
      <c r="K9" s="904"/>
    </row>
    <row r="10" spans="1:11" s="54" customFormat="1" ht="15" hidden="1">
      <c r="A10" s="898" t="s">
        <v>272</v>
      </c>
      <c r="B10" s="899" t="s">
        <v>273</v>
      </c>
      <c r="C10" s="900">
        <f>D10+H10</f>
        <v>0</v>
      </c>
      <c r="D10" s="901"/>
      <c r="E10" s="902"/>
      <c r="F10" s="903"/>
      <c r="G10" s="904"/>
      <c r="H10" s="901">
        <f>SUM(I10+K10)</f>
        <v>0</v>
      </c>
      <c r="I10" s="902"/>
      <c r="J10" s="903"/>
      <c r="K10" s="904"/>
    </row>
    <row r="11" spans="1:11" s="54" customFormat="1" ht="15">
      <c r="A11" s="898">
        <v>500</v>
      </c>
      <c r="B11" s="899" t="s">
        <v>135</v>
      </c>
      <c r="C11" s="900">
        <f aca="true" t="shared" si="0" ref="C11:C31">D11+H11</f>
        <v>354000</v>
      </c>
      <c r="D11" s="901">
        <f>SUM(E11+G11)</f>
        <v>354000</v>
      </c>
      <c r="E11" s="902">
        <v>354000</v>
      </c>
      <c r="F11" s="903"/>
      <c r="G11" s="904"/>
      <c r="H11" s="901"/>
      <c r="I11" s="902"/>
      <c r="J11" s="903"/>
      <c r="K11" s="904"/>
    </row>
    <row r="12" spans="1:11" s="54" customFormat="1" ht="15">
      <c r="A12" s="898" t="s">
        <v>136</v>
      </c>
      <c r="B12" s="899" t="s">
        <v>137</v>
      </c>
      <c r="C12" s="900">
        <f t="shared" si="0"/>
        <v>46279882</v>
      </c>
      <c r="D12" s="901">
        <f>SUM(E12+G12)</f>
        <v>20329882</v>
      </c>
      <c r="E12" s="902">
        <v>20329882</v>
      </c>
      <c r="F12" s="903"/>
      <c r="G12" s="904"/>
      <c r="H12" s="901">
        <f aca="true" t="shared" si="1" ref="H12:H30">SUM(I12+K12)</f>
        <v>25950000</v>
      </c>
      <c r="I12" s="902">
        <v>25950000</v>
      </c>
      <c r="J12" s="903"/>
      <c r="K12" s="904"/>
    </row>
    <row r="13" spans="1:256" ht="15">
      <c r="A13" s="898" t="s">
        <v>138</v>
      </c>
      <c r="B13" s="899" t="s">
        <v>139</v>
      </c>
      <c r="C13" s="900">
        <f t="shared" si="0"/>
        <v>455353</v>
      </c>
      <c r="D13" s="901">
        <f>SUM(E13+G13)</f>
        <v>455353</v>
      </c>
      <c r="E13" s="902">
        <v>455353</v>
      </c>
      <c r="F13" s="903"/>
      <c r="G13" s="904"/>
      <c r="H13" s="901"/>
      <c r="I13" s="902"/>
      <c r="J13" s="903"/>
      <c r="K13" s="90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898" t="s">
        <v>140</v>
      </c>
      <c r="B14" s="899" t="s">
        <v>141</v>
      </c>
      <c r="C14" s="900">
        <f t="shared" si="0"/>
        <v>15226400</v>
      </c>
      <c r="D14" s="901">
        <f>SUM(E14+G14)</f>
        <v>15186400</v>
      </c>
      <c r="E14" s="902">
        <v>15186400</v>
      </c>
      <c r="F14" s="903"/>
      <c r="G14" s="904"/>
      <c r="H14" s="901">
        <f t="shared" si="1"/>
        <v>40000</v>
      </c>
      <c r="I14" s="902"/>
      <c r="J14" s="903"/>
      <c r="K14" s="904">
        <v>40000</v>
      </c>
    </row>
    <row r="15" spans="1:11" s="54" customFormat="1" ht="15">
      <c r="A15" s="898" t="s">
        <v>142</v>
      </c>
      <c r="B15" s="899" t="s">
        <v>143</v>
      </c>
      <c r="C15" s="900">
        <f>D15+H15</f>
        <v>2909300</v>
      </c>
      <c r="D15" s="901">
        <f>SUM(E15:G15)</f>
        <v>2517200</v>
      </c>
      <c r="E15" s="902">
        <v>2517200</v>
      </c>
      <c r="F15" s="903"/>
      <c r="G15" s="904"/>
      <c r="H15" s="901">
        <f>SUM(I15+K15)</f>
        <v>392100</v>
      </c>
      <c r="I15" s="902">
        <v>142000</v>
      </c>
      <c r="J15" s="903"/>
      <c r="K15" s="904">
        <v>250100</v>
      </c>
    </row>
    <row r="16" spans="1:11" s="54" customFormat="1" ht="15">
      <c r="A16" s="898" t="s">
        <v>144</v>
      </c>
      <c r="B16" s="899" t="s">
        <v>145</v>
      </c>
      <c r="C16" s="900">
        <f>D16+H16</f>
        <v>26569737</v>
      </c>
      <c r="D16" s="901">
        <f>SUM(E16:G16)</f>
        <v>22518245</v>
      </c>
      <c r="E16" s="902">
        <f>22391245-600000</f>
        <v>21791245</v>
      </c>
      <c r="F16" s="903"/>
      <c r="G16" s="904">
        <v>727000</v>
      </c>
      <c r="H16" s="901">
        <f>SUM(I16:K16)</f>
        <v>4051492</v>
      </c>
      <c r="I16" s="902">
        <v>3774992</v>
      </c>
      <c r="J16" s="903">
        <v>8500</v>
      </c>
      <c r="K16" s="904">
        <v>268000</v>
      </c>
    </row>
    <row r="17" spans="1:11" s="54" customFormat="1" ht="46.5" customHeight="1">
      <c r="A17" s="898" t="s">
        <v>146</v>
      </c>
      <c r="B17" s="905" t="s">
        <v>147</v>
      </c>
      <c r="C17" s="900">
        <f>D17+H17</f>
        <v>18425</v>
      </c>
      <c r="D17" s="901">
        <f>SUM(E17+G17)</f>
        <v>18425</v>
      </c>
      <c r="E17" s="902"/>
      <c r="F17" s="903"/>
      <c r="G17" s="904">
        <v>18425</v>
      </c>
      <c r="H17" s="901"/>
      <c r="I17" s="902"/>
      <c r="J17" s="903"/>
      <c r="K17" s="904"/>
    </row>
    <row r="18" spans="1:11" s="54" customFormat="1" ht="15" hidden="1">
      <c r="A18" s="898" t="s">
        <v>148</v>
      </c>
      <c r="B18" s="905" t="s">
        <v>149</v>
      </c>
      <c r="C18" s="900">
        <f t="shared" si="0"/>
        <v>0</v>
      </c>
      <c r="D18" s="901"/>
      <c r="E18" s="902"/>
      <c r="F18" s="903"/>
      <c r="G18" s="904"/>
      <c r="H18" s="906">
        <f t="shared" si="1"/>
        <v>0</v>
      </c>
      <c r="I18" s="902"/>
      <c r="J18" s="903"/>
      <c r="K18" s="904"/>
    </row>
    <row r="19" spans="1:11" s="54" customFormat="1" ht="30.75" customHeight="1">
      <c r="A19" s="42" t="s">
        <v>150</v>
      </c>
      <c r="B19" s="907" t="s">
        <v>151</v>
      </c>
      <c r="C19" s="908">
        <f t="shared" si="0"/>
        <v>5541000</v>
      </c>
      <c r="D19" s="909">
        <f>SUM(E19:G19)</f>
        <v>35500</v>
      </c>
      <c r="E19" s="83">
        <v>35500</v>
      </c>
      <c r="F19" s="84"/>
      <c r="G19" s="85"/>
      <c r="H19" s="909">
        <f t="shared" si="1"/>
        <v>5505500</v>
      </c>
      <c r="I19" s="83">
        <f>250000+40000</f>
        <v>290000</v>
      </c>
      <c r="J19" s="84"/>
      <c r="K19" s="85">
        <v>5215500</v>
      </c>
    </row>
    <row r="20" spans="1:11" s="54" customFormat="1" ht="57" customHeight="1">
      <c r="A20" s="898" t="s">
        <v>152</v>
      </c>
      <c r="B20" s="910" t="s">
        <v>153</v>
      </c>
      <c r="C20" s="911">
        <f t="shared" si="0"/>
        <v>434400</v>
      </c>
      <c r="D20" s="912">
        <f>SUM(E20:G20)</f>
        <v>434400</v>
      </c>
      <c r="E20" s="902">
        <v>434400</v>
      </c>
      <c r="F20" s="903"/>
      <c r="G20" s="904"/>
      <c r="H20" s="901"/>
      <c r="I20" s="902"/>
      <c r="J20" s="903"/>
      <c r="K20" s="904"/>
    </row>
    <row r="21" spans="1:11" s="54" customFormat="1" ht="15">
      <c r="A21" s="898" t="s">
        <v>154</v>
      </c>
      <c r="B21" s="899" t="s">
        <v>155</v>
      </c>
      <c r="C21" s="900">
        <f t="shared" si="0"/>
        <v>3770000</v>
      </c>
      <c r="D21" s="901">
        <f>SUM(E21:G21)</f>
        <v>3770000</v>
      </c>
      <c r="E21" s="902">
        <v>3770000</v>
      </c>
      <c r="F21" s="903"/>
      <c r="G21" s="904"/>
      <c r="H21" s="901"/>
      <c r="I21" s="902"/>
      <c r="J21" s="903"/>
      <c r="K21" s="904"/>
    </row>
    <row r="22" spans="1:11" s="54" customFormat="1" ht="15">
      <c r="A22" s="898" t="s">
        <v>156</v>
      </c>
      <c r="B22" s="899" t="s">
        <v>157</v>
      </c>
      <c r="C22" s="900">
        <f>D22+H22</f>
        <v>5180460</v>
      </c>
      <c r="D22" s="901">
        <f>SUM(E22+G22)</f>
        <v>3933685</v>
      </c>
      <c r="E22" s="902">
        <f>3356800+318600+400000+358285-500000</f>
        <v>3933685</v>
      </c>
      <c r="F22" s="903"/>
      <c r="G22" s="904"/>
      <c r="H22" s="901">
        <f t="shared" si="1"/>
        <v>1246775</v>
      </c>
      <c r="I22" s="902">
        <v>1246775</v>
      </c>
      <c r="J22" s="903"/>
      <c r="K22" s="904"/>
    </row>
    <row r="23" spans="1:11" s="54" customFormat="1" ht="15">
      <c r="A23" s="898" t="s">
        <v>158</v>
      </c>
      <c r="B23" s="899" t="s">
        <v>159</v>
      </c>
      <c r="C23" s="900">
        <f t="shared" si="0"/>
        <v>97405123</v>
      </c>
      <c r="D23" s="901">
        <f aca="true" t="shared" si="2" ref="D23:D30">SUM(E23+G23)</f>
        <v>57241023</v>
      </c>
      <c r="E23" s="902">
        <v>57241023</v>
      </c>
      <c r="F23" s="903"/>
      <c r="G23" s="904"/>
      <c r="H23" s="901">
        <f t="shared" si="1"/>
        <v>40164100</v>
      </c>
      <c r="I23" s="902">
        <v>40164100</v>
      </c>
      <c r="J23" s="903"/>
      <c r="K23" s="904"/>
    </row>
    <row r="24" spans="1:11" s="54" customFormat="1" ht="15">
      <c r="A24" s="898" t="s">
        <v>160</v>
      </c>
      <c r="B24" s="899" t="s">
        <v>161</v>
      </c>
      <c r="C24" s="900">
        <f t="shared" si="0"/>
        <v>55988</v>
      </c>
      <c r="D24" s="901">
        <f t="shared" si="2"/>
        <v>55988</v>
      </c>
      <c r="E24" s="902">
        <v>55988</v>
      </c>
      <c r="F24" s="903"/>
      <c r="G24" s="904"/>
      <c r="H24" s="901"/>
      <c r="I24" s="902"/>
      <c r="J24" s="903"/>
      <c r="K24" s="904"/>
    </row>
    <row r="25" spans="1:11" s="54" customFormat="1" ht="15">
      <c r="A25" s="898" t="s">
        <v>162</v>
      </c>
      <c r="B25" s="899" t="s">
        <v>163</v>
      </c>
      <c r="C25" s="900">
        <f t="shared" si="0"/>
        <v>4920000</v>
      </c>
      <c r="D25" s="901">
        <f t="shared" si="2"/>
        <v>4913000</v>
      </c>
      <c r="E25" s="902">
        <f>2283000+3000000-400000+30000</f>
        <v>4913000</v>
      </c>
      <c r="F25" s="903"/>
      <c r="G25" s="904"/>
      <c r="H25" s="901">
        <f t="shared" si="1"/>
        <v>7000</v>
      </c>
      <c r="I25" s="902"/>
      <c r="J25" s="903"/>
      <c r="K25" s="904">
        <v>7000</v>
      </c>
    </row>
    <row r="26" spans="1:11" s="54" customFormat="1" ht="15">
      <c r="A26" s="898" t="s">
        <v>164</v>
      </c>
      <c r="B26" s="899" t="s">
        <v>165</v>
      </c>
      <c r="C26" s="900">
        <f t="shared" si="0"/>
        <v>47786485</v>
      </c>
      <c r="D26" s="901">
        <f t="shared" si="2"/>
        <v>43502671</v>
      </c>
      <c r="E26" s="902">
        <f>16507671-50000+500000</f>
        <v>16957671</v>
      </c>
      <c r="F26" s="903"/>
      <c r="G26" s="904">
        <v>26545000</v>
      </c>
      <c r="H26" s="901">
        <f t="shared" si="1"/>
        <v>4283814</v>
      </c>
      <c r="I26" s="902">
        <f>4233814+50000</f>
        <v>4283814</v>
      </c>
      <c r="J26" s="903"/>
      <c r="K26" s="904"/>
    </row>
    <row r="27" spans="1:11" s="54" customFormat="1" ht="30">
      <c r="A27" s="898" t="s">
        <v>166</v>
      </c>
      <c r="B27" s="905" t="s">
        <v>167</v>
      </c>
      <c r="C27" s="900">
        <f t="shared" si="0"/>
        <v>2002422</v>
      </c>
      <c r="D27" s="901">
        <f t="shared" si="2"/>
        <v>1849000</v>
      </c>
      <c r="E27" s="902">
        <v>1849000</v>
      </c>
      <c r="F27" s="903"/>
      <c r="G27" s="904"/>
      <c r="H27" s="901">
        <f t="shared" si="1"/>
        <v>153422</v>
      </c>
      <c r="I27" s="902">
        <v>47422</v>
      </c>
      <c r="J27" s="903"/>
      <c r="K27" s="904">
        <v>106000</v>
      </c>
    </row>
    <row r="28" spans="1:11" s="54" customFormat="1" ht="15" customHeight="1">
      <c r="A28" s="898" t="s">
        <v>168</v>
      </c>
      <c r="B28" s="905" t="s">
        <v>169</v>
      </c>
      <c r="C28" s="900">
        <f t="shared" si="0"/>
        <v>8477600</v>
      </c>
      <c r="D28" s="901">
        <f t="shared" si="2"/>
        <v>1451700</v>
      </c>
      <c r="E28" s="902">
        <f>1809985-358285</f>
        <v>1451700</v>
      </c>
      <c r="F28" s="903"/>
      <c r="G28" s="904"/>
      <c r="H28" s="901">
        <f t="shared" si="1"/>
        <v>7025900</v>
      </c>
      <c r="I28" s="902">
        <v>7025900</v>
      </c>
      <c r="J28" s="903"/>
      <c r="K28" s="904"/>
    </row>
    <row r="29" spans="1:11" s="54" customFormat="1" ht="30">
      <c r="A29" s="898" t="s">
        <v>170</v>
      </c>
      <c r="B29" s="905" t="s">
        <v>171</v>
      </c>
      <c r="C29" s="900">
        <f t="shared" si="0"/>
        <v>14225500</v>
      </c>
      <c r="D29" s="901">
        <f t="shared" si="2"/>
        <v>11036200</v>
      </c>
      <c r="E29" s="902">
        <f>10286200+600000+100000+50000</f>
        <v>11036200</v>
      </c>
      <c r="F29" s="903"/>
      <c r="G29" s="904"/>
      <c r="H29" s="901">
        <f t="shared" si="1"/>
        <v>3189300</v>
      </c>
      <c r="I29" s="902">
        <f>3089300+50000+50000</f>
        <v>3189300</v>
      </c>
      <c r="J29" s="903"/>
      <c r="K29" s="904"/>
    </row>
    <row r="30" spans="1:11" s="54" customFormat="1" ht="30">
      <c r="A30" s="898" t="s">
        <v>172</v>
      </c>
      <c r="B30" s="905" t="s">
        <v>173</v>
      </c>
      <c r="C30" s="900">
        <f t="shared" si="0"/>
        <v>14660101</v>
      </c>
      <c r="D30" s="901">
        <f t="shared" si="2"/>
        <v>4048070</v>
      </c>
      <c r="E30" s="902">
        <v>4048070</v>
      </c>
      <c r="F30" s="903"/>
      <c r="G30" s="904"/>
      <c r="H30" s="901">
        <f t="shared" si="1"/>
        <v>10612031</v>
      </c>
      <c r="I30" s="902">
        <v>10612031</v>
      </c>
      <c r="J30" s="903"/>
      <c r="K30" s="904"/>
    </row>
    <row r="31" spans="1:11" s="54" customFormat="1" ht="15.75" thickBot="1">
      <c r="A31" s="913" t="s">
        <v>174</v>
      </c>
      <c r="B31" s="905" t="s">
        <v>175</v>
      </c>
      <c r="C31" s="900">
        <f t="shared" si="0"/>
        <v>11096220</v>
      </c>
      <c r="D31" s="901">
        <f>SUM(E31+G31)</f>
        <v>11096220</v>
      </c>
      <c r="E31" s="902">
        <f>7196220+4900000-1000000</f>
        <v>11096220</v>
      </c>
      <c r="F31" s="903"/>
      <c r="G31" s="904"/>
      <c r="H31" s="902"/>
      <c r="I31" s="902"/>
      <c r="J31" s="903"/>
      <c r="K31" s="904"/>
    </row>
    <row r="32" spans="1:11" s="69" customFormat="1" ht="20.25" customHeight="1" thickBot="1" thickTop="1">
      <c r="A32" s="64"/>
      <c r="B32" s="914" t="s">
        <v>186</v>
      </c>
      <c r="C32" s="915">
        <f aca="true" t="shared" si="3" ref="C32:K32">SUM(C9:C31)</f>
        <v>307369996</v>
      </c>
      <c r="D32" s="67">
        <f t="shared" si="3"/>
        <v>204748562</v>
      </c>
      <c r="E32" s="67">
        <f t="shared" si="3"/>
        <v>177458137</v>
      </c>
      <c r="F32" s="67">
        <f t="shared" si="3"/>
        <v>0</v>
      </c>
      <c r="G32" s="68">
        <f t="shared" si="3"/>
        <v>27290425</v>
      </c>
      <c r="H32" s="67">
        <f t="shared" si="3"/>
        <v>102621434</v>
      </c>
      <c r="I32" s="67">
        <f t="shared" si="3"/>
        <v>96726334</v>
      </c>
      <c r="J32" s="67">
        <f t="shared" si="3"/>
        <v>8500</v>
      </c>
      <c r="K32" s="68">
        <f t="shared" si="3"/>
        <v>5886600</v>
      </c>
    </row>
    <row r="33" ht="15.75" thickTop="1">
      <c r="B33" s="91"/>
    </row>
    <row r="34" ht="15">
      <c r="B34" s="9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C3" sqref="C3"/>
    </sheetView>
  </sheetViews>
  <sheetFormatPr defaultColWidth="9.00390625" defaultRowHeight="12.75"/>
  <cols>
    <col min="1" max="1" width="8.00390625" style="916" customWidth="1"/>
    <col min="2" max="2" width="39.875" style="917" customWidth="1"/>
    <col min="3" max="3" width="13.00390625" style="918" customWidth="1"/>
    <col min="4" max="4" width="6.125" style="918" customWidth="1"/>
    <col min="5" max="6" width="14.875" style="918" customWidth="1"/>
    <col min="7" max="16384" width="9.125" style="920" customWidth="1"/>
  </cols>
  <sheetData>
    <row r="1" ht="12.75">
      <c r="E1" s="919" t="s">
        <v>410</v>
      </c>
    </row>
    <row r="2" ht="12.75">
      <c r="E2" s="919" t="s">
        <v>118</v>
      </c>
    </row>
    <row r="3" ht="12.75">
      <c r="E3" s="919" t="s">
        <v>119</v>
      </c>
    </row>
    <row r="4" ht="12.75">
      <c r="E4" s="919" t="s">
        <v>120</v>
      </c>
    </row>
    <row r="6" spans="1:6" ht="60" customHeight="1">
      <c r="A6" s="921" t="s">
        <v>411</v>
      </c>
      <c r="B6" s="922"/>
      <c r="C6" s="922"/>
      <c r="D6" s="922"/>
      <c r="E6" s="922"/>
      <c r="F6" s="922"/>
    </row>
    <row r="7" ht="18" customHeight="1" thickBot="1">
      <c r="F7" s="918" t="s">
        <v>123</v>
      </c>
    </row>
    <row r="8" spans="1:6" ht="33" customHeight="1" thickTop="1">
      <c r="A8" s="923" t="s">
        <v>412</v>
      </c>
      <c r="B8" s="924" t="s">
        <v>125</v>
      </c>
      <c r="C8" s="925" t="s">
        <v>413</v>
      </c>
      <c r="D8" s="926" t="s">
        <v>414</v>
      </c>
      <c r="E8" s="926"/>
      <c r="F8" s="927"/>
    </row>
    <row r="9" spans="1:6" ht="18" customHeight="1">
      <c r="A9" s="928" t="s">
        <v>415</v>
      </c>
      <c r="B9" s="929"/>
      <c r="C9" s="930" t="s">
        <v>416</v>
      </c>
      <c r="D9" s="931" t="s">
        <v>417</v>
      </c>
      <c r="E9" s="932" t="s">
        <v>126</v>
      </c>
      <c r="F9" s="933" t="s">
        <v>127</v>
      </c>
    </row>
    <row r="10" spans="1:6" s="940" customFormat="1" ht="12" thickBot="1">
      <c r="A10" s="934">
        <v>1</v>
      </c>
      <c r="B10" s="935">
        <v>2</v>
      </c>
      <c r="C10" s="936">
        <v>3</v>
      </c>
      <c r="D10" s="937">
        <v>4</v>
      </c>
      <c r="E10" s="938">
        <v>5</v>
      </c>
      <c r="F10" s="939">
        <v>6</v>
      </c>
    </row>
    <row r="11" spans="1:6" s="946" customFormat="1" ht="19.5" customHeight="1" thickBot="1" thickTop="1">
      <c r="A11" s="941" t="s">
        <v>144</v>
      </c>
      <c r="B11" s="942" t="s">
        <v>145</v>
      </c>
      <c r="C11" s="943">
        <f>C12</f>
        <v>715400</v>
      </c>
      <c r="D11" s="944"/>
      <c r="E11" s="945">
        <f>E12</f>
        <v>727000</v>
      </c>
      <c r="F11" s="945">
        <f>F12</f>
        <v>727000</v>
      </c>
    </row>
    <row r="12" spans="1:6" s="953" customFormat="1" ht="24" customHeight="1" thickBot="1" thickTop="1">
      <c r="A12" s="947" t="s">
        <v>418</v>
      </c>
      <c r="B12" s="948" t="s">
        <v>419</v>
      </c>
      <c r="C12" s="949">
        <v>715400</v>
      </c>
      <c r="D12" s="950">
        <v>2010</v>
      </c>
      <c r="E12" s="951">
        <v>727000</v>
      </c>
      <c r="F12" s="952">
        <v>727000</v>
      </c>
    </row>
    <row r="13" spans="1:6" s="960" customFormat="1" ht="77.25" hidden="1" thickBot="1">
      <c r="A13" s="954" t="s">
        <v>420</v>
      </c>
      <c r="B13" s="955" t="s">
        <v>421</v>
      </c>
      <c r="C13" s="956"/>
      <c r="D13" s="957"/>
      <c r="E13" s="958">
        <v>659000</v>
      </c>
      <c r="F13" s="959">
        <v>659000</v>
      </c>
    </row>
    <row r="14" spans="1:6" s="960" customFormat="1" ht="51.75" hidden="1" thickBot="1">
      <c r="A14" s="954" t="s">
        <v>420</v>
      </c>
      <c r="B14" s="955" t="s">
        <v>422</v>
      </c>
      <c r="C14" s="956"/>
      <c r="D14" s="957"/>
      <c r="E14" s="961"/>
      <c r="F14" s="959"/>
    </row>
    <row r="15" spans="1:6" s="946" customFormat="1" ht="65.25" customHeight="1" thickBot="1" thickTop="1">
      <c r="A15" s="941" t="s">
        <v>146</v>
      </c>
      <c r="B15" s="942" t="s">
        <v>423</v>
      </c>
      <c r="C15" s="943">
        <f>SUM(C23:C25)</f>
        <v>205684</v>
      </c>
      <c r="D15" s="944"/>
      <c r="E15" s="945">
        <f>E23</f>
        <v>18425</v>
      </c>
      <c r="F15" s="945">
        <f>F23</f>
        <v>18425</v>
      </c>
    </row>
    <row r="16" spans="1:6" s="962" customFormat="1" ht="17.25" customHeight="1" hidden="1">
      <c r="A16" s="947" t="s">
        <v>313</v>
      </c>
      <c r="B16" s="948" t="s">
        <v>424</v>
      </c>
      <c r="C16" s="949">
        <v>17596</v>
      </c>
      <c r="D16" s="950"/>
      <c r="E16" s="951">
        <v>0</v>
      </c>
      <c r="F16" s="952">
        <v>0</v>
      </c>
    </row>
    <row r="17" spans="1:6" s="962" customFormat="1" ht="58.5" customHeight="1" hidden="1">
      <c r="A17" s="963" t="s">
        <v>425</v>
      </c>
      <c r="B17" s="964" t="s">
        <v>426</v>
      </c>
      <c r="C17" s="965"/>
      <c r="D17" s="966"/>
      <c r="E17" s="961">
        <f>SUM(E18:E22)</f>
        <v>0</v>
      </c>
      <c r="F17" s="967">
        <f>SUM(F18:F23)</f>
        <v>18425</v>
      </c>
    </row>
    <row r="18" spans="1:6" s="962" customFormat="1" ht="14.25" customHeight="1" hidden="1">
      <c r="A18" s="968" t="s">
        <v>427</v>
      </c>
      <c r="B18" s="969" t="s">
        <v>428</v>
      </c>
      <c r="C18" s="970"/>
      <c r="D18" s="971"/>
      <c r="E18" s="972"/>
      <c r="F18" s="973"/>
    </row>
    <row r="19" spans="1:6" s="962" customFormat="1" ht="14.25" customHeight="1" hidden="1">
      <c r="A19" s="968" t="s">
        <v>429</v>
      </c>
      <c r="B19" s="974" t="s">
        <v>430</v>
      </c>
      <c r="C19" s="970"/>
      <c r="D19" s="971"/>
      <c r="E19" s="972"/>
      <c r="F19" s="975"/>
    </row>
    <row r="20" spans="1:6" s="962" customFormat="1" ht="14.25" customHeight="1" hidden="1">
      <c r="A20" s="976" t="s">
        <v>431</v>
      </c>
      <c r="B20" s="977" t="s">
        <v>432</v>
      </c>
      <c r="C20" s="970"/>
      <c r="D20" s="971"/>
      <c r="E20" s="972"/>
      <c r="F20" s="975"/>
    </row>
    <row r="21" spans="1:6" s="953" customFormat="1" ht="14.25" customHeight="1" hidden="1">
      <c r="A21" s="968" t="s">
        <v>433</v>
      </c>
      <c r="B21" s="969" t="s">
        <v>434</v>
      </c>
      <c r="C21" s="970"/>
      <c r="D21" s="971"/>
      <c r="E21" s="972"/>
      <c r="F21" s="975"/>
    </row>
    <row r="22" spans="1:6" s="953" customFormat="1" ht="14.25" customHeight="1" hidden="1">
      <c r="A22" s="968" t="s">
        <v>435</v>
      </c>
      <c r="B22" s="969" t="s">
        <v>436</v>
      </c>
      <c r="C22" s="978"/>
      <c r="D22" s="979"/>
      <c r="E22" s="972"/>
      <c r="F22" s="975"/>
    </row>
    <row r="23" spans="1:6" s="953" customFormat="1" ht="34.5" customHeight="1" thickTop="1">
      <c r="A23" s="947" t="s">
        <v>313</v>
      </c>
      <c r="B23" s="948" t="s">
        <v>424</v>
      </c>
      <c r="C23" s="949">
        <v>17596</v>
      </c>
      <c r="D23" s="950">
        <v>2010</v>
      </c>
      <c r="E23" s="951">
        <v>18425</v>
      </c>
      <c r="F23" s="952">
        <v>18425</v>
      </c>
    </row>
    <row r="24" spans="1:6" s="953" customFormat="1" ht="24" customHeight="1">
      <c r="A24" s="980" t="s">
        <v>437</v>
      </c>
      <c r="B24" s="981" t="s">
        <v>438</v>
      </c>
      <c r="C24" s="982">
        <v>52930</v>
      </c>
      <c r="D24" s="983">
        <v>2010</v>
      </c>
      <c r="E24" s="984"/>
      <c r="F24" s="985"/>
    </row>
    <row r="25" spans="1:6" s="953" customFormat="1" ht="24" customHeight="1" thickBot="1">
      <c r="A25" s="968" t="s">
        <v>439</v>
      </c>
      <c r="B25" s="969" t="s">
        <v>440</v>
      </c>
      <c r="C25" s="978">
        <v>135158</v>
      </c>
      <c r="D25" s="979">
        <v>2010</v>
      </c>
      <c r="E25" s="972"/>
      <c r="F25" s="975"/>
    </row>
    <row r="26" spans="1:6" s="946" customFormat="1" ht="34.5" customHeight="1" thickBot="1" thickTop="1">
      <c r="A26" s="941" t="s">
        <v>150</v>
      </c>
      <c r="B26" s="942" t="s">
        <v>151</v>
      </c>
      <c r="C26" s="986">
        <f>C27</f>
        <v>6000</v>
      </c>
      <c r="D26" s="987"/>
      <c r="E26" s="945"/>
      <c r="F26" s="945"/>
    </row>
    <row r="27" spans="1:6" s="953" customFormat="1" ht="18.75" customHeight="1" thickBot="1" thickTop="1">
      <c r="A27" s="947" t="s">
        <v>441</v>
      </c>
      <c r="B27" s="948" t="s">
        <v>321</v>
      </c>
      <c r="C27" s="949">
        <v>6000</v>
      </c>
      <c r="D27" s="950">
        <v>2010</v>
      </c>
      <c r="E27" s="951"/>
      <c r="F27" s="952"/>
    </row>
    <row r="28" spans="1:6" s="946" customFormat="1" ht="17.25" customHeight="1" thickBot="1" thickTop="1">
      <c r="A28" s="941" t="s">
        <v>164</v>
      </c>
      <c r="B28" s="942" t="s">
        <v>254</v>
      </c>
      <c r="C28" s="986">
        <f>SUM(C29:C60)</f>
        <v>20401391</v>
      </c>
      <c r="D28" s="987"/>
      <c r="E28" s="945">
        <f>E29+E30+E32+E33+E60</f>
        <v>26545000</v>
      </c>
      <c r="F28" s="945">
        <f>F29+F30+F32+F33+F60</f>
        <v>26545000</v>
      </c>
    </row>
    <row r="29" spans="1:6" s="988" customFormat="1" ht="17.25" customHeight="1" thickTop="1">
      <c r="A29" s="947" t="s">
        <v>442</v>
      </c>
      <c r="B29" s="948" t="s">
        <v>357</v>
      </c>
      <c r="C29" s="949">
        <v>450000</v>
      </c>
      <c r="D29" s="950">
        <v>2010</v>
      </c>
      <c r="E29" s="951">
        <v>454000</v>
      </c>
      <c r="F29" s="952">
        <v>454000</v>
      </c>
    </row>
    <row r="30" spans="1:6" s="988" customFormat="1" ht="48" customHeight="1">
      <c r="A30" s="989">
        <v>85212</v>
      </c>
      <c r="B30" s="990" t="s">
        <v>443</v>
      </c>
      <c r="C30" s="991">
        <v>18427000</v>
      </c>
      <c r="D30" s="992">
        <v>2010</v>
      </c>
      <c r="E30" s="993">
        <v>24611000</v>
      </c>
      <c r="F30" s="994">
        <v>24611000</v>
      </c>
    </row>
    <row r="31" spans="1:6" s="988" customFormat="1" ht="16.5" customHeight="1">
      <c r="A31" s="995"/>
      <c r="B31" s="996"/>
      <c r="C31" s="982">
        <v>3500</v>
      </c>
      <c r="D31" s="983">
        <v>6310</v>
      </c>
      <c r="E31" s="984"/>
      <c r="F31" s="985"/>
    </row>
    <row r="32" spans="1:6" s="988" customFormat="1" ht="56.25" customHeight="1">
      <c r="A32" s="997" t="s">
        <v>444</v>
      </c>
      <c r="B32" s="998" t="s">
        <v>445</v>
      </c>
      <c r="C32" s="999">
        <v>197000</v>
      </c>
      <c r="D32" s="1000">
        <v>2010</v>
      </c>
      <c r="E32" s="1001">
        <v>194000</v>
      </c>
      <c r="F32" s="1002">
        <v>194000</v>
      </c>
    </row>
    <row r="33" spans="1:6" s="953" customFormat="1" ht="36.75" customHeight="1">
      <c r="A33" s="997" t="s">
        <v>446</v>
      </c>
      <c r="B33" s="998" t="s">
        <v>361</v>
      </c>
      <c r="C33" s="999">
        <v>1323891</v>
      </c>
      <c r="D33" s="1000">
        <v>2010</v>
      </c>
      <c r="E33" s="1001">
        <v>1166000</v>
      </c>
      <c r="F33" s="1002">
        <v>1166000</v>
      </c>
    </row>
    <row r="34" spans="1:6" s="988" customFormat="1" ht="15" customHeight="1" hidden="1">
      <c r="A34" s="968" t="s">
        <v>431</v>
      </c>
      <c r="B34" s="977" t="s">
        <v>432</v>
      </c>
      <c r="C34" s="978"/>
      <c r="D34" s="979"/>
      <c r="E34" s="972"/>
      <c r="F34" s="975"/>
    </row>
    <row r="35" spans="1:6" s="962" customFormat="1" ht="15" customHeight="1" hidden="1">
      <c r="A35" s="963" t="s">
        <v>447</v>
      </c>
      <c r="B35" s="964" t="s">
        <v>363</v>
      </c>
      <c r="C35" s="965"/>
      <c r="D35" s="966"/>
      <c r="E35" s="961">
        <f>SUM(E36:E37)</f>
        <v>0</v>
      </c>
      <c r="F35" s="967">
        <f>SUM(F36:F37)</f>
        <v>0</v>
      </c>
    </row>
    <row r="36" spans="1:6" s="953" customFormat="1" ht="57" customHeight="1" hidden="1">
      <c r="A36" s="968" t="s">
        <v>427</v>
      </c>
      <c r="B36" s="969" t="s">
        <v>428</v>
      </c>
      <c r="C36" s="991"/>
      <c r="D36" s="992"/>
      <c r="E36" s="993"/>
      <c r="F36" s="994"/>
    </row>
    <row r="37" spans="1:6" s="988" customFormat="1" ht="15.75" customHeight="1" hidden="1">
      <c r="A37" s="980" t="s">
        <v>448</v>
      </c>
      <c r="B37" s="981" t="s">
        <v>449</v>
      </c>
      <c r="C37" s="982"/>
      <c r="D37" s="983"/>
      <c r="E37" s="984"/>
      <c r="F37" s="985"/>
    </row>
    <row r="38" spans="1:6" s="962" customFormat="1" ht="14.25" customHeight="1" hidden="1">
      <c r="A38" s="963" t="s">
        <v>450</v>
      </c>
      <c r="B38" s="964" t="s">
        <v>365</v>
      </c>
      <c r="C38" s="965"/>
      <c r="D38" s="966"/>
      <c r="E38" s="961">
        <f>SUM(E39)</f>
        <v>0</v>
      </c>
      <c r="F38" s="967">
        <f>SUM(F39:F50)</f>
        <v>0</v>
      </c>
    </row>
    <row r="39" spans="1:6" s="962" customFormat="1" ht="60" customHeight="1" hidden="1">
      <c r="A39" s="968" t="s">
        <v>427</v>
      </c>
      <c r="B39" s="969" t="s">
        <v>428</v>
      </c>
      <c r="C39" s="970"/>
      <c r="D39" s="971"/>
      <c r="E39" s="972"/>
      <c r="F39" s="975"/>
    </row>
    <row r="40" spans="1:6" s="962" customFormat="1" ht="13.5" customHeight="1" hidden="1">
      <c r="A40" s="1003">
        <v>4010</v>
      </c>
      <c r="B40" s="1004" t="s">
        <v>451</v>
      </c>
      <c r="C40" s="970"/>
      <c r="D40" s="971"/>
      <c r="E40" s="972"/>
      <c r="F40" s="975"/>
    </row>
    <row r="41" spans="1:6" s="1005" customFormat="1" ht="13.5" customHeight="1" hidden="1">
      <c r="A41" s="1003">
        <v>4040</v>
      </c>
      <c r="B41" s="1004" t="s">
        <v>452</v>
      </c>
      <c r="C41" s="970"/>
      <c r="D41" s="971"/>
      <c r="E41" s="972"/>
      <c r="F41" s="975"/>
    </row>
    <row r="42" spans="1:6" s="1005" customFormat="1" ht="13.5" customHeight="1" hidden="1">
      <c r="A42" s="976" t="s">
        <v>431</v>
      </c>
      <c r="B42" s="977" t="s">
        <v>432</v>
      </c>
      <c r="C42" s="970"/>
      <c r="D42" s="971"/>
      <c r="E42" s="972"/>
      <c r="F42" s="975"/>
    </row>
    <row r="43" spans="1:6" s="962" customFormat="1" ht="13.5" customHeight="1" hidden="1">
      <c r="A43" s="968" t="s">
        <v>433</v>
      </c>
      <c r="B43" s="969" t="s">
        <v>434</v>
      </c>
      <c r="C43" s="970"/>
      <c r="D43" s="971"/>
      <c r="E43" s="972"/>
      <c r="F43" s="975"/>
    </row>
    <row r="44" spans="1:6" s="1005" customFormat="1" ht="13.5" customHeight="1" hidden="1">
      <c r="A44" s="968" t="s">
        <v>435</v>
      </c>
      <c r="B44" s="969" t="s">
        <v>436</v>
      </c>
      <c r="C44" s="970"/>
      <c r="D44" s="971"/>
      <c r="E44" s="972"/>
      <c r="F44" s="975"/>
    </row>
    <row r="45" spans="1:6" s="962" customFormat="1" ht="13.5" customHeight="1" hidden="1">
      <c r="A45" s="968" t="s">
        <v>453</v>
      </c>
      <c r="B45" s="969" t="s">
        <v>454</v>
      </c>
      <c r="C45" s="970"/>
      <c r="D45" s="971"/>
      <c r="E45" s="972"/>
      <c r="F45" s="975"/>
    </row>
    <row r="46" spans="1:6" s="962" customFormat="1" ht="13.5" customHeight="1" hidden="1">
      <c r="A46" s="968" t="s">
        <v>455</v>
      </c>
      <c r="B46" s="969" t="s">
        <v>456</v>
      </c>
      <c r="C46" s="970"/>
      <c r="D46" s="971"/>
      <c r="E46" s="972"/>
      <c r="F46" s="975"/>
    </row>
    <row r="47" spans="1:6" s="962" customFormat="1" ht="13.5" customHeight="1" hidden="1">
      <c r="A47" s="968" t="s">
        <v>457</v>
      </c>
      <c r="B47" s="969" t="s">
        <v>458</v>
      </c>
      <c r="C47" s="970"/>
      <c r="D47" s="971"/>
      <c r="E47" s="972"/>
      <c r="F47" s="975"/>
    </row>
    <row r="48" spans="1:6" s="1005" customFormat="1" ht="13.5" customHeight="1" hidden="1">
      <c r="A48" s="968" t="s">
        <v>459</v>
      </c>
      <c r="B48" s="969" t="s">
        <v>460</v>
      </c>
      <c r="C48" s="970"/>
      <c r="D48" s="971"/>
      <c r="E48" s="972"/>
      <c r="F48" s="975"/>
    </row>
    <row r="49" spans="1:6" s="962" customFormat="1" ht="13.5" customHeight="1" hidden="1">
      <c r="A49" s="968" t="s">
        <v>461</v>
      </c>
      <c r="B49" s="969" t="s">
        <v>462</v>
      </c>
      <c r="C49" s="970"/>
      <c r="D49" s="971"/>
      <c r="E49" s="972"/>
      <c r="F49" s="975"/>
    </row>
    <row r="50" spans="1:6" s="1005" customFormat="1" ht="13.5" customHeight="1" hidden="1">
      <c r="A50" s="968" t="s">
        <v>463</v>
      </c>
      <c r="B50" s="969" t="s">
        <v>464</v>
      </c>
      <c r="C50" s="970"/>
      <c r="D50" s="971"/>
      <c r="E50" s="972"/>
      <c r="F50" s="975"/>
    </row>
    <row r="51" spans="1:6" s="1005" customFormat="1" ht="32.25" customHeight="1" hidden="1">
      <c r="A51" s="1006">
        <v>900</v>
      </c>
      <c r="B51" s="1007" t="s">
        <v>465</v>
      </c>
      <c r="C51" s="1008" t="s">
        <v>466</v>
      </c>
      <c r="D51" s="1009"/>
      <c r="E51" s="1010">
        <f>SUM(E52)</f>
        <v>0</v>
      </c>
      <c r="F51" s="1011">
        <f>SUM(F52)</f>
        <v>0</v>
      </c>
    </row>
    <row r="52" spans="1:6" s="1005" customFormat="1" ht="18" customHeight="1" hidden="1">
      <c r="A52" s="1012" t="s">
        <v>467</v>
      </c>
      <c r="B52" s="1013" t="s">
        <v>387</v>
      </c>
      <c r="C52" s="1014"/>
      <c r="D52" s="1015"/>
      <c r="E52" s="1016">
        <f>SUM(E53:E55)</f>
        <v>0</v>
      </c>
      <c r="F52" s="1017">
        <f>SUM(F53:F55)</f>
        <v>0</v>
      </c>
    </row>
    <row r="53" spans="1:6" s="1005" customFormat="1" ht="59.25" customHeight="1" hidden="1">
      <c r="A53" s="1018">
        <v>2010</v>
      </c>
      <c r="B53" s="1019" t="s">
        <v>468</v>
      </c>
      <c r="C53" s="1020"/>
      <c r="D53" s="1021"/>
      <c r="E53" s="1022"/>
      <c r="F53" s="975"/>
    </row>
    <row r="54" spans="1:6" s="1005" customFormat="1" ht="13.5" customHeight="1" hidden="1">
      <c r="A54" s="1018">
        <v>4260</v>
      </c>
      <c r="B54" s="1023" t="s">
        <v>456</v>
      </c>
      <c r="C54" s="1020"/>
      <c r="D54" s="1021"/>
      <c r="E54" s="972"/>
      <c r="F54" s="1024"/>
    </row>
    <row r="55" spans="1:6" s="1005" customFormat="1" ht="13.5" customHeight="1" hidden="1">
      <c r="A55" s="1018">
        <v>4270</v>
      </c>
      <c r="B55" s="1023" t="s">
        <v>469</v>
      </c>
      <c r="C55" s="1025"/>
      <c r="D55" s="1026"/>
      <c r="E55" s="972"/>
      <c r="F55" s="1024"/>
    </row>
    <row r="56" spans="1:6" s="1005" customFormat="1" ht="29.25" customHeight="1" hidden="1">
      <c r="A56" s="1006">
        <v>921</v>
      </c>
      <c r="B56" s="1007" t="s">
        <v>173</v>
      </c>
      <c r="C56" s="1008" t="s">
        <v>470</v>
      </c>
      <c r="D56" s="1009"/>
      <c r="E56" s="1010">
        <f>SUM(E57)</f>
        <v>0</v>
      </c>
      <c r="F56" s="1011">
        <f>SUM(F57)</f>
        <v>0</v>
      </c>
    </row>
    <row r="57" spans="1:6" s="1005" customFormat="1" ht="29.25" customHeight="1" hidden="1">
      <c r="A57" s="1012" t="s">
        <v>471</v>
      </c>
      <c r="B57" s="1013" t="s">
        <v>391</v>
      </c>
      <c r="C57" s="1014"/>
      <c r="D57" s="1015"/>
      <c r="E57" s="1016">
        <f>SUM(E58:E59)</f>
        <v>0</v>
      </c>
      <c r="F57" s="1017">
        <f>SUM(F59)</f>
        <v>0</v>
      </c>
    </row>
    <row r="58" spans="1:6" s="1005" customFormat="1" ht="21" customHeight="1" hidden="1">
      <c r="A58" s="1018">
        <v>2010</v>
      </c>
      <c r="B58" s="1019" t="s">
        <v>468</v>
      </c>
      <c r="C58" s="1020"/>
      <c r="D58" s="1021"/>
      <c r="E58" s="1022"/>
      <c r="F58" s="994"/>
    </row>
    <row r="59" spans="1:6" s="1005" customFormat="1" ht="17.25" customHeight="1" hidden="1">
      <c r="A59" s="1018">
        <v>4210</v>
      </c>
      <c r="B59" s="1023" t="s">
        <v>436</v>
      </c>
      <c r="C59" s="1020"/>
      <c r="D59" s="1021"/>
      <c r="E59" s="972"/>
      <c r="F59" s="1024"/>
    </row>
    <row r="60" spans="1:6" s="1005" customFormat="1" ht="28.5" customHeight="1" thickBot="1">
      <c r="A60" s="1018">
        <v>85228</v>
      </c>
      <c r="B60" s="1023" t="s">
        <v>368</v>
      </c>
      <c r="C60" s="1027"/>
      <c r="D60" s="1028">
        <v>2010</v>
      </c>
      <c r="E60" s="972">
        <v>120000</v>
      </c>
      <c r="F60" s="1024">
        <v>120000</v>
      </c>
    </row>
    <row r="61" spans="1:6" s="946" customFormat="1" ht="33.75" customHeight="1" thickBot="1" thickTop="1">
      <c r="A61" s="1029" t="s">
        <v>172</v>
      </c>
      <c r="B61" s="942" t="s">
        <v>173</v>
      </c>
      <c r="C61" s="986">
        <f>C62</f>
        <v>3000</v>
      </c>
      <c r="D61" s="987"/>
      <c r="E61" s="945"/>
      <c r="F61" s="945"/>
    </row>
    <row r="62" spans="1:6" s="953" customFormat="1" ht="21" customHeight="1" thickBot="1" thickTop="1">
      <c r="A62" s="1030" t="s">
        <v>471</v>
      </c>
      <c r="B62" s="1031" t="s">
        <v>391</v>
      </c>
      <c r="C62" s="1032">
        <v>3000</v>
      </c>
      <c r="D62" s="1033">
        <v>2010</v>
      </c>
      <c r="E62" s="1034"/>
      <c r="F62" s="1035"/>
    </row>
    <row r="63" spans="1:6" s="1041" customFormat="1" ht="21" customHeight="1" thickBot="1" thickTop="1">
      <c r="A63" s="1036"/>
      <c r="B63" s="1037" t="s">
        <v>186</v>
      </c>
      <c r="C63" s="1038">
        <f>C11+C26+C28+C15+C61</f>
        <v>21331475</v>
      </c>
      <c r="D63" s="1039"/>
      <c r="E63" s="1040">
        <f>E11+E26+E28+E15+E51+E56</f>
        <v>27290425</v>
      </c>
      <c r="F63" s="1040">
        <f>F11+F26+F28+F15+F51+F56</f>
        <v>27290425</v>
      </c>
    </row>
    <row r="64" spans="1:6" s="1045" customFormat="1" ht="13.5" thickTop="1">
      <c r="A64" s="1042"/>
      <c r="B64" s="91"/>
      <c r="C64" s="1043"/>
      <c r="D64" s="1043"/>
      <c r="E64" s="1044"/>
      <c r="F64" s="1044"/>
    </row>
    <row r="65" spans="1:6" s="1045" customFormat="1" ht="12.75">
      <c r="A65" s="1042"/>
      <c r="B65" s="91"/>
      <c r="C65" s="1043"/>
      <c r="D65" s="1043"/>
      <c r="E65" s="1044"/>
      <c r="F65" s="1044"/>
    </row>
    <row r="66" spans="1:6" s="960" customFormat="1" ht="15">
      <c r="A66" s="1046"/>
      <c r="B66" s="1047"/>
      <c r="C66" s="1048"/>
      <c r="D66" s="1048"/>
      <c r="E66" s="1049"/>
      <c r="F66" s="1049"/>
    </row>
    <row r="67" spans="1:6" s="1045" customFormat="1" ht="12.75">
      <c r="A67" s="1050"/>
      <c r="B67" s="1051"/>
      <c r="C67" s="1043"/>
      <c r="D67" s="1043"/>
      <c r="E67" s="1044"/>
      <c r="F67" s="1044"/>
    </row>
    <row r="68" spans="1:6" s="1045" customFormat="1" ht="12.75">
      <c r="A68" s="1050"/>
      <c r="B68" s="1051"/>
      <c r="C68" s="1043"/>
      <c r="D68" s="1043"/>
      <c r="E68" s="1044"/>
      <c r="F68" s="1044"/>
    </row>
    <row r="69" spans="1:6" s="1045" customFormat="1" ht="12.75">
      <c r="A69" s="1050"/>
      <c r="B69" s="1051"/>
      <c r="C69" s="1043"/>
      <c r="D69" s="1043"/>
      <c r="E69" s="1044"/>
      <c r="F69" s="1044"/>
    </row>
    <row r="70" spans="1:6" s="1045" customFormat="1" ht="12.75">
      <c r="A70" s="1050"/>
      <c r="B70" s="1051"/>
      <c r="C70" s="1043"/>
      <c r="D70" s="1043"/>
      <c r="E70" s="1044"/>
      <c r="F70" s="1044"/>
    </row>
    <row r="71" spans="1:6" s="1045" customFormat="1" ht="12.75">
      <c r="A71" s="1050"/>
      <c r="B71" s="1051"/>
      <c r="C71" s="1043"/>
      <c r="D71" s="1043"/>
      <c r="E71" s="1044"/>
      <c r="F71" s="1044"/>
    </row>
    <row r="72" spans="1:6" s="1045" customFormat="1" ht="12.75">
      <c r="A72" s="1050"/>
      <c r="B72" s="1051"/>
      <c r="C72" s="1043"/>
      <c r="D72" s="1043"/>
      <c r="E72" s="1044"/>
      <c r="F72" s="1044"/>
    </row>
    <row r="73" spans="1:6" s="1045" customFormat="1" ht="12.75">
      <c r="A73" s="1050"/>
      <c r="B73" s="1051"/>
      <c r="C73" s="1043"/>
      <c r="D73" s="1043"/>
      <c r="E73" s="1044"/>
      <c r="F73" s="1044"/>
    </row>
    <row r="74" spans="1:6" s="1045" customFormat="1" ht="12.75">
      <c r="A74" s="1050"/>
      <c r="B74" s="1051"/>
      <c r="C74" s="1043"/>
      <c r="D74" s="1043"/>
      <c r="E74" s="1044"/>
      <c r="F74" s="1044"/>
    </row>
    <row r="75" spans="1:6" s="1045" customFormat="1" ht="12.75">
      <c r="A75" s="1050"/>
      <c r="B75" s="1051"/>
      <c r="C75" s="1043"/>
      <c r="D75" s="1043"/>
      <c r="E75" s="1044"/>
      <c r="F75" s="1044"/>
    </row>
    <row r="76" spans="1:6" s="1045" customFormat="1" ht="12.75">
      <c r="A76" s="1050"/>
      <c r="B76" s="1051"/>
      <c r="C76" s="1043"/>
      <c r="D76" s="1043"/>
      <c r="E76" s="1044"/>
      <c r="F76" s="1044"/>
    </row>
    <row r="77" spans="3:4" ht="12.75">
      <c r="C77" s="1052"/>
      <c r="D77" s="1052"/>
    </row>
    <row r="78" spans="3:4" ht="12.75">
      <c r="C78" s="1052"/>
      <c r="D78" s="1052"/>
    </row>
    <row r="79" spans="3:4" ht="12.75">
      <c r="C79" s="1052"/>
      <c r="D79" s="1052"/>
    </row>
    <row r="80" spans="3:4" ht="12.75">
      <c r="C80" s="1052"/>
      <c r="D80" s="1052"/>
    </row>
    <row r="81" spans="3:4" ht="12.75">
      <c r="C81" s="1052"/>
      <c r="D81" s="1052"/>
    </row>
    <row r="82" spans="3:4" ht="12.75">
      <c r="C82" s="1052"/>
      <c r="D82" s="1052"/>
    </row>
    <row r="83" spans="3:4" ht="12.75">
      <c r="C83" s="1052"/>
      <c r="D83" s="1052"/>
    </row>
    <row r="84" spans="3:4" ht="12.75">
      <c r="C84" s="1052"/>
      <c r="D84" s="1052"/>
    </row>
    <row r="85" spans="3:4" ht="12.75">
      <c r="C85" s="1052"/>
      <c r="D85" s="1052"/>
    </row>
    <row r="86" spans="3:4" ht="12.75">
      <c r="C86" s="1052"/>
      <c r="D86" s="1052"/>
    </row>
    <row r="87" spans="3:4" ht="12.75">
      <c r="C87" s="1052"/>
      <c r="D87" s="1052"/>
    </row>
    <row r="88" spans="3:4" ht="12.75">
      <c r="C88" s="1052"/>
      <c r="D88" s="1052"/>
    </row>
    <row r="89" spans="3:4" ht="12.75">
      <c r="C89" s="1052"/>
      <c r="D89" s="1052"/>
    </row>
    <row r="90" spans="3:4" ht="12.75">
      <c r="C90" s="1052"/>
      <c r="D90" s="1052"/>
    </row>
    <row r="91" spans="3:4" ht="12.75">
      <c r="C91" s="1052"/>
      <c r="D91" s="1052"/>
    </row>
    <row r="92" spans="3:4" ht="12.75">
      <c r="C92" s="1052"/>
      <c r="D92" s="1052"/>
    </row>
    <row r="93" spans="3:4" ht="12.75">
      <c r="C93" s="1052"/>
      <c r="D93" s="1052"/>
    </row>
    <row r="94" spans="3:4" ht="12.75">
      <c r="C94" s="1052"/>
      <c r="D94" s="1052"/>
    </row>
    <row r="95" spans="3:4" ht="12.75">
      <c r="C95" s="1052"/>
      <c r="D95" s="1052"/>
    </row>
    <row r="96" spans="3:4" ht="12.75">
      <c r="C96" s="1052"/>
      <c r="D96" s="1052"/>
    </row>
    <row r="97" spans="3:4" ht="12.75">
      <c r="C97" s="1052"/>
      <c r="D97" s="1052"/>
    </row>
    <row r="98" spans="3:4" ht="12.75">
      <c r="C98" s="1052"/>
      <c r="D98" s="1052"/>
    </row>
    <row r="99" spans="3:4" ht="12.75">
      <c r="C99" s="1052"/>
      <c r="D99" s="1052"/>
    </row>
    <row r="100" spans="3:4" ht="12.75">
      <c r="C100" s="1052"/>
      <c r="D100" s="1052"/>
    </row>
    <row r="101" spans="3:4" ht="12.75">
      <c r="C101" s="1052"/>
      <c r="D101" s="1052"/>
    </row>
    <row r="102" spans="3:4" ht="12.75">
      <c r="C102" s="1052"/>
      <c r="D102" s="1052"/>
    </row>
    <row r="103" spans="3:4" ht="12.75">
      <c r="C103" s="1052"/>
      <c r="D103" s="1052"/>
    </row>
    <row r="104" spans="3:4" ht="12.75">
      <c r="C104" s="1052"/>
      <c r="D104" s="1052"/>
    </row>
    <row r="105" spans="3:4" ht="12.75">
      <c r="C105" s="1052"/>
      <c r="D105" s="1052"/>
    </row>
    <row r="106" spans="3:4" ht="12.75">
      <c r="C106" s="1052"/>
      <c r="D106" s="1052"/>
    </row>
    <row r="107" spans="3:4" ht="12.75">
      <c r="C107" s="1053"/>
      <c r="D107" s="1053"/>
    </row>
    <row r="108" spans="3:4" ht="12.75">
      <c r="C108" s="1053"/>
      <c r="D108" s="1053"/>
    </row>
    <row r="109" spans="3:4" ht="12.75">
      <c r="C109" s="1053"/>
      <c r="D109" s="1053"/>
    </row>
    <row r="110" spans="3:4" ht="12.75">
      <c r="C110" s="1053"/>
      <c r="D110" s="1053"/>
    </row>
    <row r="111" spans="3:4" ht="12.75">
      <c r="C111" s="1053"/>
      <c r="D111" s="1053"/>
    </row>
    <row r="112" spans="3:4" ht="12.75">
      <c r="C112" s="1053"/>
      <c r="D112" s="1053"/>
    </row>
    <row r="113" spans="3:4" ht="12.75">
      <c r="C113" s="1053"/>
      <c r="D113" s="1053"/>
    </row>
    <row r="114" spans="3:4" ht="12.75">
      <c r="C114" s="1053"/>
      <c r="D114" s="1053"/>
    </row>
    <row r="115" spans="3:4" ht="12.75">
      <c r="C115" s="1053"/>
      <c r="D115" s="1053"/>
    </row>
    <row r="116" spans="3:4" ht="12.75">
      <c r="C116" s="1053"/>
      <c r="D116" s="1053"/>
    </row>
    <row r="117" spans="3:4" ht="12.75">
      <c r="C117" s="1053"/>
      <c r="D117" s="1053"/>
    </row>
    <row r="118" spans="3:4" ht="12.75">
      <c r="C118" s="1053"/>
      <c r="D118" s="1053"/>
    </row>
    <row r="119" spans="3:4" ht="12.75">
      <c r="C119" s="1053"/>
      <c r="D119" s="1053"/>
    </row>
    <row r="120" spans="3:4" ht="12.75">
      <c r="C120" s="1053"/>
      <c r="D120" s="1053"/>
    </row>
    <row r="121" spans="3:4" ht="12.75">
      <c r="C121" s="1053"/>
      <c r="D121" s="1053"/>
    </row>
    <row r="122" spans="3:4" ht="12.75">
      <c r="C122" s="1053"/>
      <c r="D122" s="1053"/>
    </row>
    <row r="123" spans="3:4" ht="12.75">
      <c r="C123" s="1053"/>
      <c r="D123" s="1053"/>
    </row>
    <row r="124" spans="3:4" ht="12.75">
      <c r="C124" s="1053"/>
      <c r="D124" s="1053"/>
    </row>
    <row r="125" spans="3:4" ht="12.75">
      <c r="C125" s="1053"/>
      <c r="D125" s="1053"/>
    </row>
    <row r="126" spans="3:4" ht="12.75">
      <c r="C126" s="1053"/>
      <c r="D126" s="1053"/>
    </row>
    <row r="127" spans="3:4" ht="12.75">
      <c r="C127" s="1053"/>
      <c r="D127" s="1053"/>
    </row>
    <row r="128" spans="3:4" ht="12.75">
      <c r="C128" s="1053"/>
      <c r="D128" s="1053"/>
    </row>
    <row r="129" spans="3:4" ht="12.75">
      <c r="C129" s="1053"/>
      <c r="D129" s="1053"/>
    </row>
    <row r="130" spans="3:4" ht="12.75">
      <c r="C130" s="1053"/>
      <c r="D130" s="1053"/>
    </row>
    <row r="131" spans="3:4" ht="12.75">
      <c r="C131" s="1053"/>
      <c r="D131" s="105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5" sqref="B5"/>
    </sheetView>
  </sheetViews>
  <sheetFormatPr defaultColWidth="9.00390625" defaultRowHeight="12.75"/>
  <cols>
    <col min="1" max="1" width="9.625" style="916" customWidth="1"/>
    <col min="2" max="2" width="41.00390625" style="917" customWidth="1"/>
    <col min="3" max="3" width="14.75390625" style="918" customWidth="1"/>
    <col min="4" max="4" width="6.00390625" style="1054" customWidth="1"/>
    <col min="5" max="6" width="14.875" style="920" customWidth="1"/>
    <col min="7" max="16384" width="9.125" style="920" customWidth="1"/>
  </cols>
  <sheetData>
    <row r="1" ht="12.75">
      <c r="E1" s="919" t="s">
        <v>472</v>
      </c>
    </row>
    <row r="2" ht="12.75">
      <c r="E2" s="919" t="s">
        <v>118</v>
      </c>
    </row>
    <row r="3" ht="12.75">
      <c r="E3" s="919" t="s">
        <v>119</v>
      </c>
    </row>
    <row r="4" ht="12.75">
      <c r="E4" s="919" t="s">
        <v>120</v>
      </c>
    </row>
    <row r="6" spans="1:6" ht="56.25" customHeight="1">
      <c r="A6" s="921" t="s">
        <v>473</v>
      </c>
      <c r="B6" s="922"/>
      <c r="C6" s="922"/>
      <c r="D6" s="1055"/>
      <c r="E6" s="922"/>
      <c r="F6" s="922"/>
    </row>
    <row r="7" spans="5:6" ht="21.75" customHeight="1" thickBot="1">
      <c r="E7" s="1056"/>
      <c r="F7" s="916" t="s">
        <v>123</v>
      </c>
    </row>
    <row r="8" spans="1:6" ht="33" customHeight="1" thickTop="1">
      <c r="A8" s="923" t="s">
        <v>412</v>
      </c>
      <c r="B8" s="924" t="s">
        <v>125</v>
      </c>
      <c r="C8" s="925" t="s">
        <v>413</v>
      </c>
      <c r="D8" s="1057" t="s">
        <v>414</v>
      </c>
      <c r="E8" s="926"/>
      <c r="F8" s="927"/>
    </row>
    <row r="9" spans="1:6" ht="18" customHeight="1">
      <c r="A9" s="928" t="s">
        <v>415</v>
      </c>
      <c r="B9" s="929"/>
      <c r="C9" s="930" t="s">
        <v>416</v>
      </c>
      <c r="D9" s="1058" t="s">
        <v>417</v>
      </c>
      <c r="E9" s="1059" t="s">
        <v>126</v>
      </c>
      <c r="F9" s="932" t="s">
        <v>127</v>
      </c>
    </row>
    <row r="10" spans="1:6" s="940" customFormat="1" ht="12" customHeight="1" thickBot="1">
      <c r="A10" s="934">
        <v>1</v>
      </c>
      <c r="B10" s="935">
        <v>2</v>
      </c>
      <c r="C10" s="936">
        <v>3</v>
      </c>
      <c r="D10" s="1060">
        <v>4</v>
      </c>
      <c r="E10" s="937">
        <v>5</v>
      </c>
      <c r="F10" s="938">
        <v>6</v>
      </c>
    </row>
    <row r="11" spans="1:6" s="946" customFormat="1" ht="18.75" customHeight="1" thickBot="1" thickTop="1">
      <c r="A11" s="941" t="s">
        <v>140</v>
      </c>
      <c r="B11" s="942" t="s">
        <v>290</v>
      </c>
      <c r="C11" s="1061">
        <f>C12</f>
        <v>45000</v>
      </c>
      <c r="D11" s="1062"/>
      <c r="E11" s="1063">
        <f>SUM(E12)</f>
        <v>40000</v>
      </c>
      <c r="F11" s="1064">
        <f>SUM(F12)</f>
        <v>40000</v>
      </c>
    </row>
    <row r="12" spans="1:6" s="953" customFormat="1" ht="21.75" customHeight="1" thickBot="1" thickTop="1">
      <c r="A12" s="947" t="s">
        <v>474</v>
      </c>
      <c r="B12" s="948" t="s">
        <v>297</v>
      </c>
      <c r="C12" s="1065">
        <v>45000</v>
      </c>
      <c r="D12" s="1066">
        <v>2110</v>
      </c>
      <c r="E12" s="1067">
        <v>40000</v>
      </c>
      <c r="F12" s="1068">
        <v>40000</v>
      </c>
    </row>
    <row r="13" spans="1:6" s="946" customFormat="1" ht="19.5" customHeight="1" thickBot="1" thickTop="1">
      <c r="A13" s="941" t="s">
        <v>142</v>
      </c>
      <c r="B13" s="942" t="s">
        <v>143</v>
      </c>
      <c r="C13" s="1063">
        <f>C14+C15+C16</f>
        <v>253700</v>
      </c>
      <c r="D13" s="1069"/>
      <c r="E13" s="1063">
        <f>E14+E15+E16</f>
        <v>250100</v>
      </c>
      <c r="F13" s="1064">
        <f>F14+F15+F16</f>
        <v>250100</v>
      </c>
    </row>
    <row r="14" spans="1:6" s="988" customFormat="1" ht="30.75" customHeight="1" thickTop="1">
      <c r="A14" s="947" t="s">
        <v>475</v>
      </c>
      <c r="B14" s="948" t="s">
        <v>476</v>
      </c>
      <c r="C14" s="1065">
        <v>51000</v>
      </c>
      <c r="D14" s="1066">
        <v>2110</v>
      </c>
      <c r="E14" s="1067">
        <v>47000</v>
      </c>
      <c r="F14" s="1068">
        <v>47000</v>
      </c>
    </row>
    <row r="15" spans="1:6" s="988" customFormat="1" ht="22.5" customHeight="1">
      <c r="A15" s="997" t="s">
        <v>477</v>
      </c>
      <c r="B15" s="998" t="s">
        <v>302</v>
      </c>
      <c r="C15" s="1070">
        <v>20000</v>
      </c>
      <c r="D15" s="1071">
        <v>2110</v>
      </c>
      <c r="E15" s="1072">
        <v>17000</v>
      </c>
      <c r="F15" s="1073">
        <v>17000</v>
      </c>
    </row>
    <row r="16" spans="1:6" s="953" customFormat="1" ht="21.75" customHeight="1" thickBot="1">
      <c r="A16" s="997" t="s">
        <v>478</v>
      </c>
      <c r="B16" s="998" t="s">
        <v>303</v>
      </c>
      <c r="C16" s="1070">
        <v>182700</v>
      </c>
      <c r="D16" s="1071">
        <v>2110</v>
      </c>
      <c r="E16" s="1072">
        <v>186100</v>
      </c>
      <c r="F16" s="1073">
        <v>186100</v>
      </c>
    </row>
    <row r="17" spans="1:6" s="946" customFormat="1" ht="20.25" customHeight="1" thickBot="1" thickTop="1">
      <c r="A17" s="941" t="s">
        <v>144</v>
      </c>
      <c r="B17" s="942" t="s">
        <v>145</v>
      </c>
      <c r="C17" s="1063">
        <f>C18+C19</f>
        <v>264914</v>
      </c>
      <c r="D17" s="1069"/>
      <c r="E17" s="1063">
        <f>E18+E19</f>
        <v>268000</v>
      </c>
      <c r="F17" s="1064">
        <f>F18+F19</f>
        <v>268000</v>
      </c>
    </row>
    <row r="18" spans="1:6" s="953" customFormat="1" ht="21.75" customHeight="1" thickTop="1">
      <c r="A18" s="980" t="s">
        <v>418</v>
      </c>
      <c r="B18" s="981" t="s">
        <v>419</v>
      </c>
      <c r="C18" s="1074">
        <v>229000</v>
      </c>
      <c r="D18" s="1075">
        <v>2110</v>
      </c>
      <c r="E18" s="1076">
        <v>232000</v>
      </c>
      <c r="F18" s="1077">
        <v>232000</v>
      </c>
    </row>
    <row r="19" spans="1:6" s="953" customFormat="1" ht="21.75" customHeight="1" thickBot="1">
      <c r="A19" s="1078" t="s">
        <v>479</v>
      </c>
      <c r="B19" s="1079" t="s">
        <v>311</v>
      </c>
      <c r="C19" s="1080">
        <v>35914</v>
      </c>
      <c r="D19" s="1081">
        <v>2110</v>
      </c>
      <c r="E19" s="1082">
        <v>36000</v>
      </c>
      <c r="F19" s="1083">
        <v>36000</v>
      </c>
    </row>
    <row r="20" spans="1:6" s="953" customFormat="1" ht="21.75" customHeight="1" thickBot="1" thickTop="1">
      <c r="A20" s="1084">
        <v>752</v>
      </c>
      <c r="B20" s="1085" t="s">
        <v>149</v>
      </c>
      <c r="C20" s="1086">
        <v>1000</v>
      </c>
      <c r="D20" s="1087"/>
      <c r="E20" s="1088"/>
      <c r="F20" s="1089"/>
    </row>
    <row r="21" spans="1:6" s="953" customFormat="1" ht="21.75" customHeight="1" thickBot="1" thickTop="1">
      <c r="A21" s="968" t="s">
        <v>480</v>
      </c>
      <c r="B21" s="969" t="s">
        <v>316</v>
      </c>
      <c r="C21" s="1090">
        <v>1000</v>
      </c>
      <c r="D21" s="1091">
        <v>2110</v>
      </c>
      <c r="E21" s="1092"/>
      <c r="F21" s="1093"/>
    </row>
    <row r="22" spans="1:6" s="946" customFormat="1" ht="33" thickBot="1" thickTop="1">
      <c r="A22" s="941" t="s">
        <v>150</v>
      </c>
      <c r="B22" s="942" t="s">
        <v>151</v>
      </c>
      <c r="C22" s="1063">
        <f>SUM(C23:C24)</f>
        <v>5006000</v>
      </c>
      <c r="D22" s="1069"/>
      <c r="E22" s="1063">
        <f>SUM(E23:E24)</f>
        <v>5215500</v>
      </c>
      <c r="F22" s="1064">
        <f>SUM(F23:F24)</f>
        <v>5215500</v>
      </c>
    </row>
    <row r="23" spans="1:6" s="988" customFormat="1" ht="27.75" customHeight="1" thickTop="1">
      <c r="A23" s="1078" t="s">
        <v>481</v>
      </c>
      <c r="B23" s="1079" t="s">
        <v>319</v>
      </c>
      <c r="C23" s="1080">
        <v>4906000</v>
      </c>
      <c r="D23" s="1081">
        <v>2110</v>
      </c>
      <c r="E23" s="1094">
        <v>5185500</v>
      </c>
      <c r="F23" s="1095">
        <v>5185500</v>
      </c>
    </row>
    <row r="24" spans="1:6" s="953" customFormat="1" ht="15" customHeight="1" thickBot="1">
      <c r="A24" s="980"/>
      <c r="B24" s="981"/>
      <c r="C24" s="1074">
        <v>100000</v>
      </c>
      <c r="D24" s="1075">
        <v>6410</v>
      </c>
      <c r="E24" s="1076">
        <v>30000</v>
      </c>
      <c r="F24" s="1077">
        <v>30000</v>
      </c>
    </row>
    <row r="25" spans="1:6" s="962" customFormat="1" ht="15" customHeight="1" hidden="1">
      <c r="A25" s="963" t="s">
        <v>441</v>
      </c>
      <c r="B25" s="964" t="s">
        <v>321</v>
      </c>
      <c r="C25" s="1096"/>
      <c r="D25" s="1097"/>
      <c r="E25" s="1098">
        <f>SUM(E26:E27)</f>
        <v>0</v>
      </c>
      <c r="F25" s="1099">
        <f>SUM(F26:F27)</f>
        <v>0</v>
      </c>
    </row>
    <row r="26" spans="1:6" s="962" customFormat="1" ht="60" customHeight="1" hidden="1">
      <c r="A26" s="1078" t="s">
        <v>482</v>
      </c>
      <c r="B26" s="1079" t="s">
        <v>483</v>
      </c>
      <c r="C26" s="1100"/>
      <c r="D26" s="1101"/>
      <c r="E26" s="1092"/>
      <c r="F26" s="1102"/>
    </row>
    <row r="27" spans="1:6" s="988" customFormat="1" ht="28.5" customHeight="1" hidden="1">
      <c r="A27" s="976" t="s">
        <v>484</v>
      </c>
      <c r="B27" s="977" t="s">
        <v>485</v>
      </c>
      <c r="C27" s="1103"/>
      <c r="D27" s="1091"/>
      <c r="E27" s="1092"/>
      <c r="F27" s="1093"/>
    </row>
    <row r="28" spans="1:6" s="946" customFormat="1" ht="20.25" customHeight="1" thickBot="1" thickTop="1">
      <c r="A28" s="941" t="s">
        <v>162</v>
      </c>
      <c r="B28" s="942" t="s">
        <v>163</v>
      </c>
      <c r="C28" s="1063">
        <f>C29</f>
        <v>9000</v>
      </c>
      <c r="D28" s="1069"/>
      <c r="E28" s="1063">
        <f>E29</f>
        <v>7000</v>
      </c>
      <c r="F28" s="1064">
        <f>F29</f>
        <v>7000</v>
      </c>
    </row>
    <row r="29" spans="1:6" s="953" customFormat="1" ht="60.75" customHeight="1" thickBot="1" thickTop="1">
      <c r="A29" s="980" t="s">
        <v>486</v>
      </c>
      <c r="B29" s="981" t="s">
        <v>487</v>
      </c>
      <c r="C29" s="1074">
        <v>9000</v>
      </c>
      <c r="D29" s="1075">
        <v>2110</v>
      </c>
      <c r="E29" s="1076">
        <v>7000</v>
      </c>
      <c r="F29" s="1077">
        <v>7000</v>
      </c>
    </row>
    <row r="30" spans="1:6" s="946" customFormat="1" ht="21" customHeight="1" thickBot="1" thickTop="1">
      <c r="A30" s="941" t="s">
        <v>164</v>
      </c>
      <c r="B30" s="942" t="s">
        <v>254</v>
      </c>
      <c r="C30" s="1063">
        <f>C31</f>
        <v>25331</v>
      </c>
      <c r="D30" s="1069"/>
      <c r="E30" s="1063"/>
      <c r="F30" s="1064"/>
    </row>
    <row r="31" spans="1:6" s="988" customFormat="1" ht="46.5" customHeight="1" thickBot="1" thickTop="1">
      <c r="A31" s="1104">
        <v>85212</v>
      </c>
      <c r="B31" s="1105" t="s">
        <v>443</v>
      </c>
      <c r="C31" s="999">
        <v>25331</v>
      </c>
      <c r="D31" s="1106">
        <v>2110</v>
      </c>
      <c r="E31" s="1107"/>
      <c r="F31" s="1001"/>
    </row>
    <row r="32" spans="1:6" s="962" customFormat="1" ht="17.25" customHeight="1" hidden="1">
      <c r="A32" s="963" t="s">
        <v>447</v>
      </c>
      <c r="B32" s="964" t="s">
        <v>363</v>
      </c>
      <c r="C32" s="1096"/>
      <c r="D32" s="1097"/>
      <c r="E32" s="1098">
        <f>SUM(E33)</f>
        <v>0</v>
      </c>
      <c r="F32" s="1099">
        <f>SUM(F33:F34)</f>
        <v>0</v>
      </c>
    </row>
    <row r="33" spans="1:6" s="1005" customFormat="1" ht="43.5" customHeight="1" hidden="1">
      <c r="A33" s="976" t="s">
        <v>488</v>
      </c>
      <c r="B33" s="1079" t="s">
        <v>489</v>
      </c>
      <c r="C33" s="1100"/>
      <c r="D33" s="1101"/>
      <c r="E33" s="1092"/>
      <c r="F33" s="1102"/>
    </row>
    <row r="34" spans="1:6" s="953" customFormat="1" ht="17.25" customHeight="1" hidden="1">
      <c r="A34" s="968" t="s">
        <v>448</v>
      </c>
      <c r="B34" s="969" t="s">
        <v>490</v>
      </c>
      <c r="C34" s="1103"/>
      <c r="D34" s="1091"/>
      <c r="E34" s="1092"/>
      <c r="F34" s="1093"/>
    </row>
    <row r="35" spans="1:6" s="953" customFormat="1" ht="36" customHeight="1" thickBot="1" thickTop="1">
      <c r="A35" s="941" t="s">
        <v>166</v>
      </c>
      <c r="B35" s="942" t="s">
        <v>167</v>
      </c>
      <c r="C35" s="1063">
        <f>C36</f>
        <v>106000</v>
      </c>
      <c r="D35" s="1069"/>
      <c r="E35" s="1063">
        <f>E36+E37</f>
        <v>106000</v>
      </c>
      <c r="F35" s="1064">
        <f>F36+F37</f>
        <v>106000</v>
      </c>
    </row>
    <row r="36" spans="1:6" s="953" customFormat="1" ht="31.5" customHeight="1" thickBot="1" thickTop="1">
      <c r="A36" s="997" t="s">
        <v>491</v>
      </c>
      <c r="B36" s="998" t="s">
        <v>492</v>
      </c>
      <c r="C36" s="1070">
        <v>106000</v>
      </c>
      <c r="D36" s="1071">
        <v>2110</v>
      </c>
      <c r="E36" s="1072">
        <v>106000</v>
      </c>
      <c r="F36" s="1068">
        <v>106000</v>
      </c>
    </row>
    <row r="37" spans="1:6" s="962" customFormat="1" ht="21.75" customHeight="1" hidden="1">
      <c r="A37" s="963" t="s">
        <v>493</v>
      </c>
      <c r="B37" s="964" t="s">
        <v>494</v>
      </c>
      <c r="C37" s="1096"/>
      <c r="D37" s="1097"/>
      <c r="E37" s="1098">
        <f>SUM(E38)</f>
        <v>0</v>
      </c>
      <c r="F37" s="1099">
        <f>SUM(F38:F39)</f>
        <v>0</v>
      </c>
    </row>
    <row r="38" spans="1:6" s="1005" customFormat="1" ht="46.5" customHeight="1" hidden="1">
      <c r="A38" s="1078" t="s">
        <v>488</v>
      </c>
      <c r="B38" s="1079" t="s">
        <v>489</v>
      </c>
      <c r="C38" s="1108"/>
      <c r="D38" s="1109"/>
      <c r="E38" s="1082"/>
      <c r="F38" s="1110"/>
    </row>
    <row r="39" spans="1:6" s="988" customFormat="1" ht="15" customHeight="1" hidden="1">
      <c r="A39" s="1003">
        <v>3110</v>
      </c>
      <c r="B39" s="1004" t="s">
        <v>490</v>
      </c>
      <c r="C39" s="1090"/>
      <c r="D39" s="1091"/>
      <c r="E39" s="1092"/>
      <c r="F39" s="1093"/>
    </row>
    <row r="40" spans="1:6" s="1041" customFormat="1" ht="24" customHeight="1" thickBot="1" thickTop="1">
      <c r="A40" s="1036"/>
      <c r="B40" s="1037" t="s">
        <v>186</v>
      </c>
      <c r="C40" s="1038">
        <f>C11+C13+C17+C22+C28+C30+C35+C20</f>
        <v>5710945</v>
      </c>
      <c r="D40" s="1069"/>
      <c r="E40" s="1063">
        <f>E11+E13+E17+E22+E28+E30+E35</f>
        <v>5886600</v>
      </c>
      <c r="F40" s="1064">
        <f>F11+F13+F17+F22+F28+F30+F35</f>
        <v>5886600</v>
      </c>
    </row>
    <row r="41" spans="1:6" s="1045" customFormat="1" ht="13.5" thickTop="1">
      <c r="A41" s="1042"/>
      <c r="B41" s="91"/>
      <c r="C41" s="1043"/>
      <c r="D41" s="1111"/>
      <c r="E41" s="1112"/>
      <c r="F41" s="1112"/>
    </row>
    <row r="42" spans="1:6" s="1045" customFormat="1" ht="12.75">
      <c r="A42" s="1042"/>
      <c r="B42" s="91"/>
      <c r="C42" s="1043"/>
      <c r="D42" s="1111"/>
      <c r="E42" s="1112"/>
      <c r="F42" s="1112"/>
    </row>
    <row r="43" spans="3:4" ht="12.75">
      <c r="C43" s="1113"/>
      <c r="D43" s="1114"/>
    </row>
    <row r="44" spans="3:4" ht="12.75">
      <c r="C44" s="1113"/>
      <c r="D44" s="1114"/>
    </row>
    <row r="45" spans="3:4" ht="14.25" customHeight="1">
      <c r="C45" s="1113"/>
      <c r="D45" s="1114"/>
    </row>
    <row r="46" spans="3:4" ht="13.5" customHeight="1">
      <c r="C46" s="1113"/>
      <c r="D46" s="1114"/>
    </row>
    <row r="47" spans="3:4" ht="16.5" customHeight="1">
      <c r="C47" s="1113"/>
      <c r="D47" s="1114"/>
    </row>
    <row r="48" spans="3:4" ht="18.75" customHeight="1">
      <c r="C48" s="1113"/>
      <c r="D48" s="1114"/>
    </row>
    <row r="49" spans="3:4" ht="12.75">
      <c r="C49" s="1113"/>
      <c r="D49" s="1114"/>
    </row>
    <row r="50" spans="3:4" ht="12.75">
      <c r="C50" s="1113"/>
      <c r="D50" s="1114"/>
    </row>
    <row r="51" spans="3:4" ht="16.5" customHeight="1">
      <c r="C51" s="1113"/>
      <c r="D51" s="1114"/>
    </row>
    <row r="52" spans="3:4" ht="12.75">
      <c r="C52" s="1113"/>
      <c r="D52" s="1114"/>
    </row>
    <row r="53" spans="3:4" ht="16.5" customHeight="1">
      <c r="C53" s="1113"/>
      <c r="D53" s="1114"/>
    </row>
    <row r="54" spans="3:4" ht="12.75">
      <c r="C54" s="1113"/>
      <c r="D54" s="1114"/>
    </row>
    <row r="55" spans="3:4" ht="15" customHeight="1">
      <c r="C55" s="1113"/>
      <c r="D55" s="1114"/>
    </row>
    <row r="56" spans="3:4" ht="16.5" customHeight="1">
      <c r="C56" s="1113"/>
      <c r="D56" s="1114"/>
    </row>
    <row r="57" spans="3:4" ht="12.75">
      <c r="C57" s="1113"/>
      <c r="D57" s="1114"/>
    </row>
    <row r="58" spans="3:4" ht="16.5" customHeight="1">
      <c r="C58" s="1113"/>
      <c r="D58" s="1114"/>
    </row>
    <row r="59" spans="3:4" ht="8.25" customHeight="1">
      <c r="C59" s="1113"/>
      <c r="D59" s="1114"/>
    </row>
    <row r="60" spans="3:4" ht="21.75" customHeight="1">
      <c r="C60" s="1113"/>
      <c r="D60" s="1114"/>
    </row>
    <row r="61" spans="1:4" s="1045" customFormat="1" ht="12.75">
      <c r="A61" s="1050"/>
      <c r="B61" s="1051"/>
      <c r="C61" s="1043"/>
      <c r="D61" s="1111"/>
    </row>
    <row r="62" spans="1:4" s="1045" customFormat="1" ht="12.75">
      <c r="A62" s="1042"/>
      <c r="B62" s="1051"/>
      <c r="C62" s="1043"/>
      <c r="D62" s="1111"/>
    </row>
    <row r="63" ht="12.75">
      <c r="C63" s="1052"/>
    </row>
    <row r="64" ht="12.75">
      <c r="C64" s="1052"/>
    </row>
    <row r="65" ht="12.75">
      <c r="C65" s="1052"/>
    </row>
    <row r="66" ht="12.75">
      <c r="C66" s="1052"/>
    </row>
    <row r="67" ht="12.75">
      <c r="C67" s="1052"/>
    </row>
    <row r="68" ht="12.75">
      <c r="C68" s="1052"/>
    </row>
    <row r="69" ht="12.75">
      <c r="C69" s="1052"/>
    </row>
    <row r="70" ht="12.75">
      <c r="C70" s="1052"/>
    </row>
    <row r="71" ht="12.75">
      <c r="C71" s="1052"/>
    </row>
    <row r="72" ht="12.75">
      <c r="C72" s="105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B22" sqref="B22"/>
    </sheetView>
  </sheetViews>
  <sheetFormatPr defaultColWidth="9.00390625" defaultRowHeight="12.75"/>
  <cols>
    <col min="1" max="1" width="8.875" style="0" customWidth="1"/>
    <col min="2" max="2" width="35.00390625" style="0" customWidth="1"/>
    <col min="3" max="3" width="13.375" style="0" customWidth="1"/>
    <col min="4" max="4" width="5.75390625" style="0" customWidth="1"/>
    <col min="5" max="6" width="14.125" style="0" customWidth="1"/>
    <col min="7" max="7" width="0.12890625" style="1115" hidden="1" customWidth="1"/>
  </cols>
  <sheetData>
    <row r="1" ht="14.25" customHeight="1">
      <c r="E1" s="919" t="s">
        <v>495</v>
      </c>
    </row>
    <row r="2" ht="14.25" customHeight="1">
      <c r="E2" s="919" t="s">
        <v>118</v>
      </c>
    </row>
    <row r="3" ht="14.25" customHeight="1">
      <c r="E3" s="919" t="s">
        <v>119</v>
      </c>
    </row>
    <row r="4" ht="14.25" customHeight="1">
      <c r="E4" s="919" t="s">
        <v>120</v>
      </c>
    </row>
    <row r="5" spans="1:7" s="1119" customFormat="1" ht="87" customHeight="1" hidden="1">
      <c r="A5" s="1116" t="s">
        <v>496</v>
      </c>
      <c r="B5" s="1117"/>
      <c r="C5" s="1117"/>
      <c r="D5" s="1117"/>
      <c r="E5" s="1117"/>
      <c r="F5" s="1117"/>
      <c r="G5" s="1118"/>
    </row>
    <row r="6" spans="1:7" s="1119" customFormat="1" ht="27" customHeight="1" hidden="1">
      <c r="A6" s="1116"/>
      <c r="B6" s="1117"/>
      <c r="C6" s="1117"/>
      <c r="D6" s="1117"/>
      <c r="E6" s="1117"/>
      <c r="F6" s="1117"/>
      <c r="G6" s="1118"/>
    </row>
    <row r="7" ht="10.5" customHeight="1" hidden="1">
      <c r="F7" s="916" t="s">
        <v>123</v>
      </c>
    </row>
    <row r="8" spans="1:6" s="920" customFormat="1" ht="33" customHeight="1" hidden="1">
      <c r="A8" s="923" t="s">
        <v>412</v>
      </c>
      <c r="B8" s="924" t="s">
        <v>125</v>
      </c>
      <c r="C8" s="925" t="s">
        <v>413</v>
      </c>
      <c r="D8" s="1120"/>
      <c r="E8" s="926" t="s">
        <v>416</v>
      </c>
      <c r="F8" s="927"/>
    </row>
    <row r="9" spans="1:6" s="920" customFormat="1" ht="18" customHeight="1" hidden="1">
      <c r="A9" s="928" t="s">
        <v>415</v>
      </c>
      <c r="B9" s="929"/>
      <c r="C9" s="930" t="s">
        <v>497</v>
      </c>
      <c r="D9" s="931"/>
      <c r="E9" s="1059" t="s">
        <v>126</v>
      </c>
      <c r="F9" s="932" t="s">
        <v>127</v>
      </c>
    </row>
    <row r="10" spans="1:6" s="940" customFormat="1" ht="12" customHeight="1" hidden="1">
      <c r="A10" s="934">
        <v>1</v>
      </c>
      <c r="B10" s="935">
        <v>2</v>
      </c>
      <c r="C10" s="936">
        <v>3</v>
      </c>
      <c r="D10" s="937"/>
      <c r="E10" s="937">
        <v>4</v>
      </c>
      <c r="F10" s="938">
        <v>5</v>
      </c>
    </row>
    <row r="11" spans="1:7" ht="24.75" customHeight="1" hidden="1">
      <c r="A11" s="941" t="s">
        <v>142</v>
      </c>
      <c r="B11" s="942" t="s">
        <v>143</v>
      </c>
      <c r="C11" s="1063">
        <f>C12</f>
        <v>19000</v>
      </c>
      <c r="D11" s="1063"/>
      <c r="E11" s="1063">
        <f>E12</f>
        <v>16600</v>
      </c>
      <c r="F11" s="1040">
        <f>F12</f>
        <v>16600</v>
      </c>
      <c r="G11" s="1121" t="e">
        <f>E11/#REF!*100</f>
        <v>#REF!</v>
      </c>
    </row>
    <row r="12" spans="1:7" s="1125" customFormat="1" ht="22.5" customHeight="1" hidden="1">
      <c r="A12" s="980" t="s">
        <v>498</v>
      </c>
      <c r="B12" s="981" t="s">
        <v>304</v>
      </c>
      <c r="C12" s="1074">
        <v>19000</v>
      </c>
      <c r="D12" s="1122"/>
      <c r="E12" s="1076">
        <v>16600</v>
      </c>
      <c r="F12" s="1123">
        <v>16600</v>
      </c>
      <c r="G12" s="1124"/>
    </row>
    <row r="13" spans="1:7" ht="17.25" hidden="1" thickBot="1" thickTop="1">
      <c r="A13" s="941" t="s">
        <v>158</v>
      </c>
      <c r="B13" s="942" t="s">
        <v>159</v>
      </c>
      <c r="C13" s="1061" t="s">
        <v>470</v>
      </c>
      <c r="D13" s="1126"/>
      <c r="E13" s="1063">
        <f>E14</f>
        <v>0</v>
      </c>
      <c r="F13" s="1040">
        <f>F14</f>
        <v>0</v>
      </c>
      <c r="G13" s="1121" t="e">
        <f>E13/#REF!*100</f>
        <v>#REF!</v>
      </c>
    </row>
    <row r="14" spans="1:7" s="1134" customFormat="1" ht="20.25" customHeight="1" hidden="1">
      <c r="A14" s="1127" t="s">
        <v>499</v>
      </c>
      <c r="B14" s="1128" t="s">
        <v>276</v>
      </c>
      <c r="C14" s="1129"/>
      <c r="D14" s="1130"/>
      <c r="E14" s="1131">
        <f>SUM(E15:E16)</f>
        <v>0</v>
      </c>
      <c r="F14" s="1132">
        <f>SUM(F15:F18)</f>
        <v>0</v>
      </c>
      <c r="G14" s="1133"/>
    </row>
    <row r="15" spans="1:7" s="1125" customFormat="1" ht="60" customHeight="1" hidden="1">
      <c r="A15" s="968" t="s">
        <v>500</v>
      </c>
      <c r="B15" s="969" t="s">
        <v>501</v>
      </c>
      <c r="C15" s="1100" t="s">
        <v>502</v>
      </c>
      <c r="D15" s="1135"/>
      <c r="E15" s="1092"/>
      <c r="F15" s="1136"/>
      <c r="G15" s="1137"/>
    </row>
    <row r="16" spans="1:7" s="1125" customFormat="1" ht="34.5" customHeight="1" hidden="1">
      <c r="A16" s="968" t="s">
        <v>503</v>
      </c>
      <c r="B16" s="969" t="s">
        <v>504</v>
      </c>
      <c r="C16" s="1135"/>
      <c r="D16" s="1135"/>
      <c r="E16" s="1092"/>
      <c r="F16" s="1136"/>
      <c r="G16" s="1137"/>
    </row>
    <row r="17" spans="1:7" s="1125" customFormat="1" ht="34.5" customHeight="1" hidden="1">
      <c r="A17" s="968" t="s">
        <v>505</v>
      </c>
      <c r="B17" s="969" t="s">
        <v>506</v>
      </c>
      <c r="C17" s="1135"/>
      <c r="D17" s="1135"/>
      <c r="E17" s="1092"/>
      <c r="F17" s="1136"/>
      <c r="G17" s="1137"/>
    </row>
    <row r="18" spans="1:7" s="1125" customFormat="1" ht="34.5" customHeight="1" hidden="1">
      <c r="A18" s="968" t="s">
        <v>457</v>
      </c>
      <c r="B18" s="969" t="s">
        <v>458</v>
      </c>
      <c r="C18" s="1135"/>
      <c r="D18" s="1135"/>
      <c r="E18" s="1092"/>
      <c r="F18" s="1136"/>
      <c r="G18" s="1137"/>
    </row>
    <row r="19" spans="1:7" s="1139" customFormat="1" ht="25.5" customHeight="1" hidden="1">
      <c r="A19" s="1029" t="s">
        <v>158</v>
      </c>
      <c r="B19" s="942" t="s">
        <v>159</v>
      </c>
      <c r="C19" s="1126">
        <f>C20</f>
        <v>11000</v>
      </c>
      <c r="D19" s="1126"/>
      <c r="E19" s="1063"/>
      <c r="F19" s="1040"/>
      <c r="G19" s="1138"/>
    </row>
    <row r="20" spans="1:7" s="1125" customFormat="1" ht="22.5" customHeight="1" hidden="1">
      <c r="A20" s="1140" t="s">
        <v>499</v>
      </c>
      <c r="B20" s="1141" t="s">
        <v>276</v>
      </c>
      <c r="C20" s="1090">
        <v>11000</v>
      </c>
      <c r="D20" s="1090"/>
      <c r="E20" s="1092"/>
      <c r="F20" s="1136"/>
      <c r="G20" s="1137"/>
    </row>
    <row r="21" spans="1:7" ht="20.25" customHeight="1" hidden="1">
      <c r="A21" s="1036"/>
      <c r="B21" s="1037" t="s">
        <v>186</v>
      </c>
      <c r="C21" s="1061">
        <f>C11+C19</f>
        <v>30000</v>
      </c>
      <c r="D21" s="1061"/>
      <c r="E21" s="1038">
        <f>E11</f>
        <v>16600</v>
      </c>
      <c r="F21" s="1040">
        <f>F11</f>
        <v>16600</v>
      </c>
      <c r="G21" s="1142"/>
    </row>
    <row r="22" spans="1:7" ht="21.75" customHeight="1">
      <c r="A22" s="1143"/>
      <c r="B22" s="1144"/>
      <c r="C22" s="1145"/>
      <c r="D22" s="1145"/>
      <c r="E22" s="1146"/>
      <c r="F22" s="1146"/>
      <c r="G22" s="1147"/>
    </row>
    <row r="23" spans="3:4" ht="24" customHeight="1">
      <c r="C23" s="1148"/>
      <c r="D23" s="1148"/>
    </row>
    <row r="24" spans="1:6" ht="18.75">
      <c r="A24" s="1149" t="s">
        <v>507</v>
      </c>
      <c r="B24" s="1150"/>
      <c r="C24" s="1151"/>
      <c r="D24" s="1151"/>
      <c r="E24" s="1150"/>
      <c r="F24" s="1150"/>
    </row>
    <row r="25" spans="1:6" ht="18.75">
      <c r="A25" s="1149" t="s">
        <v>508</v>
      </c>
      <c r="B25" s="1152"/>
      <c r="C25" s="1153"/>
      <c r="D25" s="1153"/>
      <c r="E25" s="1152"/>
      <c r="F25" s="1152"/>
    </row>
    <row r="26" spans="1:5" ht="18.75">
      <c r="A26" s="2216" t="s">
        <v>509</v>
      </c>
      <c r="B26" s="2217"/>
      <c r="C26" s="2217"/>
      <c r="D26" s="2217"/>
      <c r="E26" s="2217"/>
    </row>
    <row r="27" spans="1:6" ht="18.75">
      <c r="A27" s="1154" t="s">
        <v>510</v>
      </c>
      <c r="B27" s="1155"/>
      <c r="C27" s="1156"/>
      <c r="D27" s="1156"/>
      <c r="E27" s="918"/>
      <c r="F27" s="916"/>
    </row>
    <row r="28" spans="1:6" ht="9.75" customHeight="1">
      <c r="A28" s="1154"/>
      <c r="B28" s="1155"/>
      <c r="C28" s="1156"/>
      <c r="D28" s="1156"/>
      <c r="E28" s="918"/>
      <c r="F28" s="916"/>
    </row>
    <row r="29" spans="1:6" ht="32.25" customHeight="1" thickBot="1">
      <c r="A29" s="1154"/>
      <c r="B29" s="1155"/>
      <c r="C29" s="1156"/>
      <c r="D29" s="1156"/>
      <c r="E29" s="918"/>
      <c r="F29" s="916" t="s">
        <v>123</v>
      </c>
    </row>
    <row r="30" spans="1:6" s="920" customFormat="1" ht="33" customHeight="1" thickTop="1">
      <c r="A30" s="923" t="s">
        <v>412</v>
      </c>
      <c r="B30" s="924" t="s">
        <v>125</v>
      </c>
      <c r="C30" s="925" t="s">
        <v>413</v>
      </c>
      <c r="D30" s="926" t="s">
        <v>414</v>
      </c>
      <c r="E30" s="926"/>
      <c r="F30" s="927"/>
    </row>
    <row r="31" spans="1:6" s="920" customFormat="1" ht="18" customHeight="1">
      <c r="A31" s="928" t="s">
        <v>415</v>
      </c>
      <c r="B31" s="929"/>
      <c r="C31" s="930" t="s">
        <v>416</v>
      </c>
      <c r="D31" s="931" t="s">
        <v>417</v>
      </c>
      <c r="E31" s="1059" t="s">
        <v>126</v>
      </c>
      <c r="F31" s="932" t="s">
        <v>127</v>
      </c>
    </row>
    <row r="32" spans="1:6" s="940" customFormat="1" ht="12" customHeight="1" thickBot="1">
      <c r="A32" s="934">
        <v>1</v>
      </c>
      <c r="B32" s="935">
        <v>2</v>
      </c>
      <c r="C32" s="936">
        <v>3</v>
      </c>
      <c r="D32" s="937">
        <v>4</v>
      </c>
      <c r="E32" s="937">
        <v>5</v>
      </c>
      <c r="F32" s="938">
        <v>6</v>
      </c>
    </row>
    <row r="33" spans="1:6" ht="24.75" customHeight="1" thickBot="1" thickTop="1">
      <c r="A33" s="941" t="s">
        <v>144</v>
      </c>
      <c r="B33" s="942" t="s">
        <v>145</v>
      </c>
      <c r="C33" s="1063">
        <f>C34</f>
        <v>8586</v>
      </c>
      <c r="D33" s="1069"/>
      <c r="E33" s="1063">
        <f>E34</f>
        <v>8500</v>
      </c>
      <c r="F33" s="1040">
        <f>F34</f>
        <v>8500</v>
      </c>
    </row>
    <row r="34" spans="1:7" s="1159" customFormat="1" ht="22.5" customHeight="1" thickBot="1" thickTop="1">
      <c r="A34" s="947" t="s">
        <v>479</v>
      </c>
      <c r="B34" s="948" t="s">
        <v>311</v>
      </c>
      <c r="C34" s="1065">
        <v>8586</v>
      </c>
      <c r="D34" s="1066">
        <v>2120</v>
      </c>
      <c r="E34" s="1067">
        <v>8500</v>
      </c>
      <c r="F34" s="1157">
        <v>8500</v>
      </c>
      <c r="G34" s="1158"/>
    </row>
    <row r="35" spans="1:7" s="1139" customFormat="1" ht="36" customHeight="1" thickBot="1" thickTop="1">
      <c r="A35" s="1160" t="s">
        <v>172</v>
      </c>
      <c r="B35" s="1161" t="s">
        <v>173</v>
      </c>
      <c r="C35" s="1162">
        <f>C36+C37+C38</f>
        <v>350000</v>
      </c>
      <c r="D35" s="1062"/>
      <c r="E35" s="1163"/>
      <c r="F35" s="1164"/>
      <c r="G35" s="1165"/>
    </row>
    <row r="36" spans="1:7" s="1159" customFormat="1" ht="22.5" customHeight="1" thickTop="1">
      <c r="A36" s="947" t="s">
        <v>511</v>
      </c>
      <c r="B36" s="1166" t="s">
        <v>390</v>
      </c>
      <c r="C36" s="1065">
        <v>150000</v>
      </c>
      <c r="D36" s="1066">
        <v>2120</v>
      </c>
      <c r="E36" s="1067"/>
      <c r="F36" s="1157"/>
      <c r="G36" s="1158"/>
    </row>
    <row r="37" spans="1:7" s="1159" customFormat="1" ht="22.5" customHeight="1">
      <c r="A37" s="997" t="s">
        <v>512</v>
      </c>
      <c r="B37" s="1167" t="s">
        <v>392</v>
      </c>
      <c r="C37" s="1070">
        <v>100000</v>
      </c>
      <c r="D37" s="1071">
        <v>2120</v>
      </c>
      <c r="E37" s="1072"/>
      <c r="F37" s="1168"/>
      <c r="G37" s="1158"/>
    </row>
    <row r="38" spans="1:7" s="1159" customFormat="1" ht="22.5" customHeight="1" thickBot="1">
      <c r="A38" s="1169" t="s">
        <v>513</v>
      </c>
      <c r="B38" s="1170" t="s">
        <v>394</v>
      </c>
      <c r="C38" s="1103">
        <v>100000</v>
      </c>
      <c r="D38" s="1091">
        <v>2120</v>
      </c>
      <c r="E38" s="1092"/>
      <c r="F38" s="1136"/>
      <c r="G38" s="1158"/>
    </row>
    <row r="39" spans="1:6" ht="25.5" customHeight="1" thickBot="1" thickTop="1">
      <c r="A39" s="1036"/>
      <c r="B39" s="1037" t="s">
        <v>186</v>
      </c>
      <c r="C39" s="1061">
        <f>C33+C35</f>
        <v>358586</v>
      </c>
      <c r="D39" s="944"/>
      <c r="E39" s="1063">
        <f>E33</f>
        <v>8500</v>
      </c>
      <c r="F39" s="1064">
        <f>F33</f>
        <v>8500</v>
      </c>
    </row>
    <row r="40" spans="3:4" ht="13.5" thickTop="1">
      <c r="C40" s="1148"/>
      <c r="D40" s="1148"/>
    </row>
    <row r="41" spans="1:4" ht="12.75">
      <c r="A41" s="91"/>
      <c r="C41" s="1148"/>
      <c r="D41" s="1148"/>
    </row>
    <row r="42" spans="1:4" ht="12.75">
      <c r="A42" s="91"/>
      <c r="C42" s="1148"/>
      <c r="D42" s="1148"/>
    </row>
    <row r="43" spans="3:4" ht="12.75">
      <c r="C43" s="1148"/>
      <c r="D43" s="1148"/>
    </row>
    <row r="44" spans="3:4" ht="12.75">
      <c r="C44" s="1148"/>
      <c r="D44" s="1148"/>
    </row>
    <row r="45" spans="3:4" ht="12.75">
      <c r="C45" s="1148"/>
      <c r="D45" s="1148"/>
    </row>
    <row r="46" spans="3:4" ht="12.75">
      <c r="C46" s="1148"/>
      <c r="D46" s="1148"/>
    </row>
    <row r="47" spans="3:4" ht="12.75">
      <c r="C47" s="1148"/>
      <c r="D47" s="1148"/>
    </row>
    <row r="48" spans="3:4" ht="12.75">
      <c r="C48" s="1148"/>
      <c r="D48" s="1148"/>
    </row>
    <row r="49" spans="3:4" ht="12.75">
      <c r="C49" s="1148"/>
      <c r="D49" s="1148"/>
    </row>
    <row r="50" spans="3:4" ht="12.75">
      <c r="C50" s="1148"/>
      <c r="D50" s="1148"/>
    </row>
    <row r="51" spans="3:4" ht="12.75">
      <c r="C51" s="1148"/>
      <c r="D51" s="1148"/>
    </row>
    <row r="52" spans="3:4" ht="12.75">
      <c r="C52" s="1148"/>
      <c r="D52" s="1148"/>
    </row>
    <row r="53" spans="3:4" ht="12.75">
      <c r="C53" s="1148"/>
      <c r="D53" s="1148"/>
    </row>
    <row r="54" spans="3:4" ht="12.75">
      <c r="C54" s="1148"/>
      <c r="D54" s="1148"/>
    </row>
    <row r="55" spans="3:4" ht="12.75">
      <c r="C55" s="1148"/>
      <c r="D55" s="1148"/>
    </row>
    <row r="56" spans="3:4" ht="12.75">
      <c r="C56" s="1148"/>
      <c r="D56" s="1148"/>
    </row>
    <row r="57" spans="3:4" ht="12.75">
      <c r="C57" s="1148"/>
      <c r="D57" s="1148"/>
    </row>
    <row r="58" spans="3:4" ht="12.75">
      <c r="C58" s="1148"/>
      <c r="D58" s="1148"/>
    </row>
    <row r="59" spans="3:4" ht="12.75">
      <c r="C59" s="1148"/>
      <c r="D59" s="1148"/>
    </row>
    <row r="60" spans="3:4" ht="12.75">
      <c r="C60" s="1148"/>
      <c r="D60" s="1148"/>
    </row>
    <row r="61" spans="3:4" ht="12.75">
      <c r="C61" s="1148"/>
      <c r="D61" s="1148"/>
    </row>
    <row r="62" spans="3:4" ht="12.75">
      <c r="C62" s="1148"/>
      <c r="D62" s="1148"/>
    </row>
    <row r="63" spans="3:4" ht="12.75">
      <c r="C63" s="1148"/>
      <c r="D63" s="1148"/>
    </row>
    <row r="64" spans="3:4" ht="12.75">
      <c r="C64" s="1148"/>
      <c r="D64" s="1148"/>
    </row>
    <row r="65" spans="3:4" ht="12.75">
      <c r="C65" s="1148"/>
      <c r="D65" s="1148"/>
    </row>
    <row r="66" spans="3:4" ht="12.75">
      <c r="C66" s="1148"/>
      <c r="D66" s="1148"/>
    </row>
    <row r="67" spans="3:4" ht="12.75">
      <c r="C67" s="1148"/>
      <c r="D67" s="1148"/>
    </row>
    <row r="68" spans="3:4" ht="12.75">
      <c r="C68" s="1148"/>
      <c r="D68" s="1148"/>
    </row>
    <row r="69" spans="3:4" ht="12.75">
      <c r="C69" s="1148"/>
      <c r="D69" s="1148"/>
    </row>
    <row r="70" spans="3:4" ht="12.75">
      <c r="C70" s="1148"/>
      <c r="D70" s="1148"/>
    </row>
    <row r="71" spans="3:4" ht="12.75">
      <c r="C71" s="1148"/>
      <c r="D71" s="1148"/>
    </row>
    <row r="72" spans="3:4" ht="12.75">
      <c r="C72" s="1148"/>
      <c r="D72" s="1148"/>
    </row>
    <row r="73" spans="3:4" ht="12.75">
      <c r="C73" s="1148"/>
      <c r="D73" s="1148"/>
    </row>
  </sheetData>
  <mergeCells count="1">
    <mergeCell ref="A26:E2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77" t="s">
        <v>514</v>
      </c>
      <c r="D1" s="920"/>
    </row>
    <row r="2" ht="14.25" customHeight="1">
      <c r="C2" s="3" t="s">
        <v>118</v>
      </c>
    </row>
    <row r="3" spans="1:4" ht="15.75" customHeight="1">
      <c r="A3" s="1171"/>
      <c r="B3" s="1171"/>
      <c r="C3" s="3" t="s">
        <v>119</v>
      </c>
      <c r="D3" s="1172"/>
    </row>
    <row r="4" spans="1:4" ht="13.5" customHeight="1">
      <c r="A4" s="1171"/>
      <c r="B4" s="1171"/>
      <c r="C4" s="3" t="s">
        <v>120</v>
      </c>
      <c r="D4" s="1172"/>
    </row>
    <row r="5" spans="1:4" ht="15" customHeight="1">
      <c r="A5" s="1171"/>
      <c r="B5" s="1171"/>
      <c r="C5" s="1042"/>
      <c r="D5" s="1172"/>
    </row>
    <row r="6" spans="1:4" ht="18.75">
      <c r="A6" s="1173" t="s">
        <v>515</v>
      </c>
      <c r="B6" s="1174"/>
      <c r="C6" s="1174"/>
      <c r="D6" s="1172"/>
    </row>
    <row r="7" spans="1:4" ht="23.25" customHeight="1">
      <c r="A7" s="1173" t="s">
        <v>516</v>
      </c>
      <c r="B7" s="1174"/>
      <c r="C7" s="1171"/>
      <c r="D7" s="1172"/>
    </row>
    <row r="8" spans="1:4" ht="33">
      <c r="A8" s="1175" t="s">
        <v>517</v>
      </c>
      <c r="B8" s="1174"/>
      <c r="C8" s="1171"/>
      <c r="D8" s="1172"/>
    </row>
    <row r="9" ht="30.75" customHeight="1" thickBot="1">
      <c r="D9" s="916" t="s">
        <v>123</v>
      </c>
    </row>
    <row r="10" spans="1:4" ht="28.5" customHeight="1" thickBot="1" thickTop="1">
      <c r="A10" s="1176" t="s">
        <v>417</v>
      </c>
      <c r="B10" s="1177" t="s">
        <v>125</v>
      </c>
      <c r="C10" s="1177" t="s">
        <v>518</v>
      </c>
      <c r="D10" s="1178" t="s">
        <v>519</v>
      </c>
    </row>
    <row r="11" spans="1:4" s="1182" customFormat="1" ht="12" customHeight="1" thickBot="1" thickTop="1">
      <c r="A11" s="1179">
        <v>1</v>
      </c>
      <c r="B11" s="1180">
        <v>2</v>
      </c>
      <c r="C11" s="1180">
        <v>3</v>
      </c>
      <c r="D11" s="1181">
        <v>4</v>
      </c>
    </row>
    <row r="12" spans="1:4" ht="45" customHeight="1" thickTop="1">
      <c r="A12" s="1183">
        <v>952</v>
      </c>
      <c r="B12" s="1184" t="s">
        <v>520</v>
      </c>
      <c r="C12" s="1185">
        <f>C15+C17</f>
        <v>25000000</v>
      </c>
      <c r="D12" s="1186"/>
    </row>
    <row r="13" spans="1:4" ht="9.75" customHeight="1">
      <c r="A13" s="1187"/>
      <c r="B13" s="1188" t="s">
        <v>521</v>
      </c>
      <c r="C13" s="1189"/>
      <c r="D13" s="1186"/>
    </row>
    <row r="14" spans="1:4" ht="12" customHeight="1" hidden="1">
      <c r="A14" s="1187"/>
      <c r="B14" s="1188"/>
      <c r="C14" s="1189"/>
      <c r="D14" s="1186"/>
    </row>
    <row r="15" spans="1:4" ht="28.5" customHeight="1">
      <c r="A15" s="1187"/>
      <c r="B15" s="1190" t="s">
        <v>522</v>
      </c>
      <c r="C15" s="1191">
        <v>25000000</v>
      </c>
      <c r="D15" s="1192"/>
    </row>
    <row r="16" spans="1:4" ht="3.75" customHeight="1" hidden="1">
      <c r="A16" s="1187"/>
      <c r="B16" s="1193"/>
      <c r="C16" s="1194"/>
      <c r="D16" s="1192"/>
    </row>
    <row r="17" spans="1:4" ht="25.5" customHeight="1" hidden="1">
      <c r="A17" s="1187"/>
      <c r="B17" s="1190" t="s">
        <v>523</v>
      </c>
      <c r="C17" s="1191"/>
      <c r="D17" s="1192"/>
    </row>
    <row r="18" spans="1:4" s="1196" customFormat="1" ht="18" customHeight="1" hidden="1">
      <c r="A18" s="1187"/>
      <c r="B18" s="955" t="s">
        <v>524</v>
      </c>
      <c r="C18" s="1195"/>
      <c r="D18" s="1186"/>
    </row>
    <row r="19" spans="1:4" ht="6" customHeight="1">
      <c r="A19" s="1187"/>
      <c r="B19" s="1197"/>
      <c r="C19" s="1198"/>
      <c r="D19" s="1192"/>
    </row>
    <row r="20" spans="1:4" ht="24.75" customHeight="1">
      <c r="A20" s="1183">
        <v>955</v>
      </c>
      <c r="B20" s="1199" t="s">
        <v>178</v>
      </c>
      <c r="C20" s="1200">
        <v>28154600</v>
      </c>
      <c r="D20" s="1201"/>
    </row>
    <row r="21" spans="1:4" ht="16.5" customHeight="1">
      <c r="A21" s="1187"/>
      <c r="B21" s="1197"/>
      <c r="C21" s="1198"/>
      <c r="D21" s="1192"/>
    </row>
    <row r="22" spans="1:4" ht="15.75">
      <c r="A22" s="1183">
        <v>992</v>
      </c>
      <c r="B22" s="1199" t="s">
        <v>525</v>
      </c>
      <c r="C22" s="1202"/>
      <c r="D22" s="1203">
        <f>SUM(D24:D27)</f>
        <v>12813200</v>
      </c>
    </row>
    <row r="23" spans="1:4" ht="15.75" customHeight="1">
      <c r="A23" s="1187"/>
      <c r="B23" s="1188" t="s">
        <v>521</v>
      </c>
      <c r="C23" s="1202"/>
      <c r="D23" s="1204"/>
    </row>
    <row r="24" spans="1:4" s="1196" customFormat="1" ht="19.5" customHeight="1">
      <c r="A24" s="1187"/>
      <c r="B24" s="1205" t="s">
        <v>526</v>
      </c>
      <c r="C24" s="1206"/>
      <c r="D24" s="1207">
        <v>1524800</v>
      </c>
    </row>
    <row r="25" spans="1:4" s="1196" customFormat="1" ht="19.5" customHeight="1">
      <c r="A25" s="1187"/>
      <c r="B25" s="1205" t="s">
        <v>527</v>
      </c>
      <c r="C25" s="1206"/>
      <c r="D25" s="1207">
        <v>9295500</v>
      </c>
    </row>
    <row r="26" spans="1:4" s="1196" customFormat="1" ht="19.5" customHeight="1">
      <c r="A26" s="1187"/>
      <c r="B26" s="1208" t="s">
        <v>528</v>
      </c>
      <c r="C26" s="1209"/>
      <c r="D26" s="1210">
        <v>600000</v>
      </c>
    </row>
    <row r="27" spans="1:4" s="1196" customFormat="1" ht="19.5" customHeight="1">
      <c r="A27" s="1187"/>
      <c r="B27" s="1208" t="s">
        <v>529</v>
      </c>
      <c r="C27" s="1209"/>
      <c r="D27" s="1210">
        <v>1392900</v>
      </c>
    </row>
    <row r="28" spans="1:4" ht="5.25" customHeight="1" thickBot="1">
      <c r="A28" s="1211"/>
      <c r="B28" s="1212"/>
      <c r="C28" s="1213"/>
      <c r="D28" s="1214"/>
    </row>
    <row r="29" spans="1:4" ht="19.5" customHeight="1" thickBot="1" thickTop="1">
      <c r="A29" s="1215"/>
      <c r="B29" s="1216" t="s">
        <v>262</v>
      </c>
      <c r="C29" s="1217">
        <f>C20+C12+C21</f>
        <v>53154600</v>
      </c>
      <c r="D29" s="1218">
        <f>D22</f>
        <v>12813200</v>
      </c>
    </row>
    <row r="30" spans="1:4" ht="24" customHeight="1" thickBot="1" thickTop="1">
      <c r="A30" s="1215"/>
      <c r="B30" s="1216" t="s">
        <v>530</v>
      </c>
      <c r="C30" s="1219">
        <f>D29-C29</f>
        <v>-40341400</v>
      </c>
      <c r="D30" s="1220"/>
    </row>
    <row r="31" spans="1:4" ht="16.5" thickTop="1">
      <c r="A31" s="1221"/>
      <c r="B31" s="91"/>
      <c r="C31" s="1222"/>
      <c r="D31" s="1222"/>
    </row>
    <row r="32" spans="1:4" ht="15.75">
      <c r="A32" s="1221"/>
      <c r="B32" s="91"/>
      <c r="C32" s="1222"/>
      <c r="D32" s="1222"/>
    </row>
    <row r="33" spans="1:4" ht="15.75">
      <c r="A33" s="1221"/>
      <c r="B33" s="1223"/>
      <c r="C33" s="1222"/>
      <c r="D33" s="1222"/>
    </row>
    <row r="34" spans="1:4" ht="15.75">
      <c r="A34" s="1221"/>
      <c r="B34" s="1223"/>
      <c r="C34" s="1222"/>
      <c r="D34" s="1222"/>
    </row>
    <row r="35" spans="1:4" ht="15.75">
      <c r="A35" s="1221"/>
      <c r="B35" s="1223"/>
      <c r="C35" s="1222"/>
      <c r="D35" s="1222"/>
    </row>
    <row r="36" spans="1:4" ht="15.75">
      <c r="A36" s="1221"/>
      <c r="B36" s="1223"/>
      <c r="C36" s="1222"/>
      <c r="D36" s="1222"/>
    </row>
    <row r="37" spans="1:4" ht="12.75">
      <c r="A37" s="1221"/>
      <c r="B37" s="1221"/>
      <c r="C37" s="1224"/>
      <c r="D37" s="1224"/>
    </row>
    <row r="38" spans="1:4" ht="12.75">
      <c r="A38" s="1221"/>
      <c r="B38" s="1221"/>
      <c r="C38" s="1224"/>
      <c r="D38" s="1224"/>
    </row>
    <row r="39" spans="1:4" ht="12.75">
      <c r="A39" s="1221"/>
      <c r="B39" s="1221"/>
      <c r="C39" s="1224"/>
      <c r="D39" s="1224"/>
    </row>
    <row r="40" spans="1:4" ht="12.75">
      <c r="A40" s="920"/>
      <c r="B40" s="920"/>
      <c r="C40" s="1225"/>
      <c r="D40" s="1225"/>
    </row>
    <row r="41" spans="1:4" ht="12.75">
      <c r="A41" s="920"/>
      <c r="B41" s="920"/>
      <c r="C41" s="1225"/>
      <c r="D41" s="1225"/>
    </row>
    <row r="42" spans="1:4" ht="12.75">
      <c r="A42" s="920"/>
      <c r="B42" s="920"/>
      <c r="C42" s="1225"/>
      <c r="D42" s="1225"/>
    </row>
    <row r="43" spans="1:4" ht="12.75">
      <c r="A43" s="920"/>
      <c r="B43" s="920"/>
      <c r="C43" s="1225"/>
      <c r="D43" s="1225"/>
    </row>
    <row r="44" spans="3:4" ht="12.75">
      <c r="C44" s="1226"/>
      <c r="D44" s="12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Malgorzata Krol</cp:lastModifiedBy>
  <dcterms:created xsi:type="dcterms:W3CDTF">1997-02-26T13:46:56Z</dcterms:created>
  <dcterms:modified xsi:type="dcterms:W3CDTF">2006-01-11T13:20:25Z</dcterms:modified>
  <cp:category/>
  <cp:version/>
  <cp:contentType/>
  <cp:contentStatus/>
</cp:coreProperties>
</file>