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603" activeTab="2"/>
  </bookViews>
  <sheets>
    <sheet name="Zał 1" sheetId="1" r:id="rId1"/>
    <sheet name="Zał 2" sheetId="2" r:id="rId2"/>
    <sheet name="Zał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<sst xmlns="http://schemas.openxmlformats.org/spreadsheetml/2006/main" count="124" uniqueCount="88">
  <si>
    <t>Wyszczególnienie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</si>
  <si>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</si>
  <si>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</si>
  <si>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</si>
  <si>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</si>
  <si>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</si>
  <si>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</si>
  <si>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</si>
  <si>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</si>
  <si>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</si>
  <si>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</si>
  <si>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</si>
  <si>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</si>
  <si>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Dodatki mieszkaniowe</t>
  </si>
  <si>
    <t>OGÓŁEM</t>
  </si>
  <si>
    <t>2</t>
  </si>
  <si>
    <t>Załącznik nr 1 do Zarządzenia</t>
  </si>
  <si>
    <t>Prezydenta Miasta Koszalina</t>
  </si>
  <si>
    <t>Miesiące</t>
  </si>
  <si>
    <t>L.p</t>
  </si>
  <si>
    <t xml:space="preserve">1 </t>
  </si>
  <si>
    <t xml:space="preserve">Zarząd Dróg Miejskich </t>
  </si>
  <si>
    <t>3</t>
  </si>
  <si>
    <t>4</t>
  </si>
  <si>
    <t xml:space="preserve">Urząd Miejski </t>
  </si>
  <si>
    <t>a/</t>
  </si>
  <si>
    <t>podatki i opłaty lokalne</t>
  </si>
  <si>
    <t>b/</t>
  </si>
  <si>
    <t>podatki pobierane przez Urzędy Skarbowe</t>
  </si>
  <si>
    <t>c/</t>
  </si>
  <si>
    <t xml:space="preserve">dochody z majątku miasta i skarbu państwa </t>
  </si>
  <si>
    <t>d/</t>
  </si>
  <si>
    <t>pozostałe dochody</t>
  </si>
  <si>
    <t>5</t>
  </si>
  <si>
    <t>6</t>
  </si>
  <si>
    <t>Subwencje</t>
  </si>
  <si>
    <t>7</t>
  </si>
  <si>
    <t>Udziały w podatkach</t>
  </si>
  <si>
    <t xml:space="preserve">OGÓŁEM </t>
  </si>
  <si>
    <t>w  zł</t>
  </si>
  <si>
    <t>Urząd Miejski</t>
  </si>
  <si>
    <t xml:space="preserve"> </t>
  </si>
  <si>
    <t>Załącznik nr 3 do Zarządzenia</t>
  </si>
  <si>
    <t>L.p.</t>
  </si>
  <si>
    <t>NAZWA</t>
  </si>
  <si>
    <t xml:space="preserve">DOCHODY </t>
  </si>
  <si>
    <t xml:space="preserve">WYDATKI </t>
  </si>
  <si>
    <t>Deficyt narastająco</t>
  </si>
  <si>
    <t>Pokrycie deficytu:</t>
  </si>
  <si>
    <t>nadwyżka z lat ubiegłych</t>
  </si>
  <si>
    <t xml:space="preserve">planowany kredyt </t>
  </si>
  <si>
    <t>DOTACJE</t>
  </si>
  <si>
    <t>DOCHODY WŁASNE</t>
  </si>
  <si>
    <t>WYDATKI</t>
  </si>
  <si>
    <t>M  I  E S  I  Ą  C  E</t>
  </si>
  <si>
    <t>WYSZCZEGÓLNIENIE</t>
  </si>
  <si>
    <t>NA ZADANIA WŁASNE</t>
  </si>
  <si>
    <t>NA ZADANIA ZLEC. I POR.</t>
  </si>
  <si>
    <t>Zarząd Dróg Miejskich</t>
  </si>
  <si>
    <t>Ośrodek Adopcyjno - Opiekuńczy</t>
  </si>
  <si>
    <t>Powiatowy Inspektorat Weterynarii</t>
  </si>
  <si>
    <t>Powiatowy Inspektorat Nadzoru Budowlanego</t>
  </si>
  <si>
    <t>Komenda Miejska Policji</t>
  </si>
  <si>
    <t>Oświata i wychowanie</t>
  </si>
  <si>
    <t>Edukacyjna opieka wychowawcza</t>
  </si>
  <si>
    <t>Zespół Obsługi Ekonomiczno-Administracyjnej Przedszkoli Miejskich</t>
  </si>
  <si>
    <t>Dożywianie uczniów</t>
  </si>
  <si>
    <t>Pomoc dla repatriantów</t>
  </si>
  <si>
    <t>Bezpieczeństwo publiczne i ochrona przeciwpożarowa</t>
  </si>
  <si>
    <t>w zł</t>
  </si>
  <si>
    <t>Spłata rat kredytów i pożyczek</t>
  </si>
  <si>
    <t>Deficyt/nadwyżka</t>
  </si>
  <si>
    <t>Razem (poz.3+poz.4)</t>
  </si>
  <si>
    <t>Plan na          2009 rok</t>
  </si>
  <si>
    <t>HARMONOGRAM  REALIZACJI PLANU  DOCHODÓW  MIASTA  KOSZALINA  NA 2009 ROK</t>
  </si>
  <si>
    <t>Miejski Ośrodek Pomocy Społecznej, Ośrodek Adopcyjno-Opiekuńczy</t>
  </si>
  <si>
    <t xml:space="preserve">Gminne i powiatowe jednostki oświatowe </t>
  </si>
  <si>
    <t xml:space="preserve"> HARMONOGRAM  REALIZACJI  PLANU  WYDATKÓW  MIASTA  KOSZALINA  NA  2009  ROK</t>
  </si>
  <si>
    <t>Rodzinne Domy Dziecka                                     (Nr 2 i Nr 3)</t>
  </si>
  <si>
    <r>
      <t xml:space="preserve">Miejski Ośrodek Pomocy Społecznej </t>
    </r>
    <r>
      <rPr>
        <sz val="10"/>
        <rFont val="Times New Roman CE"/>
        <family val="0"/>
      </rPr>
      <t>(bez dodatków mieszkaniowych)</t>
    </r>
  </si>
  <si>
    <r>
      <t xml:space="preserve">Dotacje celowe </t>
    </r>
    <r>
      <rPr>
        <sz val="8"/>
        <rFont val="Times New Roman CE"/>
        <family val="0"/>
      </rPr>
      <t>otrzymane z budżetu państwa i funduszy celowych</t>
    </r>
  </si>
  <si>
    <t>Środki zewnetrzne                      i  z UE</t>
  </si>
  <si>
    <t>Załącznik nr 2 do Zarządzenia</t>
  </si>
  <si>
    <t>8</t>
  </si>
  <si>
    <t>Plan na           2009 rok</t>
  </si>
  <si>
    <t>PROGNOZA   PŁYNNOŚCI   FINANSOWEJ  W  2009 ROKU</t>
  </si>
  <si>
    <t xml:space="preserve">Nr  319 / 1292 / 09  </t>
  </si>
  <si>
    <t>z dnia  02 lutego 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</si>
</sst>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28">
    <font>
      <sz val="10"/>
      <name val="Arial CE"/>
      <family val="0"/>
    </font>
    <font>
      <sz val="9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6"/>
      <name val="Times New Roman CE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 CE"/>
      <family val="0"/>
    </font>
    <font>
      <b/>
      <i/>
      <sz val="8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wrapText="1"/>
      <protection locked="0"/>
    </xf>
    <xf numFmtId="0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2" xfId="0" applyNumberFormat="1" applyFont="1" applyFill="1" applyBorder="1" applyAlignment="1" applyProtection="1">
      <alignment horizontal="centerContinuous" wrapText="1"/>
      <protection locked="0"/>
    </xf>
    <xf numFmtId="0" fontId="6" fillId="2" borderId="3" xfId="0" applyNumberFormat="1" applyFont="1" applyFill="1" applyBorder="1" applyAlignment="1" applyProtection="1">
      <alignment horizontal="centerContinuous" wrapText="1"/>
      <protection locked="0"/>
    </xf>
    <xf numFmtId="0" fontId="6" fillId="2" borderId="4" xfId="0" applyNumberFormat="1" applyFont="1" applyFill="1" applyBorder="1" applyAlignment="1" applyProtection="1">
      <alignment horizontal="centerContinuous" wrapText="1"/>
      <protection locked="0"/>
    </xf>
    <xf numFmtId="0" fontId="6" fillId="2" borderId="3" xfId="0" applyNumberFormat="1" applyFont="1" applyFill="1" applyBorder="1" applyAlignment="1" applyProtection="1">
      <alignment horizontal="centerContinuous" vertical="center"/>
      <protection locked="0"/>
    </xf>
    <xf numFmtId="0" fontId="6" fillId="2" borderId="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0" applyNumberFormat="1" applyFont="1" applyFill="1" applyBorder="1" applyAlignment="1" applyProtection="1">
      <alignment horizontal="center" vertical="top" wrapText="1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centerContinuous" vertical="center"/>
    </xf>
    <xf numFmtId="1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Border="1" applyAlignment="1">
      <alignment horizontal="centerContinuous" vertical="center" wrapText="1"/>
    </xf>
    <xf numFmtId="165" fontId="4" fillId="0" borderId="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 wrapText="1"/>
    </xf>
    <xf numFmtId="165" fontId="6" fillId="0" borderId="21" xfId="0" applyNumberFormat="1" applyFont="1" applyBorder="1" applyAlignment="1">
      <alignment horizontal="center" wrapText="1"/>
    </xf>
    <xf numFmtId="0" fontId="10" fillId="2" borderId="3" xfId="0" applyNumberFormat="1" applyFont="1" applyFill="1" applyBorder="1" applyAlignment="1" applyProtection="1">
      <alignment horizontal="centerContinuous" wrapText="1"/>
      <protection locked="0"/>
    </xf>
    <xf numFmtId="0" fontId="10" fillId="2" borderId="3" xfId="0" applyNumberFormat="1" applyFont="1" applyFill="1" applyBorder="1" applyAlignment="1" applyProtection="1">
      <alignment horizontal="centerContinuous" vertical="center" wrapText="1"/>
      <protection locked="0"/>
    </xf>
    <xf numFmtId="164" fontId="10" fillId="2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Font="1" applyAlignment="1">
      <alignment/>
    </xf>
    <xf numFmtId="1" fontId="6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6" xfId="20" applyNumberFormat="1" applyFont="1" applyFill="1" applyBorder="1" applyAlignment="1" applyProtection="1">
      <alignment horizontal="center" vertical="top" wrapText="1"/>
      <protection locked="0"/>
    </xf>
    <xf numFmtId="165" fontId="6" fillId="0" borderId="23" xfId="20" applyNumberFormat="1" applyFont="1" applyFill="1" applyBorder="1" applyAlignment="1" applyProtection="1">
      <alignment horizontal="center" vertical="top" wrapText="1"/>
      <protection locked="0"/>
    </xf>
    <xf numFmtId="165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/>
    </xf>
    <xf numFmtId="1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7" xfId="0" applyNumberFormat="1" applyFont="1" applyFill="1" applyBorder="1" applyAlignment="1" applyProtection="1">
      <alignment horizontal="center" vertical="center"/>
      <protection locked="0"/>
    </xf>
    <xf numFmtId="1" fontId="9" fillId="0" borderId="28" xfId="0" applyNumberFormat="1" applyFont="1" applyFill="1" applyBorder="1" applyAlignment="1" applyProtection="1">
      <alignment horizontal="center" vertical="center"/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left" vertical="center" wrapText="1"/>
    </xf>
    <xf numFmtId="3" fontId="16" fillId="0" borderId="21" xfId="0" applyNumberFormat="1" applyFont="1" applyBorder="1" applyAlignment="1">
      <alignment horizontal="left" vertical="center" wrapText="1"/>
    </xf>
    <xf numFmtId="3" fontId="2" fillId="0" borderId="30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2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left" vertical="center" wrapText="1"/>
    </xf>
    <xf numFmtId="3" fontId="16" fillId="0" borderId="34" xfId="0" applyNumberFormat="1" applyFont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  <xf numFmtId="3" fontId="17" fillId="0" borderId="39" xfId="0" applyNumberFormat="1" applyFont="1" applyBorder="1" applyAlignment="1">
      <alignment horizontal="center" vertical="center"/>
    </xf>
    <xf numFmtId="3" fontId="17" fillId="0" borderId="40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8" fillId="0" borderId="4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3" fontId="17" fillId="0" borderId="22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0" fontId="10" fillId="0" borderId="31" xfId="0" applyFont="1" applyBorder="1" applyAlignment="1">
      <alignment horizontal="center" wrapText="1"/>
    </xf>
    <xf numFmtId="0" fontId="6" fillId="0" borderId="30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8" fillId="0" borderId="55" xfId="0" applyFont="1" applyBorder="1" applyAlignment="1">
      <alignment vertical="center" wrapText="1"/>
    </xf>
    <xf numFmtId="3" fontId="8" fillId="0" borderId="5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3" fillId="0" borderId="55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left" vertical="center" wrapText="1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centerContinuous"/>
      <protection locked="0"/>
    </xf>
    <xf numFmtId="49" fontId="4" fillId="0" borderId="0" xfId="0" applyNumberFormat="1" applyFont="1" applyFill="1" applyBorder="1" applyAlignment="1" applyProtection="1">
      <alignment horizontal="centerContinuous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6" fillId="2" borderId="43" xfId="0" applyNumberFormat="1" applyFont="1" applyFill="1" applyBorder="1" applyAlignment="1" applyProtection="1">
      <alignment horizontal="center" wrapText="1"/>
      <protection locked="0"/>
    </xf>
    <xf numFmtId="49" fontId="3" fillId="0" borderId="56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4" xfId="0" applyNumberFormat="1" applyFont="1" applyFill="1" applyBorder="1" applyAlignment="1" applyProtection="1">
      <alignment horizontal="centerContinuous" vertical="center"/>
      <protection locked="0"/>
    </xf>
    <xf numFmtId="3" fontId="7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3" fillId="0" borderId="57" xfId="0" applyNumberFormat="1" applyFont="1" applyFill="1" applyBorder="1" applyAlignment="1" applyProtection="1">
      <alignment horizontal="centerContinuous" vertical="center"/>
      <protection locked="0"/>
    </xf>
    <xf numFmtId="0" fontId="10" fillId="2" borderId="57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9" xfId="0" applyNumberFormat="1" applyFont="1" applyFill="1" applyBorder="1" applyAlignment="1" applyProtection="1">
      <alignment horizontal="center" vertical="center"/>
      <protection locked="0"/>
    </xf>
    <xf numFmtId="0" fontId="24" fillId="2" borderId="25" xfId="0" applyNumberFormat="1" applyFont="1" applyFill="1" applyBorder="1" applyAlignment="1" applyProtection="1">
      <alignment horizontal="center" vertical="center"/>
      <protection locked="0"/>
    </xf>
    <xf numFmtId="0" fontId="24" fillId="2" borderId="49" xfId="0" applyNumberFormat="1" applyFont="1" applyFill="1" applyBorder="1" applyAlignment="1" applyProtection="1">
      <alignment horizontal="center" vertical="center"/>
      <protection locked="0"/>
    </xf>
    <xf numFmtId="0" fontId="24" fillId="2" borderId="28" xfId="0" applyNumberFormat="1" applyFont="1" applyFill="1" applyBorder="1" applyAlignment="1" applyProtection="1">
      <alignment horizontal="center" vertical="center"/>
      <protection locked="0"/>
    </xf>
    <xf numFmtId="0" fontId="24" fillId="2" borderId="51" xfId="0" applyNumberFormat="1" applyFont="1" applyFill="1" applyBorder="1" applyAlignment="1" applyProtection="1">
      <alignment horizontal="center" vertical="center"/>
      <protection locked="0"/>
    </xf>
    <xf numFmtId="0" fontId="24" fillId="2" borderId="29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8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1" fillId="0" borderId="52" xfId="0" applyNumberFormat="1" applyFont="1" applyFill="1" applyBorder="1" applyAlignment="1" applyProtection="1">
      <alignment vertical="center" wrapText="1"/>
      <protection locked="0"/>
    </xf>
    <xf numFmtId="3" fontId="1" fillId="0" borderId="5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 applyProtection="1">
      <alignment vertical="center" wrapText="1"/>
      <protection locked="0"/>
    </xf>
    <xf numFmtId="0" fontId="8" fillId="0" borderId="55" xfId="0" applyFont="1" applyBorder="1" applyAlignment="1">
      <alignment vertical="center" wrapText="1"/>
    </xf>
    <xf numFmtId="3" fontId="8" fillId="0" borderId="5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5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1" fillId="0" borderId="54" xfId="0" applyNumberFormat="1" applyFont="1" applyFill="1" applyBorder="1" applyAlignment="1" applyProtection="1">
      <alignment vertical="center" wrapText="1"/>
      <protection locked="0"/>
    </xf>
    <xf numFmtId="3" fontId="1" fillId="0" borderId="7" xfId="0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vertical="center" wrapText="1"/>
      <protection locked="0"/>
    </xf>
    <xf numFmtId="3" fontId="25" fillId="0" borderId="2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left" vertical="center" wrapText="1"/>
    </xf>
    <xf numFmtId="3" fontId="25" fillId="0" borderId="59" xfId="0" applyNumberFormat="1" applyFont="1" applyBorder="1" applyAlignment="1">
      <alignment horizontal="right" vertical="center" wrapText="1"/>
    </xf>
    <xf numFmtId="3" fontId="17" fillId="0" borderId="19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4" xfId="0" applyNumberFormat="1" applyFont="1" applyFill="1" applyBorder="1" applyAlignment="1" applyProtection="1">
      <alignment vertical="center" wrapText="1"/>
      <protection locked="0"/>
    </xf>
    <xf numFmtId="3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0" fontId="12" fillId="0" borderId="60" xfId="0" applyFont="1" applyBorder="1" applyAlignment="1">
      <alignment vertical="center" wrapText="1"/>
    </xf>
    <xf numFmtId="3" fontId="12" fillId="0" borderId="60" xfId="0" applyNumberFormat="1" applyFont="1" applyBorder="1" applyAlignment="1">
      <alignment vertical="center" wrapText="1"/>
    </xf>
    <xf numFmtId="3" fontId="8" fillId="0" borderId="61" xfId="0" applyNumberFormat="1" applyFont="1" applyBorder="1" applyAlignment="1">
      <alignment vertical="center" wrapText="1"/>
    </xf>
    <xf numFmtId="3" fontId="3" fillId="0" borderId="60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3" fontId="16" fillId="0" borderId="37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3" fontId="16" fillId="0" borderId="5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3" fontId="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left" vertical="center" wrapText="1"/>
    </xf>
    <xf numFmtId="165" fontId="2" fillId="0" borderId="67" xfId="0" applyNumberFormat="1" applyFont="1" applyBorder="1" applyAlignment="1">
      <alignment horizontal="center" vertical="center"/>
    </xf>
    <xf numFmtId="165" fontId="2" fillId="0" borderId="68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3" fontId="10" fillId="0" borderId="51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Continuous" wrapText="1"/>
      <protection locked="0"/>
    </xf>
    <xf numFmtId="0" fontId="11" fillId="0" borderId="0" xfId="0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8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5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3" fontId="16" fillId="0" borderId="13" xfId="0" applyNumberFormat="1" applyFont="1" applyBorder="1" applyAlignment="1">
      <alignment horizontal="left" vertical="center" wrapText="1"/>
    </xf>
    <xf numFmtId="0" fontId="26" fillId="0" borderId="59" xfId="0" applyFont="1" applyBorder="1" applyAlignment="1">
      <alignment horizontal="lef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LIWAK\PlFinUM\PL_FIN_2007\projekt%20Plfina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"/>
      <sheetName val="Jednostki"/>
      <sheetName val="Zał4-801"/>
      <sheetName val="Szkoły 80120-4a"/>
      <sheetName val="Szkoły 80130-4b"/>
      <sheetName val="PU-10"/>
      <sheetName val="pozostałe-PU-10a"/>
    </sheetNames>
    <sheetDataSet>
      <sheetData sheetId="0">
        <row r="1606">
          <cell r="K1606">
            <v>1122000</v>
          </cell>
        </row>
        <row r="1608">
          <cell r="H1608">
            <v>149443916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M22" sqref="M22"/>
    </sheetView>
  </sheetViews>
  <sheetFormatPr defaultColWidth="9.00390625" defaultRowHeight="12.75"/>
  <cols>
    <col min="1" max="1" width="3.25390625" style="160" customWidth="1"/>
    <col min="2" max="2" width="18.125" style="1" customWidth="1"/>
    <col min="3" max="3" width="9.25390625" style="1" customWidth="1"/>
    <col min="4" max="5" width="9.375" style="1" customWidth="1"/>
    <col min="6" max="7" width="9.25390625" style="1" customWidth="1"/>
    <col min="8" max="8" width="9.375" style="1" customWidth="1"/>
    <col min="9" max="9" width="9.00390625" style="1" customWidth="1"/>
    <col min="10" max="10" width="8.875" style="1" customWidth="1"/>
    <col min="11" max="13" width="9.25390625" style="1" customWidth="1"/>
    <col min="14" max="14" width="8.375" style="1" customWidth="1"/>
    <col min="15" max="15" width="10.75390625" style="41" customWidth="1"/>
    <col min="16" max="16" width="9.625" style="1" bestFit="1" customWidth="1"/>
    <col min="17" max="17" width="9.125" style="1" customWidth="1"/>
    <col min="18" max="18" width="9.625" style="1" bestFit="1" customWidth="1"/>
    <col min="19" max="16384" width="9.125" style="1" customWidth="1"/>
  </cols>
  <sheetData>
    <row r="1" spans="12:15" ht="12">
      <c r="L1" s="2"/>
      <c r="M1" s="253" t="s">
        <v>16</v>
      </c>
      <c r="N1" s="254"/>
      <c r="O1" s="255"/>
    </row>
    <row r="2" spans="12:15" ht="12">
      <c r="L2" s="2"/>
      <c r="M2" s="256" t="s">
        <v>86</v>
      </c>
      <c r="N2" s="254"/>
      <c r="O2" s="257"/>
    </row>
    <row r="3" spans="12:15" ht="12">
      <c r="L3" s="2"/>
      <c r="M3" s="256" t="s">
        <v>17</v>
      </c>
      <c r="N3" s="254"/>
      <c r="O3" s="257"/>
    </row>
    <row r="4" spans="1:15" ht="12">
      <c r="A4" s="161"/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56" t="s">
        <v>87</v>
      </c>
      <c r="N4" s="258"/>
      <c r="O4" s="257"/>
    </row>
    <row r="5" spans="1:15" ht="12.75">
      <c r="A5" s="161"/>
      <c r="B5" s="5"/>
      <c r="C5" s="5"/>
      <c r="D5" s="5"/>
      <c r="E5" s="5"/>
      <c r="F5" s="5"/>
      <c r="G5" s="5"/>
      <c r="H5" s="5"/>
      <c r="I5" s="5"/>
      <c r="J5" s="5"/>
      <c r="K5" s="5"/>
      <c r="L5" s="2"/>
      <c r="M5" s="4"/>
      <c r="N5" s="6"/>
      <c r="O5" s="42"/>
    </row>
    <row r="6" spans="1:15" s="9" customFormat="1" ht="16.5">
      <c r="A6" s="162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42"/>
    </row>
    <row r="7" spans="1:15" s="12" customFormat="1" ht="24" customHeight="1" thickBot="1">
      <c r="A7" s="163"/>
      <c r="B7" s="10"/>
      <c r="C7" s="10"/>
      <c r="D7" s="10"/>
      <c r="E7" s="10"/>
      <c r="F7" s="10"/>
      <c r="G7" s="10"/>
      <c r="H7" s="10"/>
      <c r="I7" s="10"/>
      <c r="J7" s="10"/>
      <c r="K7" s="10"/>
      <c r="L7" s="6"/>
      <c r="M7" s="6"/>
      <c r="N7" s="11"/>
      <c r="O7" s="13" t="s">
        <v>39</v>
      </c>
    </row>
    <row r="8" spans="1:15" s="22" customFormat="1" ht="18.75" customHeight="1" thickTop="1">
      <c r="A8" s="164"/>
      <c r="B8" s="14"/>
      <c r="C8" s="15" t="s">
        <v>18</v>
      </c>
      <c r="D8" s="16"/>
      <c r="E8" s="16"/>
      <c r="F8" s="17"/>
      <c r="G8" s="18"/>
      <c r="H8" s="19"/>
      <c r="I8" s="16"/>
      <c r="J8" s="16"/>
      <c r="K8" s="16"/>
      <c r="L8" s="20"/>
      <c r="M8" s="20"/>
      <c r="N8" s="21"/>
      <c r="O8" s="266" t="s">
        <v>73</v>
      </c>
    </row>
    <row r="9" spans="1:15" s="31" customFormat="1" ht="21" customHeight="1" thickBot="1">
      <c r="A9" s="169" t="s">
        <v>19</v>
      </c>
      <c r="B9" s="23" t="s">
        <v>0</v>
      </c>
      <c r="C9" s="24" t="s">
        <v>1</v>
      </c>
      <c r="D9" s="25" t="s">
        <v>2</v>
      </c>
      <c r="E9" s="25" t="s">
        <v>3</v>
      </c>
      <c r="F9" s="26" t="s">
        <v>4</v>
      </c>
      <c r="G9" s="27" t="s">
        <v>5</v>
      </c>
      <c r="H9" s="27" t="s">
        <v>6</v>
      </c>
      <c r="I9" s="27" t="s">
        <v>7</v>
      </c>
      <c r="J9" s="27" t="s">
        <v>8</v>
      </c>
      <c r="K9" s="28" t="s">
        <v>9</v>
      </c>
      <c r="L9" s="28" t="s">
        <v>10</v>
      </c>
      <c r="M9" s="29" t="s">
        <v>11</v>
      </c>
      <c r="N9" s="30" t="s">
        <v>12</v>
      </c>
      <c r="O9" s="267"/>
    </row>
    <row r="10" spans="1:15" s="176" customFormat="1" ht="9" customHeight="1" thickBot="1" thickTop="1">
      <c r="A10" s="170">
        <v>1</v>
      </c>
      <c r="B10" s="171">
        <v>2</v>
      </c>
      <c r="C10" s="172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L10" s="173">
        <v>12</v>
      </c>
      <c r="M10" s="171">
        <v>13</v>
      </c>
      <c r="N10" s="174">
        <v>14</v>
      </c>
      <c r="O10" s="175">
        <v>15</v>
      </c>
    </row>
    <row r="11" spans="1:15" s="33" customFormat="1" ht="29.25" customHeight="1" thickTop="1">
      <c r="A11" s="165" t="s">
        <v>20</v>
      </c>
      <c r="B11" s="32" t="s">
        <v>21</v>
      </c>
      <c r="C11" s="181">
        <v>1480</v>
      </c>
      <c r="D11" s="182">
        <v>1600</v>
      </c>
      <c r="E11" s="182">
        <v>1480</v>
      </c>
      <c r="F11" s="182">
        <v>1480</v>
      </c>
      <c r="G11" s="182">
        <v>1480</v>
      </c>
      <c r="H11" s="182">
        <v>1510</v>
      </c>
      <c r="I11" s="182">
        <v>1480</v>
      </c>
      <c r="J11" s="182">
        <v>1480</v>
      </c>
      <c r="K11" s="182">
        <v>1480</v>
      </c>
      <c r="L11" s="182">
        <v>1480</v>
      </c>
      <c r="M11" s="182">
        <v>1600</v>
      </c>
      <c r="N11" s="202">
        <v>1480</v>
      </c>
      <c r="O11" s="43">
        <f>SUM(C11:N11)</f>
        <v>18030</v>
      </c>
    </row>
    <row r="12" spans="1:15" s="35" customFormat="1" ht="39.75" customHeight="1">
      <c r="A12" s="166" t="s">
        <v>15</v>
      </c>
      <c r="B12" s="34" t="s">
        <v>76</v>
      </c>
      <c r="C12" s="40">
        <v>125344</v>
      </c>
      <c r="D12" s="183">
        <v>125344</v>
      </c>
      <c r="E12" s="183">
        <v>125340</v>
      </c>
      <c r="F12" s="183">
        <v>125344</v>
      </c>
      <c r="G12" s="183">
        <v>125344</v>
      </c>
      <c r="H12" s="183">
        <v>125344</v>
      </c>
      <c r="I12" s="183">
        <v>125349</v>
      </c>
      <c r="J12" s="183">
        <v>125349</v>
      </c>
      <c r="K12" s="183">
        <v>125349</v>
      </c>
      <c r="L12" s="183">
        <v>125349</v>
      </c>
      <c r="M12" s="183">
        <v>125349</v>
      </c>
      <c r="N12" s="184">
        <v>125395</v>
      </c>
      <c r="O12" s="239">
        <f aca="true" t="shared" si="0" ref="O12:O22">SUM(C12:N12)</f>
        <v>1504200</v>
      </c>
    </row>
    <row r="13" spans="1:15" s="35" customFormat="1" ht="55.5" customHeight="1">
      <c r="A13" s="166" t="s">
        <v>22</v>
      </c>
      <c r="B13" s="34" t="s">
        <v>75</v>
      </c>
      <c r="C13" s="40">
        <v>19785</v>
      </c>
      <c r="D13" s="183">
        <v>19789</v>
      </c>
      <c r="E13" s="183">
        <v>19945</v>
      </c>
      <c r="F13" s="183">
        <v>19945</v>
      </c>
      <c r="G13" s="183">
        <v>20045</v>
      </c>
      <c r="H13" s="183">
        <v>19945</v>
      </c>
      <c r="I13" s="183">
        <v>19945</v>
      </c>
      <c r="J13" s="183">
        <v>19945</v>
      </c>
      <c r="K13" s="183">
        <v>19945</v>
      </c>
      <c r="L13" s="183">
        <v>19945</v>
      </c>
      <c r="M13" s="183">
        <v>19945</v>
      </c>
      <c r="N13" s="184">
        <v>19821</v>
      </c>
      <c r="O13" s="239">
        <f t="shared" si="0"/>
        <v>239000</v>
      </c>
    </row>
    <row r="14" spans="1:16" s="33" customFormat="1" ht="21" customHeight="1">
      <c r="A14" s="166" t="s">
        <v>23</v>
      </c>
      <c r="B14" s="34" t="s">
        <v>24</v>
      </c>
      <c r="C14" s="40">
        <v>4497866</v>
      </c>
      <c r="D14" s="183">
        <v>5888641</v>
      </c>
      <c r="E14" s="183">
        <v>13115634</v>
      </c>
      <c r="F14" s="183">
        <v>5144701</v>
      </c>
      <c r="G14" s="183">
        <v>8004419</v>
      </c>
      <c r="H14" s="183">
        <v>10180601</v>
      </c>
      <c r="I14" s="183">
        <v>5963781</v>
      </c>
      <c r="J14" s="183">
        <v>6663101</v>
      </c>
      <c r="K14" s="183">
        <v>11750744</v>
      </c>
      <c r="L14" s="183">
        <v>5427331</v>
      </c>
      <c r="M14" s="183">
        <v>6776304</v>
      </c>
      <c r="N14" s="184">
        <v>6094951</v>
      </c>
      <c r="O14" s="239">
        <f>SUM(C14:N14)</f>
        <v>89508074</v>
      </c>
      <c r="P14" s="37"/>
    </row>
    <row r="15" spans="1:15" s="35" customFormat="1" ht="0.75" customHeight="1" hidden="1">
      <c r="A15" s="166" t="s">
        <v>25</v>
      </c>
      <c r="B15" s="36" t="s">
        <v>26</v>
      </c>
      <c r="C15" s="40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45">
        <f t="shared" si="0"/>
        <v>0</v>
      </c>
    </row>
    <row r="16" spans="1:15" s="35" customFormat="1" ht="22.5" customHeight="1" hidden="1">
      <c r="A16" s="166" t="s">
        <v>27</v>
      </c>
      <c r="B16" s="36" t="s">
        <v>28</v>
      </c>
      <c r="C16" s="40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4"/>
      <c r="O16" s="45">
        <f t="shared" si="0"/>
        <v>0</v>
      </c>
    </row>
    <row r="17" spans="1:15" s="35" customFormat="1" ht="27" customHeight="1" hidden="1">
      <c r="A17" s="166" t="s">
        <v>29</v>
      </c>
      <c r="B17" s="36" t="s">
        <v>30</v>
      </c>
      <c r="C17" s="40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45">
        <f t="shared" si="0"/>
        <v>0</v>
      </c>
    </row>
    <row r="18" spans="1:15" s="35" customFormat="1" ht="0.75" customHeight="1" hidden="1">
      <c r="A18" s="166" t="s">
        <v>31</v>
      </c>
      <c r="B18" s="36" t="s">
        <v>32</v>
      </c>
      <c r="C18" s="40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4"/>
      <c r="O18" s="45">
        <f t="shared" si="0"/>
        <v>0</v>
      </c>
    </row>
    <row r="19" spans="1:15" s="35" customFormat="1" ht="48.75" customHeight="1">
      <c r="A19" s="166" t="s">
        <v>33</v>
      </c>
      <c r="B19" s="179" t="s">
        <v>80</v>
      </c>
      <c r="C19" s="40">
        <v>3059223</v>
      </c>
      <c r="D19" s="183">
        <v>3073223</v>
      </c>
      <c r="E19" s="183">
        <v>3073223</v>
      </c>
      <c r="F19" s="183">
        <v>3429023</v>
      </c>
      <c r="G19" s="183">
        <v>3417523</v>
      </c>
      <c r="H19" s="183">
        <v>3984295</v>
      </c>
      <c r="I19" s="183">
        <v>3417523</v>
      </c>
      <c r="J19" s="183">
        <v>3417523</v>
      </c>
      <c r="K19" s="183">
        <v>3417523</v>
      </c>
      <c r="L19" s="183">
        <v>4239223</v>
      </c>
      <c r="M19" s="183">
        <v>3417523</v>
      </c>
      <c r="N19" s="184">
        <v>3670324</v>
      </c>
      <c r="O19" s="44">
        <f t="shared" si="0"/>
        <v>41616149</v>
      </c>
    </row>
    <row r="20" spans="1:15" s="37" customFormat="1" ht="24.75" customHeight="1">
      <c r="A20" s="167" t="s">
        <v>34</v>
      </c>
      <c r="B20" s="178" t="s">
        <v>35</v>
      </c>
      <c r="C20" s="281">
        <v>8306411</v>
      </c>
      <c r="D20" s="183">
        <v>8306411</v>
      </c>
      <c r="E20" s="282">
        <v>11974411</v>
      </c>
      <c r="F20" s="183">
        <v>8306411</v>
      </c>
      <c r="G20" s="183">
        <v>8306411</v>
      </c>
      <c r="H20" s="183">
        <v>8306411</v>
      </c>
      <c r="I20" s="183">
        <v>8306411</v>
      </c>
      <c r="J20" s="183">
        <v>8306411</v>
      </c>
      <c r="K20" s="183">
        <v>8306411</v>
      </c>
      <c r="L20" s="183">
        <v>8306411</v>
      </c>
      <c r="M20" s="183">
        <v>8306411</v>
      </c>
      <c r="N20" s="184">
        <v>4637818</v>
      </c>
      <c r="O20" s="44">
        <f t="shared" si="0"/>
        <v>99676339</v>
      </c>
    </row>
    <row r="21" spans="1:15" s="33" customFormat="1" ht="24.75" customHeight="1">
      <c r="A21" s="166" t="s">
        <v>36</v>
      </c>
      <c r="B21" s="34" t="s">
        <v>37</v>
      </c>
      <c r="C21" s="40">
        <v>7373480</v>
      </c>
      <c r="D21" s="183">
        <v>7173480</v>
      </c>
      <c r="E21" s="183">
        <v>8843200</v>
      </c>
      <c r="F21" s="183">
        <v>11637200</v>
      </c>
      <c r="G21" s="183">
        <v>7407600</v>
      </c>
      <c r="H21" s="183">
        <v>7465500</v>
      </c>
      <c r="I21" s="183">
        <v>8288100</v>
      </c>
      <c r="J21" s="183">
        <v>9978500</v>
      </c>
      <c r="K21" s="183">
        <v>11687400</v>
      </c>
      <c r="L21" s="183">
        <v>10093100</v>
      </c>
      <c r="M21" s="183">
        <v>10570000</v>
      </c>
      <c r="N21" s="184">
        <v>10667447</v>
      </c>
      <c r="O21" s="44">
        <f t="shared" si="0"/>
        <v>111185007</v>
      </c>
    </row>
    <row r="22" spans="1:15" s="33" customFormat="1" ht="33" customHeight="1" thickBot="1">
      <c r="A22" s="168" t="s">
        <v>83</v>
      </c>
      <c r="B22" s="38" t="s">
        <v>81</v>
      </c>
      <c r="C22" s="203">
        <v>1535694</v>
      </c>
      <c r="D22" s="204">
        <v>111615</v>
      </c>
      <c r="E22" s="204">
        <v>111615</v>
      </c>
      <c r="F22" s="204">
        <v>111615</v>
      </c>
      <c r="G22" s="204">
        <v>111615</v>
      </c>
      <c r="H22" s="204">
        <v>2611615</v>
      </c>
      <c r="I22" s="204">
        <v>2611615</v>
      </c>
      <c r="J22" s="204">
        <v>111615</v>
      </c>
      <c r="K22" s="204">
        <v>111615</v>
      </c>
      <c r="L22" s="204">
        <v>111615</v>
      </c>
      <c r="M22" s="204">
        <v>111615</v>
      </c>
      <c r="N22" s="205">
        <v>111670</v>
      </c>
      <c r="O22" s="46">
        <f t="shared" si="0"/>
        <v>7763514</v>
      </c>
    </row>
    <row r="23" spans="1:15" s="39" customFormat="1" ht="27.75" customHeight="1" thickBot="1" thickTop="1">
      <c r="A23" s="268" t="s">
        <v>38</v>
      </c>
      <c r="B23" s="269"/>
      <c r="C23" s="216">
        <f aca="true" t="shared" si="1" ref="C23:N23">SUM(C11:C22)</f>
        <v>24919283</v>
      </c>
      <c r="D23" s="218">
        <f t="shared" si="1"/>
        <v>24700103</v>
      </c>
      <c r="E23" s="218">
        <f t="shared" si="1"/>
        <v>37264848</v>
      </c>
      <c r="F23" s="218">
        <f t="shared" si="1"/>
        <v>28775719</v>
      </c>
      <c r="G23" s="218">
        <f t="shared" si="1"/>
        <v>27394437</v>
      </c>
      <c r="H23" s="218">
        <f t="shared" si="1"/>
        <v>32695221</v>
      </c>
      <c r="I23" s="218">
        <f t="shared" si="1"/>
        <v>28734204</v>
      </c>
      <c r="J23" s="218">
        <f t="shared" si="1"/>
        <v>28623924</v>
      </c>
      <c r="K23" s="218">
        <f t="shared" si="1"/>
        <v>35420467</v>
      </c>
      <c r="L23" s="218">
        <f t="shared" si="1"/>
        <v>28324454</v>
      </c>
      <c r="M23" s="218">
        <f t="shared" si="1"/>
        <v>29328747</v>
      </c>
      <c r="N23" s="259">
        <f t="shared" si="1"/>
        <v>25328906</v>
      </c>
      <c r="O23" s="217">
        <f>SUM(O11:O22)</f>
        <v>351510313</v>
      </c>
    </row>
    <row r="24" ht="13.5" thickTop="1">
      <c r="R24" s="177"/>
    </row>
    <row r="25" spans="15:18" ht="12.75">
      <c r="O25" s="180"/>
      <c r="R25" s="177"/>
    </row>
    <row r="33" ht="12.75">
      <c r="H33" s="177"/>
    </row>
  </sheetData>
  <mergeCells count="2">
    <mergeCell ref="O8:O9"/>
    <mergeCell ref="A23:B23"/>
  </mergeCells>
  <printOptions horizontalCentered="1"/>
  <pageMargins left="0.25" right="0.26" top="0.77" bottom="0.984251968503937" header="0.44" footer="0.5118110236220472"/>
  <pageSetup firstPageNumber="2" useFirstPageNumber="1" horizontalDpi="300" verticalDpi="300" orientation="landscape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pane xSplit="7" topLeftCell="H1" activePane="topRight" state="frozen"/>
      <selection pane="topLeft" activeCell="A7" sqref="A7"/>
      <selection pane="topRight" activeCell="S11" sqref="S11"/>
    </sheetView>
  </sheetViews>
  <sheetFormatPr defaultColWidth="9.00390625" defaultRowHeight="12.75"/>
  <cols>
    <col min="1" max="1" width="4.625" style="104" customWidth="1"/>
    <col min="2" max="2" width="24.125" style="105" customWidth="1"/>
    <col min="3" max="3" width="12.375" style="106" hidden="1" customWidth="1"/>
    <col min="4" max="4" width="12.75390625" style="105" hidden="1" customWidth="1"/>
    <col min="5" max="5" width="11.75390625" style="107" hidden="1" customWidth="1"/>
    <col min="6" max="6" width="11.25390625" style="107" hidden="1" customWidth="1"/>
    <col min="7" max="7" width="12.00390625" style="108" customWidth="1"/>
    <col min="8" max="8" width="10.625" style="107" customWidth="1"/>
    <col min="9" max="10" width="9.875" style="107" bestFit="1" customWidth="1"/>
    <col min="11" max="11" width="10.00390625" style="107" customWidth="1"/>
    <col min="12" max="12" width="9.875" style="107" bestFit="1" customWidth="1"/>
    <col min="13" max="13" width="10.375" style="107" customWidth="1"/>
    <col min="14" max="15" width="9.875" style="107" bestFit="1" customWidth="1"/>
    <col min="16" max="16" width="9.625" style="107" customWidth="1"/>
    <col min="17" max="18" width="9.875" style="107" bestFit="1" customWidth="1"/>
    <col min="19" max="19" width="9.875" style="107" customWidth="1"/>
    <col min="20" max="20" width="10.875" style="107" bestFit="1" customWidth="1"/>
    <col min="21" max="21" width="10.125" style="107" bestFit="1" customWidth="1"/>
    <col min="22" max="16384" width="9.125" style="107" customWidth="1"/>
  </cols>
  <sheetData>
    <row r="1" spans="17:19" ht="10.5" customHeight="1">
      <c r="Q1" s="194" t="s">
        <v>82</v>
      </c>
      <c r="R1" s="6"/>
      <c r="S1" s="6"/>
    </row>
    <row r="2" spans="17:19" ht="10.5" customHeight="1">
      <c r="Q2" s="195" t="s">
        <v>86</v>
      </c>
      <c r="R2" s="6"/>
      <c r="S2" s="6"/>
    </row>
    <row r="3" spans="17:19" ht="10.5" customHeight="1">
      <c r="Q3" s="195" t="s">
        <v>17</v>
      </c>
      <c r="R3" s="6"/>
      <c r="S3" s="6"/>
    </row>
    <row r="4" spans="17:19" ht="10.5" customHeight="1">
      <c r="Q4" s="195" t="s">
        <v>87</v>
      </c>
      <c r="R4" s="6"/>
      <c r="S4" s="6"/>
    </row>
    <row r="5" spans="1:19" s="265" customFormat="1" ht="42.75" customHeight="1">
      <c r="A5" s="260" t="s">
        <v>77</v>
      </c>
      <c r="B5" s="261"/>
      <c r="C5" s="262"/>
      <c r="D5" s="261"/>
      <c r="E5" s="263"/>
      <c r="F5" s="263"/>
      <c r="G5" s="263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</row>
    <row r="6" ht="17.25" customHeight="1" thickBot="1">
      <c r="R6" s="107" t="s">
        <v>69</v>
      </c>
    </row>
    <row r="7" spans="1:19" s="116" customFormat="1" ht="27" customHeight="1" thickBot="1" thickTop="1">
      <c r="A7" s="109"/>
      <c r="B7" s="110"/>
      <c r="C7" s="111" t="s">
        <v>51</v>
      </c>
      <c r="D7" s="112" t="s">
        <v>52</v>
      </c>
      <c r="E7" s="113" t="s">
        <v>53</v>
      </c>
      <c r="F7" s="114"/>
      <c r="G7" s="115" t="s">
        <v>14</v>
      </c>
      <c r="H7" s="278" t="s">
        <v>54</v>
      </c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80"/>
    </row>
    <row r="8" spans="1:19" s="116" customFormat="1" ht="24.75" customHeight="1" thickBot="1" thickTop="1">
      <c r="A8" s="117" t="s">
        <v>43</v>
      </c>
      <c r="B8" s="118" t="s">
        <v>55</v>
      </c>
      <c r="C8" s="119"/>
      <c r="D8" s="120"/>
      <c r="E8" s="121" t="s">
        <v>56</v>
      </c>
      <c r="F8" s="122" t="s">
        <v>57</v>
      </c>
      <c r="G8" s="123" t="s">
        <v>53</v>
      </c>
      <c r="H8" s="212" t="s">
        <v>1</v>
      </c>
      <c r="I8" s="213" t="s">
        <v>2</v>
      </c>
      <c r="J8" s="213" t="s">
        <v>3</v>
      </c>
      <c r="K8" s="213" t="s">
        <v>4</v>
      </c>
      <c r="L8" s="213" t="s">
        <v>5</v>
      </c>
      <c r="M8" s="213" t="s">
        <v>6</v>
      </c>
      <c r="N8" s="213" t="s">
        <v>7</v>
      </c>
      <c r="O8" s="213" t="s">
        <v>8</v>
      </c>
      <c r="P8" s="214" t="s">
        <v>9</v>
      </c>
      <c r="Q8" s="214" t="s">
        <v>10</v>
      </c>
      <c r="R8" s="214" t="s">
        <v>11</v>
      </c>
      <c r="S8" s="215" t="s">
        <v>12</v>
      </c>
    </row>
    <row r="9" spans="1:19" s="129" customFormat="1" ht="9.75" customHeight="1" thickBot="1" thickTop="1">
      <c r="A9" s="124">
        <v>1</v>
      </c>
      <c r="B9" s="125">
        <v>2</v>
      </c>
      <c r="C9" s="126"/>
      <c r="D9" s="127">
        <v>3</v>
      </c>
      <c r="E9" s="125">
        <v>4</v>
      </c>
      <c r="F9" s="128">
        <v>5</v>
      </c>
      <c r="G9" s="127">
        <v>3</v>
      </c>
      <c r="H9" s="196">
        <v>4</v>
      </c>
      <c r="I9" s="197">
        <v>5</v>
      </c>
      <c r="J9" s="197">
        <v>6</v>
      </c>
      <c r="K9" s="197">
        <v>7</v>
      </c>
      <c r="L9" s="197">
        <v>8</v>
      </c>
      <c r="M9" s="197">
        <v>9</v>
      </c>
      <c r="N9" s="197">
        <v>10</v>
      </c>
      <c r="O9" s="197">
        <v>11</v>
      </c>
      <c r="P9" s="197">
        <v>12</v>
      </c>
      <c r="Q9" s="197">
        <v>13</v>
      </c>
      <c r="R9" s="197">
        <v>14</v>
      </c>
      <c r="S9" s="198">
        <v>15</v>
      </c>
    </row>
    <row r="10" spans="1:21" ht="23.25" customHeight="1" thickTop="1">
      <c r="A10" s="130">
        <v>1</v>
      </c>
      <c r="B10" s="131" t="s">
        <v>40</v>
      </c>
      <c r="C10" s="132">
        <f>8334+39000+331400+959000+41000+5000-229800+262186+4803048+577388</f>
        <v>6796556</v>
      </c>
      <c r="D10" s="133">
        <f>11500000+17952200+1100000+2388900+46825280+96633173+80950896+20431+197000+67200+8000+3000</f>
        <v>257646080</v>
      </c>
      <c r="E10" s="134">
        <f>'[1]UM'!H1608+2317000+120000+200000+750000+20000+27300+356000-11500000+50000</f>
        <v>141784216</v>
      </c>
      <c r="F10" s="135">
        <f>'[1]UM'!K1606</f>
        <v>1122000</v>
      </c>
      <c r="G10" s="136">
        <f>SUM(H10:S10)</f>
        <v>139625941</v>
      </c>
      <c r="H10" s="152">
        <v>7797959</v>
      </c>
      <c r="I10" s="153">
        <v>9463657</v>
      </c>
      <c r="J10" s="153">
        <v>10835683</v>
      </c>
      <c r="K10" s="153">
        <v>14628643</v>
      </c>
      <c r="L10" s="153">
        <v>12871130</v>
      </c>
      <c r="M10" s="153">
        <v>14609033</v>
      </c>
      <c r="N10" s="153">
        <v>12666483</v>
      </c>
      <c r="O10" s="153">
        <v>7416133</v>
      </c>
      <c r="P10" s="153">
        <v>8096073</v>
      </c>
      <c r="Q10" s="153">
        <v>12831833</v>
      </c>
      <c r="R10" s="153">
        <v>15390569</v>
      </c>
      <c r="S10" s="154">
        <v>13018745</v>
      </c>
      <c r="T10" s="137"/>
      <c r="U10" s="137"/>
    </row>
    <row r="11" spans="1:21" ht="21" customHeight="1">
      <c r="A11" s="138">
        <v>2</v>
      </c>
      <c r="B11" s="139" t="s">
        <v>58</v>
      </c>
      <c r="C11" s="140"/>
      <c r="D11" s="141">
        <f>15000+25000+20+20000</f>
        <v>60020</v>
      </c>
      <c r="E11" s="142">
        <f>8215000+3020000+1346100+2280660+204000+2690000+1800000+2878600+406320+170000+200000</f>
        <v>23210680</v>
      </c>
      <c r="F11" s="143"/>
      <c r="G11" s="144">
        <f>SUM(H11:S11)</f>
        <v>54569400</v>
      </c>
      <c r="H11" s="145">
        <v>1272830</v>
      </c>
      <c r="I11" s="146">
        <v>1082830</v>
      </c>
      <c r="J11" s="146">
        <v>1260830</v>
      </c>
      <c r="K11" s="146">
        <v>1492830</v>
      </c>
      <c r="L11" s="146">
        <v>2018830</v>
      </c>
      <c r="M11" s="146">
        <v>4484830</v>
      </c>
      <c r="N11" s="146">
        <v>5308830</v>
      </c>
      <c r="O11" s="146">
        <v>6778830</v>
      </c>
      <c r="P11" s="146">
        <v>9498840</v>
      </c>
      <c r="Q11" s="146">
        <v>10638840</v>
      </c>
      <c r="R11" s="146">
        <v>4771340</v>
      </c>
      <c r="S11" s="143">
        <v>5959740</v>
      </c>
      <c r="T11" s="137"/>
      <c r="U11" s="137"/>
    </row>
    <row r="12" spans="1:21" ht="44.25" customHeight="1">
      <c r="A12" s="138">
        <v>3</v>
      </c>
      <c r="B12" s="139" t="s">
        <v>79</v>
      </c>
      <c r="C12" s="140">
        <f>454000+28343000+106000</f>
        <v>28903000</v>
      </c>
      <c r="D12" s="141">
        <f>140000+201500</f>
        <v>341500</v>
      </c>
      <c r="E12" s="142">
        <f>17502986-1423940+50304-289060</f>
        <v>15840290</v>
      </c>
      <c r="F12" s="143">
        <f>25098000+106000</f>
        <v>25204000</v>
      </c>
      <c r="G12" s="144">
        <f aca="true" t="shared" si="0" ref="G12:G25">SUM(H12:S12)</f>
        <v>42198773</v>
      </c>
      <c r="H12" s="145">
        <v>3933100</v>
      </c>
      <c r="I12" s="146">
        <f>1893390+1875518-291667</f>
        <v>3477241</v>
      </c>
      <c r="J12" s="146">
        <f aca="true" t="shared" si="1" ref="J12:R12">1893390+1875518-291667</f>
        <v>3477241</v>
      </c>
      <c r="K12" s="146">
        <f t="shared" si="1"/>
        <v>3477241</v>
      </c>
      <c r="L12" s="146">
        <f t="shared" si="1"/>
        <v>3477241</v>
      </c>
      <c r="M12" s="146">
        <f t="shared" si="1"/>
        <v>3477241</v>
      </c>
      <c r="N12" s="146">
        <f t="shared" si="1"/>
        <v>3477241</v>
      </c>
      <c r="O12" s="146">
        <f t="shared" si="1"/>
        <v>3477241</v>
      </c>
      <c r="P12" s="146">
        <f t="shared" si="1"/>
        <v>3477241</v>
      </c>
      <c r="Q12" s="146">
        <f t="shared" si="1"/>
        <v>3477241</v>
      </c>
      <c r="R12" s="146">
        <f t="shared" si="1"/>
        <v>3477241</v>
      </c>
      <c r="S12" s="143">
        <v>3493263</v>
      </c>
      <c r="T12" s="137"/>
      <c r="U12" s="137"/>
    </row>
    <row r="13" spans="1:21" ht="18.75" customHeight="1">
      <c r="A13" s="138">
        <v>4</v>
      </c>
      <c r="B13" s="139" t="s">
        <v>13</v>
      </c>
      <c r="C13" s="140"/>
      <c r="D13" s="141">
        <v>30000</v>
      </c>
      <c r="E13" s="142">
        <v>4489300</v>
      </c>
      <c r="F13" s="143"/>
      <c r="G13" s="144">
        <f t="shared" si="0"/>
        <v>3500000</v>
      </c>
      <c r="H13" s="159">
        <v>291000</v>
      </c>
      <c r="I13" s="51">
        <v>291000</v>
      </c>
      <c r="J13" s="51">
        <v>291000</v>
      </c>
      <c r="K13" s="51">
        <v>291000</v>
      </c>
      <c r="L13" s="51">
        <v>292000</v>
      </c>
      <c r="M13" s="51">
        <v>292000</v>
      </c>
      <c r="N13" s="51">
        <v>292000</v>
      </c>
      <c r="O13" s="51">
        <v>292000</v>
      </c>
      <c r="P13" s="51">
        <v>292000</v>
      </c>
      <c r="Q13" s="51">
        <v>292000</v>
      </c>
      <c r="R13" s="51">
        <v>292000</v>
      </c>
      <c r="S13" s="47">
        <v>292000</v>
      </c>
      <c r="T13" s="137"/>
      <c r="U13" s="137"/>
    </row>
    <row r="14" spans="1:21" ht="27.75" customHeight="1">
      <c r="A14" s="138">
        <v>5</v>
      </c>
      <c r="B14" s="139" t="s">
        <v>59</v>
      </c>
      <c r="C14" s="140"/>
      <c r="D14" s="141"/>
      <c r="E14" s="142">
        <v>305940</v>
      </c>
      <c r="F14" s="143"/>
      <c r="G14" s="144">
        <f t="shared" si="0"/>
        <v>374003</v>
      </c>
      <c r="H14" s="145">
        <v>31200</v>
      </c>
      <c r="I14" s="146">
        <v>31200</v>
      </c>
      <c r="J14" s="146">
        <v>31200</v>
      </c>
      <c r="K14" s="146">
        <v>31200</v>
      </c>
      <c r="L14" s="146">
        <v>31200</v>
      </c>
      <c r="M14" s="146">
        <v>31100</v>
      </c>
      <c r="N14" s="146">
        <v>31100</v>
      </c>
      <c r="O14" s="146">
        <v>31100</v>
      </c>
      <c r="P14" s="146">
        <v>31100</v>
      </c>
      <c r="Q14" s="146">
        <v>31100</v>
      </c>
      <c r="R14" s="146">
        <v>31100</v>
      </c>
      <c r="S14" s="143">
        <v>31403</v>
      </c>
      <c r="T14" s="137"/>
      <c r="U14" s="137"/>
    </row>
    <row r="15" spans="1:21" ht="32.25" customHeight="1">
      <c r="A15" s="138">
        <v>6</v>
      </c>
      <c r="B15" s="139" t="s">
        <v>78</v>
      </c>
      <c r="C15" s="140">
        <v>8000</v>
      </c>
      <c r="D15" s="141"/>
      <c r="E15" s="142">
        <v>289060</v>
      </c>
      <c r="F15" s="143">
        <v>8000</v>
      </c>
      <c r="G15" s="144">
        <f t="shared" si="0"/>
        <v>422076</v>
      </c>
      <c r="H15" s="145">
        <f>16692+625+16497+625</f>
        <v>34439</v>
      </c>
      <c r="I15" s="146">
        <f>20986+625+625+21011</f>
        <v>43247</v>
      </c>
      <c r="J15" s="146">
        <f>16692+625+16497+625</f>
        <v>34439</v>
      </c>
      <c r="K15" s="146">
        <f aca="true" t="shared" si="2" ref="K15:S15">16692+625+16497+625</f>
        <v>34439</v>
      </c>
      <c r="L15" s="146">
        <f t="shared" si="2"/>
        <v>34439</v>
      </c>
      <c r="M15" s="146">
        <f t="shared" si="2"/>
        <v>34439</v>
      </c>
      <c r="N15" s="146">
        <f t="shared" si="2"/>
        <v>34439</v>
      </c>
      <c r="O15" s="146">
        <f t="shared" si="2"/>
        <v>34439</v>
      </c>
      <c r="P15" s="146">
        <f t="shared" si="2"/>
        <v>34439</v>
      </c>
      <c r="Q15" s="146">
        <f t="shared" si="2"/>
        <v>34439</v>
      </c>
      <c r="R15" s="146">
        <f t="shared" si="2"/>
        <v>34439</v>
      </c>
      <c r="S15" s="143">
        <f t="shared" si="2"/>
        <v>34439</v>
      </c>
      <c r="T15" s="137"/>
      <c r="U15" s="137"/>
    </row>
    <row r="16" spans="1:21" ht="24.75" customHeight="1" hidden="1">
      <c r="A16" s="138">
        <v>7</v>
      </c>
      <c r="B16" s="139" t="s">
        <v>60</v>
      </c>
      <c r="C16" s="140"/>
      <c r="D16" s="141"/>
      <c r="E16" s="142"/>
      <c r="F16" s="143"/>
      <c r="G16" s="144">
        <f t="shared" si="0"/>
        <v>0</v>
      </c>
      <c r="H16" s="14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3"/>
      <c r="T16" s="137"/>
      <c r="U16" s="137"/>
    </row>
    <row r="17" spans="1:21" ht="31.5" customHeight="1">
      <c r="A17" s="138">
        <v>7</v>
      </c>
      <c r="B17" s="139" t="s">
        <v>61</v>
      </c>
      <c r="C17" s="140">
        <v>229800</v>
      </c>
      <c r="D17" s="141"/>
      <c r="E17" s="142">
        <v>149100</v>
      </c>
      <c r="F17" s="143">
        <v>229800</v>
      </c>
      <c r="G17" s="144">
        <f t="shared" si="0"/>
        <v>530100</v>
      </c>
      <c r="H17" s="199">
        <v>38900</v>
      </c>
      <c r="I17" s="158">
        <v>70270</v>
      </c>
      <c r="J17" s="158">
        <v>41800</v>
      </c>
      <c r="K17" s="158">
        <v>38000</v>
      </c>
      <c r="L17" s="158">
        <v>38000</v>
      </c>
      <c r="M17" s="158">
        <v>38000</v>
      </c>
      <c r="N17" s="158">
        <v>44800</v>
      </c>
      <c r="O17" s="158">
        <v>38700</v>
      </c>
      <c r="P17" s="158">
        <v>38700</v>
      </c>
      <c r="Q17" s="158">
        <v>38700</v>
      </c>
      <c r="R17" s="158">
        <v>38700</v>
      </c>
      <c r="S17" s="49">
        <v>65530</v>
      </c>
      <c r="T17" s="137"/>
      <c r="U17" s="137"/>
    </row>
    <row r="18" spans="1:21" ht="34.5" customHeight="1">
      <c r="A18" s="138">
        <v>8</v>
      </c>
      <c r="B18" s="139" t="s">
        <v>68</v>
      </c>
      <c r="C18" s="140">
        <v>5323100</v>
      </c>
      <c r="D18" s="141"/>
      <c r="E18" s="142">
        <v>300000</v>
      </c>
      <c r="F18" s="143">
        <v>5323100</v>
      </c>
      <c r="G18" s="144">
        <f t="shared" si="0"/>
        <v>7598500</v>
      </c>
      <c r="H18" s="200">
        <v>605450</v>
      </c>
      <c r="I18" s="201">
        <v>776550</v>
      </c>
      <c r="J18" s="201">
        <v>605550</v>
      </c>
      <c r="K18" s="201">
        <v>605550</v>
      </c>
      <c r="L18" s="201">
        <v>655550</v>
      </c>
      <c r="M18" s="201">
        <v>616550</v>
      </c>
      <c r="N18" s="201">
        <v>605550</v>
      </c>
      <c r="O18" s="201">
        <v>605550</v>
      </c>
      <c r="P18" s="201">
        <v>605550</v>
      </c>
      <c r="Q18" s="201">
        <v>605550</v>
      </c>
      <c r="R18" s="201">
        <v>605550</v>
      </c>
      <c r="S18" s="50">
        <v>705550</v>
      </c>
      <c r="T18" s="137"/>
      <c r="U18" s="137"/>
    </row>
    <row r="19" spans="1:21" ht="21.75" customHeight="1" hidden="1">
      <c r="A19" s="138">
        <v>10</v>
      </c>
      <c r="B19" s="139" t="s">
        <v>62</v>
      </c>
      <c r="C19" s="140"/>
      <c r="D19" s="141"/>
      <c r="E19" s="142"/>
      <c r="F19" s="143"/>
      <c r="G19" s="144">
        <f t="shared" si="0"/>
        <v>0</v>
      </c>
      <c r="H19" s="145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3"/>
      <c r="T19" s="137"/>
      <c r="U19" s="137"/>
    </row>
    <row r="20" spans="1:21" ht="23.25" customHeight="1">
      <c r="A20" s="138">
        <v>9</v>
      </c>
      <c r="B20" s="139" t="s">
        <v>63</v>
      </c>
      <c r="C20" s="140"/>
      <c r="D20" s="141">
        <v>823450</v>
      </c>
      <c r="E20" s="142">
        <f>101865700-1230700-18459500</f>
        <v>82175500</v>
      </c>
      <c r="F20" s="143"/>
      <c r="G20" s="144">
        <f t="shared" si="0"/>
        <v>133843220</v>
      </c>
      <c r="H20" s="152">
        <v>9800000</v>
      </c>
      <c r="I20" s="153">
        <v>10300000</v>
      </c>
      <c r="J20" s="153">
        <v>14900000</v>
      </c>
      <c r="K20" s="153">
        <v>10800000</v>
      </c>
      <c r="L20" s="153">
        <v>10600000</v>
      </c>
      <c r="M20" s="153">
        <v>10507000</v>
      </c>
      <c r="N20" s="153">
        <v>10300000</v>
      </c>
      <c r="O20" s="153">
        <v>10260000</v>
      </c>
      <c r="P20" s="153">
        <v>10823000</v>
      </c>
      <c r="Q20" s="153">
        <v>10796200</v>
      </c>
      <c r="R20" s="153">
        <v>13760000</v>
      </c>
      <c r="S20" s="154">
        <v>10997020</v>
      </c>
      <c r="T20" s="137"/>
      <c r="U20" s="137"/>
    </row>
    <row r="21" spans="1:21" s="108" customFormat="1" ht="30.75" customHeight="1">
      <c r="A21" s="240">
        <v>10</v>
      </c>
      <c r="B21" s="185" t="s">
        <v>64</v>
      </c>
      <c r="C21" s="186"/>
      <c r="D21" s="187">
        <v>378850</v>
      </c>
      <c r="E21" s="188">
        <f>8354786-606686</f>
        <v>7748100</v>
      </c>
      <c r="F21" s="189"/>
      <c r="G21" s="190">
        <f t="shared" si="0"/>
        <v>13480500</v>
      </c>
      <c r="H21" s="191">
        <v>851666</v>
      </c>
      <c r="I21" s="192">
        <v>851666</v>
      </c>
      <c r="J21" s="192">
        <v>1151666</v>
      </c>
      <c r="K21" s="192">
        <v>871666</v>
      </c>
      <c r="L21" s="192">
        <v>871666</v>
      </c>
      <c r="M21" s="192">
        <v>871666</v>
      </c>
      <c r="N21" s="192">
        <v>830000</v>
      </c>
      <c r="O21" s="192">
        <v>830000</v>
      </c>
      <c r="P21" s="192">
        <v>2630000</v>
      </c>
      <c r="Q21" s="192">
        <v>1518666</v>
      </c>
      <c r="R21" s="192">
        <v>1372666</v>
      </c>
      <c r="S21" s="189">
        <v>829172</v>
      </c>
      <c r="T21" s="137"/>
      <c r="U21" s="193"/>
    </row>
    <row r="22" spans="1:21" ht="47.25" customHeight="1" thickBot="1">
      <c r="A22" s="283">
        <v>11</v>
      </c>
      <c r="B22" s="284" t="s">
        <v>65</v>
      </c>
      <c r="C22" s="140"/>
      <c r="D22" s="141">
        <v>14800</v>
      </c>
      <c r="E22" s="142">
        <v>1230700</v>
      </c>
      <c r="F22" s="143"/>
      <c r="G22" s="144">
        <f t="shared" si="0"/>
        <v>1394700</v>
      </c>
      <c r="H22" s="152">
        <v>90000</v>
      </c>
      <c r="I22" s="153">
        <v>90000</v>
      </c>
      <c r="J22" s="153">
        <v>145000</v>
      </c>
      <c r="K22" s="153">
        <f>100000+30000</f>
        <v>130000</v>
      </c>
      <c r="L22" s="153">
        <f>100000+40000</f>
        <v>140000</v>
      </c>
      <c r="M22" s="153">
        <f>90000+50000</f>
        <v>140000</v>
      </c>
      <c r="N22" s="153">
        <f>89700+40000</f>
        <v>129700</v>
      </c>
      <c r="O22" s="153">
        <f>90000+40000</f>
        <v>130000</v>
      </c>
      <c r="P22" s="153">
        <v>100000</v>
      </c>
      <c r="Q22" s="153">
        <v>100000</v>
      </c>
      <c r="R22" s="153">
        <v>100000</v>
      </c>
      <c r="S22" s="154">
        <v>100000</v>
      </c>
      <c r="U22" s="137"/>
    </row>
    <row r="23" spans="1:21" ht="21.75" customHeight="1" hidden="1">
      <c r="A23" s="138">
        <v>14</v>
      </c>
      <c r="B23" s="139" t="s">
        <v>66</v>
      </c>
      <c r="C23" s="140"/>
      <c r="D23" s="141"/>
      <c r="E23" s="142"/>
      <c r="F23" s="143"/>
      <c r="G23" s="144">
        <f t="shared" si="0"/>
        <v>0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3"/>
      <c r="U23" s="137"/>
    </row>
    <row r="24" spans="1:21" ht="19.5" customHeight="1" hidden="1">
      <c r="A24" s="138">
        <v>15</v>
      </c>
      <c r="B24" s="139" t="s">
        <v>67</v>
      </c>
      <c r="C24" s="140"/>
      <c r="D24" s="141"/>
      <c r="E24" s="142"/>
      <c r="F24" s="143"/>
      <c r="G24" s="144">
        <f t="shared" si="0"/>
        <v>0</v>
      </c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3"/>
      <c r="U24" s="137"/>
    </row>
    <row r="25" spans="1:21" ht="30" customHeight="1" hidden="1">
      <c r="A25" s="138">
        <v>16</v>
      </c>
      <c r="B25" s="219"/>
      <c r="C25" s="220"/>
      <c r="D25" s="221"/>
      <c r="E25" s="222"/>
      <c r="F25" s="223"/>
      <c r="G25" s="224">
        <f t="shared" si="0"/>
        <v>0</v>
      </c>
      <c r="H25" s="225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3"/>
      <c r="U25" s="137"/>
    </row>
    <row r="26" spans="1:21" s="147" customFormat="1" ht="30.75" customHeight="1" thickBot="1" thickTop="1">
      <c r="A26" s="232" t="s">
        <v>41</v>
      </c>
      <c r="B26" s="233" t="s">
        <v>14</v>
      </c>
      <c r="C26" s="227">
        <f>SUM(C10:C25)</f>
        <v>41260456</v>
      </c>
      <c r="D26" s="227">
        <f>SUM(D10:D25)</f>
        <v>259294700</v>
      </c>
      <c r="E26" s="228">
        <f>SUM(E10:E25)</f>
        <v>277522886</v>
      </c>
      <c r="F26" s="229">
        <f>SUM(F10:F25)</f>
        <v>31886900</v>
      </c>
      <c r="G26" s="227">
        <f>SUM(G10:G22)</f>
        <v>397537213</v>
      </c>
      <c r="H26" s="230">
        <f>SUM(H10:H22)</f>
        <v>24746544</v>
      </c>
      <c r="I26" s="231">
        <f aca="true" t="shared" si="3" ref="I26:S26">SUM(I10:I22)</f>
        <v>26477661</v>
      </c>
      <c r="J26" s="231">
        <f t="shared" si="3"/>
        <v>32774409</v>
      </c>
      <c r="K26" s="231">
        <f t="shared" si="3"/>
        <v>32400569</v>
      </c>
      <c r="L26" s="231">
        <f t="shared" si="3"/>
        <v>31030056</v>
      </c>
      <c r="M26" s="231">
        <f t="shared" si="3"/>
        <v>35101859</v>
      </c>
      <c r="N26" s="231">
        <f t="shared" si="3"/>
        <v>33720143</v>
      </c>
      <c r="O26" s="231">
        <f t="shared" si="3"/>
        <v>29893993</v>
      </c>
      <c r="P26" s="231">
        <f t="shared" si="3"/>
        <v>35626943</v>
      </c>
      <c r="Q26" s="231">
        <f t="shared" si="3"/>
        <v>40364569</v>
      </c>
      <c r="R26" s="231">
        <f t="shared" si="3"/>
        <v>39873605</v>
      </c>
      <c r="S26" s="229">
        <f t="shared" si="3"/>
        <v>35526862</v>
      </c>
      <c r="T26" s="148"/>
      <c r="U26" s="148"/>
    </row>
    <row r="27" spans="1:21" ht="13.5" thickTop="1">
      <c r="A27" s="149"/>
      <c r="E27" s="150"/>
      <c r="F27" s="150"/>
      <c r="G27" s="151"/>
      <c r="U27" s="137"/>
    </row>
    <row r="28" spans="6:20" ht="12.75">
      <c r="F28" s="150"/>
      <c r="G28" s="151"/>
      <c r="T28" s="137">
        <f>T26-G26</f>
        <v>-397537213</v>
      </c>
    </row>
    <row r="29" spans="2:7" ht="12.75">
      <c r="B29" s="106"/>
      <c r="E29" s="150"/>
      <c r="F29" s="150"/>
      <c r="G29" s="151"/>
    </row>
    <row r="30" spans="5:7" ht="12.75">
      <c r="E30" s="150"/>
      <c r="F30" s="150"/>
      <c r="G30" s="151"/>
    </row>
    <row r="31" spans="5:7" ht="12.75">
      <c r="E31" s="150"/>
      <c r="F31" s="150"/>
      <c r="G31" s="151"/>
    </row>
    <row r="32" spans="5:7" ht="12.75">
      <c r="E32" s="150"/>
      <c r="F32" s="150"/>
      <c r="G32" s="151"/>
    </row>
    <row r="33" spans="5:7" ht="12.75">
      <c r="E33" s="150"/>
      <c r="F33" s="150"/>
      <c r="G33" s="151"/>
    </row>
    <row r="34" spans="5:7" ht="12.75">
      <c r="E34" s="150"/>
      <c r="F34" s="150"/>
      <c r="G34" s="151"/>
    </row>
    <row r="35" spans="5:7" ht="12.75">
      <c r="E35" s="150"/>
      <c r="F35" s="150"/>
      <c r="G35" s="151"/>
    </row>
  </sheetData>
  <mergeCells count="1">
    <mergeCell ref="H7:S7"/>
  </mergeCells>
  <printOptions/>
  <pageMargins left="0.25" right="0.26" top="0.63" bottom="0.6" header="0.4" footer="0.5"/>
  <pageSetup firstPageNumber="3" useFirstPageNumber="1" horizontalDpi="300" verticalDpi="300" orientation="landscape" paperSize="9" scale="90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N5" sqref="N5"/>
    </sheetView>
  </sheetViews>
  <sheetFormatPr defaultColWidth="9.125" defaultRowHeight="12.75"/>
  <cols>
    <col min="1" max="1" width="4.625" style="2" customWidth="1"/>
    <col min="2" max="2" width="10.125" style="52" customWidth="1"/>
    <col min="3" max="3" width="9.125" style="52" customWidth="1"/>
    <col min="4" max="4" width="10.25390625" style="53" customWidth="1"/>
    <col min="5" max="5" width="10.125" style="2" customWidth="1"/>
    <col min="6" max="6" width="10.875" style="2" customWidth="1"/>
    <col min="7" max="7" width="10.75390625" style="2" customWidth="1"/>
    <col min="8" max="8" width="10.25390625" style="2" customWidth="1"/>
    <col min="9" max="9" width="10.125" style="48" customWidth="1"/>
    <col min="10" max="10" width="10.00390625" style="2" customWidth="1"/>
    <col min="11" max="11" width="9.875" style="48" customWidth="1"/>
    <col min="12" max="12" width="10.75390625" style="2" customWidth="1"/>
    <col min="13" max="13" width="10.375" style="2" customWidth="1"/>
    <col min="14" max="14" width="10.875" style="2" customWidth="1"/>
    <col min="15" max="15" width="11.125" style="2" customWidth="1"/>
    <col min="16" max="16" width="11.00390625" style="2" bestFit="1" customWidth="1"/>
    <col min="17" max="16384" width="9.125" style="2" customWidth="1"/>
  </cols>
  <sheetData>
    <row r="1" ht="12.75">
      <c r="N1" s="3" t="s">
        <v>42</v>
      </c>
    </row>
    <row r="2" ht="12.75">
      <c r="N2" s="4" t="s">
        <v>86</v>
      </c>
    </row>
    <row r="3" ht="12.75">
      <c r="N3" s="4" t="s">
        <v>17</v>
      </c>
    </row>
    <row r="4" ht="12.75">
      <c r="N4" s="4" t="s">
        <v>87</v>
      </c>
    </row>
    <row r="5" spans="1:16" s="57" customFormat="1" ht="16.5">
      <c r="A5" s="54" t="s">
        <v>85</v>
      </c>
      <c r="B5" s="55"/>
      <c r="C5" s="55"/>
      <c r="D5" s="56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ht="13.5" thickBot="1">
      <c r="P6" s="13" t="s">
        <v>39</v>
      </c>
    </row>
    <row r="7" spans="1:16" s="64" customFormat="1" ht="30" customHeight="1" thickTop="1">
      <c r="A7" s="58"/>
      <c r="B7" s="59"/>
      <c r="C7" s="60"/>
      <c r="D7" s="19" t="s">
        <v>18</v>
      </c>
      <c r="E7" s="61"/>
      <c r="F7" s="61"/>
      <c r="G7" s="17"/>
      <c r="H7" s="18"/>
      <c r="I7" s="62"/>
      <c r="J7" s="61"/>
      <c r="K7" s="61"/>
      <c r="L7" s="61"/>
      <c r="M7" s="63"/>
      <c r="N7" s="63"/>
      <c r="O7" s="63"/>
      <c r="P7" s="272" t="s">
        <v>84</v>
      </c>
    </row>
    <row r="8" spans="1:16" s="64" customFormat="1" ht="30" customHeight="1" thickBot="1">
      <c r="A8" s="65" t="s">
        <v>43</v>
      </c>
      <c r="B8" s="66" t="s">
        <v>44</v>
      </c>
      <c r="C8" s="67"/>
      <c r="D8" s="68" t="s">
        <v>1</v>
      </c>
      <c r="E8" s="69" t="s">
        <v>2</v>
      </c>
      <c r="F8" s="69" t="s">
        <v>3</v>
      </c>
      <c r="G8" s="69" t="s">
        <v>4</v>
      </c>
      <c r="H8" s="69" t="s">
        <v>5</v>
      </c>
      <c r="I8" s="69" t="s">
        <v>6</v>
      </c>
      <c r="J8" s="69" t="s">
        <v>7</v>
      </c>
      <c r="K8" s="69" t="s">
        <v>8</v>
      </c>
      <c r="L8" s="69" t="s">
        <v>9</v>
      </c>
      <c r="M8" s="69" t="s">
        <v>10</v>
      </c>
      <c r="N8" s="69" t="s">
        <v>11</v>
      </c>
      <c r="O8" s="70" t="s">
        <v>12</v>
      </c>
      <c r="P8" s="273"/>
    </row>
    <row r="9" spans="1:16" s="78" customFormat="1" ht="9.75" customHeight="1" thickBot="1" thickTop="1">
      <c r="A9" s="71">
        <v>1</v>
      </c>
      <c r="B9" s="72">
        <v>2</v>
      </c>
      <c r="C9" s="73"/>
      <c r="D9" s="74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75">
        <v>12</v>
      </c>
      <c r="N9" s="75">
        <v>13</v>
      </c>
      <c r="O9" s="76">
        <v>14</v>
      </c>
      <c r="P9" s="77">
        <v>15</v>
      </c>
    </row>
    <row r="10" spans="1:16" s="84" customFormat="1" ht="40.5" customHeight="1" thickTop="1">
      <c r="A10" s="79">
        <v>1</v>
      </c>
      <c r="B10" s="80" t="s">
        <v>45</v>
      </c>
      <c r="C10" s="81"/>
      <c r="D10" s="82">
        <f>'Zał 1'!C23</f>
        <v>24919283</v>
      </c>
      <c r="E10" s="82">
        <f>'Zał 1'!D23</f>
        <v>24700103</v>
      </c>
      <c r="F10" s="82">
        <f>'Zał 1'!E23</f>
        <v>37264848</v>
      </c>
      <c r="G10" s="82">
        <f>'Zał 1'!F23</f>
        <v>28775719</v>
      </c>
      <c r="H10" s="82">
        <f>'Zał 1'!G23</f>
        <v>27394437</v>
      </c>
      <c r="I10" s="82">
        <f>'Zał 1'!H23</f>
        <v>32695221</v>
      </c>
      <c r="J10" s="82">
        <f>'Zał 1'!I23</f>
        <v>28734204</v>
      </c>
      <c r="K10" s="82">
        <f>'Zał 1'!J23</f>
        <v>28623924</v>
      </c>
      <c r="L10" s="82">
        <f>'Zał 1'!K23</f>
        <v>35420467</v>
      </c>
      <c r="M10" s="82">
        <f>'Zał 1'!L23</f>
        <v>28324454</v>
      </c>
      <c r="N10" s="82">
        <f>'Zał 1'!M23</f>
        <v>29328747</v>
      </c>
      <c r="O10" s="82">
        <f>'Zał 1'!N23</f>
        <v>25328906</v>
      </c>
      <c r="P10" s="83">
        <f>SUM(D10:O10)</f>
        <v>351510313</v>
      </c>
    </row>
    <row r="11" spans="1:16" s="84" customFormat="1" ht="42" customHeight="1" thickBot="1">
      <c r="A11" s="85">
        <v>2</v>
      </c>
      <c r="B11" s="86" t="s">
        <v>46</v>
      </c>
      <c r="C11" s="87"/>
      <c r="D11" s="88">
        <f>'Zał 2'!H26</f>
        <v>24746544</v>
      </c>
      <c r="E11" s="88">
        <f>'Zał 2'!I26</f>
        <v>26477661</v>
      </c>
      <c r="F11" s="88">
        <f>'Zał 2'!J26</f>
        <v>32774409</v>
      </c>
      <c r="G11" s="88">
        <f>'Zał 2'!K26</f>
        <v>32400569</v>
      </c>
      <c r="H11" s="88">
        <f>'Zał 2'!L26</f>
        <v>31030056</v>
      </c>
      <c r="I11" s="88">
        <f>'Zał 2'!M26</f>
        <v>35101859</v>
      </c>
      <c r="J11" s="88">
        <f>'Zał 2'!N26</f>
        <v>33720143</v>
      </c>
      <c r="K11" s="88">
        <f>'Zał 2'!O26</f>
        <v>29893993</v>
      </c>
      <c r="L11" s="88">
        <f>'Zał 2'!P26</f>
        <v>35626943</v>
      </c>
      <c r="M11" s="88">
        <f>'Zał 2'!Q26</f>
        <v>40364569</v>
      </c>
      <c r="N11" s="88">
        <f>'Zał 2'!R26</f>
        <v>39873605</v>
      </c>
      <c r="O11" s="88">
        <f>'Zał 2'!S26</f>
        <v>35526862</v>
      </c>
      <c r="P11" s="89">
        <f>SUM(D11:O11)</f>
        <v>397537213</v>
      </c>
    </row>
    <row r="12" spans="1:16" s="84" customFormat="1" ht="32.25" customHeight="1" thickBot="1" thickTop="1">
      <c r="A12" s="248">
        <v>3</v>
      </c>
      <c r="B12" s="274" t="s">
        <v>71</v>
      </c>
      <c r="C12" s="275"/>
      <c r="D12" s="249">
        <f>D10-D11</f>
        <v>172739</v>
      </c>
      <c r="E12" s="250">
        <f aca="true" t="shared" si="0" ref="E12:O12">E10-E11</f>
        <v>-1777558</v>
      </c>
      <c r="F12" s="250">
        <f t="shared" si="0"/>
        <v>4490439</v>
      </c>
      <c r="G12" s="250">
        <f t="shared" si="0"/>
        <v>-3624850</v>
      </c>
      <c r="H12" s="250">
        <f t="shared" si="0"/>
        <v>-3635619</v>
      </c>
      <c r="I12" s="250">
        <f t="shared" si="0"/>
        <v>-2406638</v>
      </c>
      <c r="J12" s="250">
        <f t="shared" si="0"/>
        <v>-4985939</v>
      </c>
      <c r="K12" s="250">
        <f t="shared" si="0"/>
        <v>-1270069</v>
      </c>
      <c r="L12" s="250">
        <f t="shared" si="0"/>
        <v>-206476</v>
      </c>
      <c r="M12" s="250">
        <f t="shared" si="0"/>
        <v>-12040115</v>
      </c>
      <c r="N12" s="250">
        <f t="shared" si="0"/>
        <v>-10544858</v>
      </c>
      <c r="O12" s="251">
        <f t="shared" si="0"/>
        <v>-10197956</v>
      </c>
      <c r="P12" s="252">
        <f>P10-P11</f>
        <v>-46026900</v>
      </c>
    </row>
    <row r="13" spans="1:16" s="64" customFormat="1" ht="40.5" customHeight="1" hidden="1">
      <c r="A13" s="241">
        <v>4</v>
      </c>
      <c r="B13" s="242" t="s">
        <v>47</v>
      </c>
      <c r="C13" s="243"/>
      <c r="D13" s="244">
        <f>D12</f>
        <v>172739</v>
      </c>
      <c r="E13" s="245">
        <f>D12+E12</f>
        <v>-1604819</v>
      </c>
      <c r="F13" s="245">
        <f>E13+F12</f>
        <v>2885620</v>
      </c>
      <c r="G13" s="245">
        <f aca="true" t="shared" si="1" ref="G13:O13">F13+G12</f>
        <v>-739230</v>
      </c>
      <c r="H13" s="245">
        <f t="shared" si="1"/>
        <v>-4374849</v>
      </c>
      <c r="I13" s="245">
        <f t="shared" si="1"/>
        <v>-6781487</v>
      </c>
      <c r="J13" s="245">
        <f t="shared" si="1"/>
        <v>-11767426</v>
      </c>
      <c r="K13" s="245">
        <f t="shared" si="1"/>
        <v>-13037495</v>
      </c>
      <c r="L13" s="245">
        <f t="shared" si="1"/>
        <v>-13243971</v>
      </c>
      <c r="M13" s="245">
        <f t="shared" si="1"/>
        <v>-25284086</v>
      </c>
      <c r="N13" s="245">
        <f t="shared" si="1"/>
        <v>-35828944</v>
      </c>
      <c r="O13" s="246">
        <f t="shared" si="1"/>
        <v>-46026900</v>
      </c>
      <c r="P13" s="247"/>
    </row>
    <row r="14" spans="1:16" s="99" customFormat="1" ht="36" customHeight="1" thickTop="1">
      <c r="A14" s="155">
        <v>4</v>
      </c>
      <c r="B14" s="276" t="s">
        <v>70</v>
      </c>
      <c r="C14" s="271"/>
      <c r="D14" s="96"/>
      <c r="E14" s="97"/>
      <c r="F14" s="97">
        <v>-2243275</v>
      </c>
      <c r="G14" s="97"/>
      <c r="H14" s="97"/>
      <c r="I14" s="97">
        <v>-2243275</v>
      </c>
      <c r="J14" s="97"/>
      <c r="K14" s="97"/>
      <c r="L14" s="97">
        <v>-2243275</v>
      </c>
      <c r="M14" s="97"/>
      <c r="N14" s="97"/>
      <c r="O14" s="97">
        <v>-2243275</v>
      </c>
      <c r="P14" s="98">
        <f>SUM(F14:O14)</f>
        <v>-8973100</v>
      </c>
    </row>
    <row r="15" spans="1:16" s="238" customFormat="1" ht="26.25" customHeight="1">
      <c r="A15" s="234">
        <v>5</v>
      </c>
      <c r="B15" s="276" t="s">
        <v>72</v>
      </c>
      <c r="C15" s="277"/>
      <c r="D15" s="235">
        <f aca="true" t="shared" si="2" ref="D15:P15">D14+D12</f>
        <v>172739</v>
      </c>
      <c r="E15" s="235">
        <f t="shared" si="2"/>
        <v>-1777558</v>
      </c>
      <c r="F15" s="235">
        <f t="shared" si="2"/>
        <v>2247164</v>
      </c>
      <c r="G15" s="235">
        <f t="shared" si="2"/>
        <v>-3624850</v>
      </c>
      <c r="H15" s="235">
        <f t="shared" si="2"/>
        <v>-3635619</v>
      </c>
      <c r="I15" s="235">
        <f t="shared" si="2"/>
        <v>-4649913</v>
      </c>
      <c r="J15" s="235">
        <f t="shared" si="2"/>
        <v>-4985939</v>
      </c>
      <c r="K15" s="235">
        <f t="shared" si="2"/>
        <v>-1270069</v>
      </c>
      <c r="L15" s="235">
        <f t="shared" si="2"/>
        <v>-2449751</v>
      </c>
      <c r="M15" s="235">
        <f t="shared" si="2"/>
        <v>-12040115</v>
      </c>
      <c r="N15" s="235">
        <f t="shared" si="2"/>
        <v>-10544858</v>
      </c>
      <c r="O15" s="236">
        <f t="shared" si="2"/>
        <v>-12441231</v>
      </c>
      <c r="P15" s="237">
        <f t="shared" si="2"/>
        <v>-55000000</v>
      </c>
    </row>
    <row r="16" spans="1:16" s="64" customFormat="1" ht="27.75" customHeight="1">
      <c r="A16" s="90">
        <v>6</v>
      </c>
      <c r="B16" s="270" t="s">
        <v>48</v>
      </c>
      <c r="C16" s="27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94">
        <f>SUM(P17:P18)</f>
        <v>55000000</v>
      </c>
    </row>
    <row r="17" spans="1:16" s="99" customFormat="1" ht="38.25" customHeight="1">
      <c r="A17" s="95"/>
      <c r="B17" s="207" t="s">
        <v>49</v>
      </c>
      <c r="C17" s="208">
        <v>20000000</v>
      </c>
      <c r="D17" s="156">
        <f>C17+D12</f>
        <v>20172739</v>
      </c>
      <c r="E17" s="209">
        <f>D17+E12</f>
        <v>18395181</v>
      </c>
      <c r="F17" s="209">
        <f>E17+F14+F12</f>
        <v>20642345</v>
      </c>
      <c r="G17" s="209">
        <f>F17+G12</f>
        <v>17017495</v>
      </c>
      <c r="H17" s="209">
        <f>G17+H12</f>
        <v>13381876</v>
      </c>
      <c r="I17" s="209">
        <f>H17+I12+I14</f>
        <v>8731963</v>
      </c>
      <c r="J17" s="209">
        <f>I17+J12+J14</f>
        <v>3746024</v>
      </c>
      <c r="K17" s="209">
        <f>J17+K12+K14</f>
        <v>2475955</v>
      </c>
      <c r="L17" s="209">
        <f>K17+L12+L14</f>
        <v>26204</v>
      </c>
      <c r="M17" s="209"/>
      <c r="N17" s="209"/>
      <c r="O17" s="210"/>
      <c r="P17" s="211">
        <f>C17</f>
        <v>20000000</v>
      </c>
    </row>
    <row r="18" spans="1:16" s="99" customFormat="1" ht="39.75" customHeight="1" thickBot="1">
      <c r="A18" s="100"/>
      <c r="B18" s="157" t="s">
        <v>50</v>
      </c>
      <c r="C18" s="206">
        <v>35000000</v>
      </c>
      <c r="D18" s="101"/>
      <c r="E18" s="102"/>
      <c r="F18" s="102"/>
      <c r="G18" s="102"/>
      <c r="H18" s="102"/>
      <c r="I18" s="102"/>
      <c r="J18" s="102"/>
      <c r="K18" s="102"/>
      <c r="L18" s="102"/>
      <c r="M18" s="102">
        <f>L17+M15</f>
        <v>-12013911</v>
      </c>
      <c r="N18" s="102">
        <f>N15</f>
        <v>-10544858</v>
      </c>
      <c r="O18" s="102">
        <f>O15</f>
        <v>-12441231</v>
      </c>
      <c r="P18" s="103">
        <f>C18</f>
        <v>35000000</v>
      </c>
    </row>
    <row r="19" ht="13.5" thickTop="1"/>
    <row r="21" ht="12.75">
      <c r="O21" s="2" t="s">
        <v>41</v>
      </c>
    </row>
  </sheetData>
  <mergeCells count="5">
    <mergeCell ref="B16:C16"/>
    <mergeCell ref="P7:P8"/>
    <mergeCell ref="B12:C12"/>
    <mergeCell ref="B14:C14"/>
    <mergeCell ref="B15:C15"/>
  </mergeCells>
  <printOptions horizontalCentered="1"/>
  <pageMargins left="0.2362204724409449" right="0.26" top="0.984251968503937" bottom="0.984251968503937" header="0.5118110236220472" footer="0.5118110236220472"/>
  <pageSetup firstPageNumber="4" useFirstPageNumber="1" horizontalDpi="300" verticalDpi="300" orientation="landscape" paperSize="9" scale="90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2009-01-30T11:21:59Z</cp:lastPrinted>
  <dcterms:created xsi:type="dcterms:W3CDTF">2008-01-22T13:00:43Z</dcterms:created>
  <dcterms:modified xsi:type="dcterms:W3CDTF">2009-02-05T13:36:24Z</dcterms:modified>
  <cp:category/>
  <cp:version/>
  <cp:contentType/>
  <cp:contentStatus/>
</cp:coreProperties>
</file>