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<sst xmlns="http://schemas.openxmlformats.org/spreadsheetml/2006/main" count="1237" uniqueCount="506">
  <si>
    <t xml:space="preserve">      Załącznik nr  1   do Zarządzenia</t>
  </si>
  <si>
    <t xml:space="preserve">      Nr   266 / 1665 / 05</t>
  </si>
  <si>
    <t xml:space="preserve">      Prezydenta Miasta Koszlina</t>
  </si>
  <si>
    <t xml:space="preserve">      z dnia  9 lutego 2005 r.      </t>
  </si>
  <si>
    <t>HARMONOGRAM  PLANU  DOCHODÓW  MIASTA  KOSZALINA  NA 2005 ROK</t>
  </si>
  <si>
    <t xml:space="preserve">               według  klasyfikacji budżetowej</t>
  </si>
  <si>
    <t xml:space="preserve"> w złotych</t>
  </si>
  <si>
    <t xml:space="preserve">Dział </t>
  </si>
  <si>
    <t>Realizu         jący</t>
  </si>
  <si>
    <t>Plan</t>
  </si>
  <si>
    <t xml:space="preserve">                             miesiące</t>
  </si>
  <si>
    <t>rozdz. §</t>
  </si>
  <si>
    <t>Wyszczególnienie</t>
  </si>
  <si>
    <t>dochody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</si>
  <si>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</si>
  <si>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</si>
  <si>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</si>
  <si>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</si>
  <si>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</si>
  <si>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</si>
  <si>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</si>
  <si>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</si>
  <si>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</si>
  <si>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</si>
  <si>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</si>
  <si>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</si>
  <si>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600</t>
  </si>
  <si>
    <t>TRANSPORT I ŁĄCZNOŚC</t>
  </si>
  <si>
    <t>60004</t>
  </si>
  <si>
    <t>Lokalny transport zbiorowy</t>
  </si>
  <si>
    <t>2310</t>
  </si>
  <si>
    <t xml:space="preserve">Dotacje celowe otrzymane z gminy na zadania bieżące realizowane na podstawie porozumień (umów) między jst </t>
  </si>
  <si>
    <t>60015</t>
  </si>
  <si>
    <t>Drogi publiczne w miastach na prawach powiatu-bez dróg gminnych</t>
  </si>
  <si>
    <t>0580</t>
  </si>
  <si>
    <t>Grzywny i inne kary pieniężne od osób prawnych i innych jednostek organizacyjnych</t>
  </si>
  <si>
    <t>0970</t>
  </si>
  <si>
    <t>Wpływy z różnych dochodów</t>
  </si>
  <si>
    <t>6291</t>
  </si>
  <si>
    <t>Środki na dofinansowanie własnych inwestycji gmin, powiatów,samorządów województw, pozyskane z innych źródeł</t>
  </si>
  <si>
    <t>6438</t>
  </si>
  <si>
    <t>Dotacje celowe orzymane z budżetu państwa na realizacje inwestycji i zakupów inwestycyjnych własnych powiatu</t>
  </si>
  <si>
    <t>60016</t>
  </si>
  <si>
    <t>Drogi publiczne gminne</t>
  </si>
  <si>
    <t>ZDM</t>
  </si>
  <si>
    <t xml:space="preserve">Wpływy z różnych dochodów </t>
  </si>
  <si>
    <t>700</t>
  </si>
  <si>
    <t xml:space="preserve">GOSPODARKA MIESZKANIOWA </t>
  </si>
  <si>
    <t>70005</t>
  </si>
  <si>
    <t>Gospodarka gruntami i nieruchomościami</t>
  </si>
  <si>
    <t>N, Fk</t>
  </si>
  <si>
    <t>0470</t>
  </si>
  <si>
    <t xml:space="preserve">Wpływy z opłat za zarząd, użytkowanie i użytkowanie wieczyste nieruchomości  </t>
  </si>
  <si>
    <t>Fk</t>
  </si>
  <si>
    <t>0690</t>
  </si>
  <si>
    <r>
      <t xml:space="preserve">Wpływy z różnych opłat </t>
    </r>
    <r>
      <rPr>
        <sz val="8"/>
        <rFont val="Times New Roman CE"/>
        <family val="1"/>
      </rPr>
      <t>(adiacenckie, za zajęcie nieruchomości, za nieterminową zabudowę, za służebność, za bezumowne korzystanie)</t>
    </r>
  </si>
  <si>
    <t>N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</si>
  <si>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</si>
  <si>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</si>
  <si>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wpływy bieżące</t>
  </si>
  <si>
    <t>windykacja zaległości</t>
  </si>
  <si>
    <t>0760</t>
  </si>
  <si>
    <t>Wpływy z tytułu przekształcenia prawa użytkowania wieczystego przysługujacego osobom fizycznym w prawo własności</t>
  </si>
  <si>
    <t>0770</t>
  </si>
  <si>
    <t xml:space="preserve">Wpłaty z tytułu odpłatnego nabycia prawa własności nieruchomości </t>
  </si>
  <si>
    <r>
      <t xml:space="preserve">Wpływy z różnych dochodów </t>
    </r>
    <r>
      <rPr>
        <sz val="8"/>
        <rFont val="Times New Roman CE"/>
        <family val="1"/>
      </rPr>
      <t>(zwrot kosztów przygotowania nieruchomości do zbycia)</t>
    </r>
  </si>
  <si>
    <t>2110</t>
  </si>
  <si>
    <t>Dotacje celowe otrzymane z budżetu państwa na zadania  bieżące z zakresu administracji rządowej  oraz inne zadania zlecone ustawami realizowane przez powiat</t>
  </si>
  <si>
    <t>Budżet państwa</t>
  </si>
  <si>
    <t>DZIAŁALNOŚĆ  USŁUGOWA</t>
  </si>
  <si>
    <t>71004</t>
  </si>
  <si>
    <t>Plany zagospodarowania przestrzennego</t>
  </si>
  <si>
    <t>Prace geodezyjne i kartograficzne</t>
  </si>
  <si>
    <t>71014</t>
  </si>
  <si>
    <t>Opracowania geodezyjne i kartograficzne</t>
  </si>
  <si>
    <t>71015</t>
  </si>
  <si>
    <t>Nadzór budowlany</t>
  </si>
  <si>
    <t>6410</t>
  </si>
  <si>
    <t>Dotacje celowe otrzymane z budżetu państwa na inwestycje i zakupy inwestycyjne z zakresu administracji rządowej oraz inne zadania zlecone ustawami realizowane przez powiat</t>
  </si>
  <si>
    <t>71035</t>
  </si>
  <si>
    <t>Cmentarze</t>
  </si>
  <si>
    <r>
      <t>Dochody z najmu i dzierżawy składników majątkowych Skarbu Państwa, jednostek samorządu terytorialnego lub innych jednostek zaliczanych do sektora finansów publicznych oraz innych umów o podobnym charakterze-</t>
    </r>
    <r>
      <rPr>
        <sz val="8"/>
        <rFont val="Times New Roman CE"/>
        <family val="1"/>
      </rPr>
      <t>opłata cementarna</t>
    </r>
  </si>
  <si>
    <t>Oś</t>
  </si>
  <si>
    <t>2020</t>
  </si>
  <si>
    <t>Dotacje celowe otrzymane z budżetu państwa na zadania  bieżące realizowane przez gminę na podstawie porozumień z organami administracji rządowej</t>
  </si>
  <si>
    <t>71095</t>
  </si>
  <si>
    <t>Pozostała działalność</t>
  </si>
  <si>
    <t>2700</t>
  </si>
  <si>
    <t>Środki na dofinansowanie własnych zadań  bieżących gmin,powiatów,samorządów województw,pozyskane z innych źródeł</t>
  </si>
  <si>
    <t>750</t>
  </si>
  <si>
    <t>ADMINISTRACJA  PUBLICZNA</t>
  </si>
  <si>
    <t>75011</t>
  </si>
  <si>
    <t>Urzędy wojewódzkie</t>
  </si>
  <si>
    <t>Wpływy z różnych opłat</t>
  </si>
  <si>
    <t>2010</t>
  </si>
  <si>
    <t>Dotacje celowe przekazane z budżetu państwa na realizację zadań bieżących z zakresu administracji rządowej oraz innych zadań zleconych gminie ustawami</t>
  </si>
  <si>
    <t>75020</t>
  </si>
  <si>
    <t>Starostwa powiatowe</t>
  </si>
  <si>
    <t>0420</t>
  </si>
  <si>
    <t>Wpływy z opłaty komunikacyjnej</t>
  </si>
  <si>
    <t>Km</t>
  </si>
  <si>
    <r>
      <t>Wpływy z różnych opłat</t>
    </r>
    <r>
      <rPr>
        <sz val="8"/>
        <rFont val="Times New Roman CE"/>
        <family val="1"/>
      </rPr>
      <t xml:space="preserve"> (za karty wędkarskie)</t>
    </r>
  </si>
  <si>
    <t>75023</t>
  </si>
  <si>
    <t>Urzędy gmin</t>
  </si>
  <si>
    <r>
      <t xml:space="preserve">Wpływy z różnych opłat  </t>
    </r>
    <r>
      <rPr>
        <sz val="8"/>
        <rFont val="Times New Roman CE"/>
        <family val="1"/>
      </rPr>
      <t>(za czynności egzekucyjne)</t>
    </r>
  </si>
  <si>
    <r>
      <t xml:space="preserve">Wpływy z usług </t>
    </r>
    <r>
      <rPr>
        <sz val="8"/>
        <rFont val="Times New Roman CE"/>
        <family val="1"/>
      </rPr>
      <t>(wpływy z wynajmu pomieszczeń)</t>
    </r>
  </si>
  <si>
    <t>AG</t>
  </si>
  <si>
    <t>0840</t>
  </si>
  <si>
    <t>Wpływy ze sprzedaży wyrobów i składników majątkowych</t>
  </si>
  <si>
    <r>
      <t xml:space="preserve">Wpływy z różnych dochodów </t>
    </r>
    <r>
      <rPr>
        <sz val="8"/>
        <rFont val="Times New Roman CE"/>
        <family val="1"/>
      </rPr>
      <t xml:space="preserve"> (koszty upomnień)</t>
    </r>
  </si>
  <si>
    <t>75045</t>
  </si>
  <si>
    <t>Komisje poborowe</t>
  </si>
  <si>
    <t>2120</t>
  </si>
  <si>
    <t>Dotacje celowe otrzymane z budżetu państwa na zadania  bieżące realizowane przez powiat  na podstawie porozumień z organami administracji rządowej</t>
  </si>
  <si>
    <t>75095</t>
  </si>
  <si>
    <t>0570</t>
  </si>
  <si>
    <t>Grzywny, mandaty i inne kary pieniężne od ludności</t>
  </si>
  <si>
    <t>SM</t>
  </si>
  <si>
    <r>
      <t xml:space="preserve">Wpływy z różnych opłat </t>
    </r>
    <r>
      <rPr>
        <sz val="8"/>
        <rFont val="Times New Roman CE"/>
        <family val="1"/>
      </rPr>
      <t xml:space="preserve"> (opłata prolongacyjna)</t>
    </r>
  </si>
  <si>
    <r>
      <t xml:space="preserve">Wpływy z różnych opłat  </t>
    </r>
    <r>
      <rPr>
        <sz val="8"/>
        <rFont val="Times New Roman CE"/>
        <family val="1"/>
      </rPr>
      <t>(opłata za wpis do ewidencji gospodarczej)</t>
    </r>
  </si>
  <si>
    <t>PR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</si>
  <si>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</si>
  <si>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</si>
  <si>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</si>
  <si>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</si>
  <si>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</si>
  <si>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 oraz referenda gminne, powiatowe i wojewódzkie</t>
  </si>
  <si>
    <t>201</t>
  </si>
  <si>
    <t>75113</t>
  </si>
  <si>
    <t>Wybory do Parlamentu Europejskiego</t>
  </si>
  <si>
    <t>Dotacje celowe przekazane z budżetu państwa na realizację zadań bieżących z zakresu administracji rządowej zleconych gminom</t>
  </si>
  <si>
    <t>752</t>
  </si>
  <si>
    <t>OBRONA NARODOWA</t>
  </si>
  <si>
    <t>75212</t>
  </si>
  <si>
    <t>Pozostałe wydatki obronne</t>
  </si>
  <si>
    <t>754</t>
  </si>
  <si>
    <t>BEZPIECZEŃSTWO PUBLICZNE  I OCHRONA PRZECIWPOŻAROWA</t>
  </si>
  <si>
    <t>75411</t>
  </si>
  <si>
    <t>Komendy Powiatowe Państwowej Straży Pożarnej</t>
  </si>
  <si>
    <t>75414</t>
  </si>
  <si>
    <t>Obrona cywilna</t>
  </si>
  <si>
    <t>756</t>
  </si>
  <si>
    <t>DOCHODY OD OSÓB PRAWNYCH, OD OSÓB  FIZYCZNYCH I OD INNYCH JEDNOSTEK NIE POSIADAJĄCYCH OSOBOWOŚCI PRAWNEJ</t>
  </si>
  <si>
    <t>75601</t>
  </si>
  <si>
    <t>Wpływy z podatku dochodowego od osób fizycznych</t>
  </si>
  <si>
    <t>Urząd Skarbowy</t>
  </si>
  <si>
    <t>0350</t>
  </si>
  <si>
    <t>Podatek od działalności gospodarczej osób fizycznych, opłacanych w formie karty podatkowej</t>
  </si>
  <si>
    <t>75615</t>
  </si>
  <si>
    <t>Wpływy z podatku rolnego, podatku leśnego, podatku od czynności cywilnoprawnych, podatku od spadków i darowizn oraz podatków i opłat lokalnych</t>
  </si>
  <si>
    <t>0310</t>
  </si>
  <si>
    <t xml:space="preserve">Podatek od nieruchomości </t>
  </si>
  <si>
    <t>Fn</t>
  </si>
  <si>
    <t>0320</t>
  </si>
  <si>
    <t>Podatek rolny</t>
  </si>
  <si>
    <t>0330</t>
  </si>
  <si>
    <t>Podatek leśny</t>
  </si>
  <si>
    <t>0340</t>
  </si>
  <si>
    <t>Podatek od środków transportowych</t>
  </si>
  <si>
    <t>0490</t>
  </si>
  <si>
    <t>Wpływy z innych lokalnych opłat</t>
  </si>
  <si>
    <t>0500</t>
  </si>
  <si>
    <t>Podatek od czynności cywilnoprawnych</t>
  </si>
  <si>
    <t>75616</t>
  </si>
  <si>
    <t>Wpływy z podatku rolnego, podatku leśnego, podatku od czynności cywilnoprawnych,podatku od spadków i darowizn oraz podatków i opłat lokalnych</t>
  </si>
  <si>
    <t>0360</t>
  </si>
  <si>
    <t>Podatek od spadków i darowizn</t>
  </si>
  <si>
    <t>0430</t>
  </si>
  <si>
    <t>Wpływy z opłaty targowej</t>
  </si>
  <si>
    <t>0560</t>
  </si>
  <si>
    <t>Zaległości z podatków zniesionych</t>
  </si>
  <si>
    <t>2440</t>
  </si>
  <si>
    <t>Dotacje otrzymane z funduszy celowych na realizację zadań bieżących jednostek sektora finansów publicznych</t>
  </si>
  <si>
    <t>75618</t>
  </si>
  <si>
    <t>Wpływy z innych opłat stanowiących dochody jednostek samorządu terytorialnego na podstawie ustaw</t>
  </si>
  <si>
    <t>0410</t>
  </si>
  <si>
    <t>Wpływy z opłaty skarbowej</t>
  </si>
  <si>
    <t>0450</t>
  </si>
  <si>
    <t>Wpływy z opłaty administracyjnej za czynności urzędowe</t>
  </si>
  <si>
    <t>0480</t>
  </si>
  <si>
    <t>Wpływy z opłat za zezwolenie na sprzedaż alkoholu</t>
  </si>
  <si>
    <r>
      <t xml:space="preserve">Wpływy z innych lokalnych opłat pobieranyvch przez jednostki samorządu terytorialnego na podstawie odrębnych ustaw </t>
    </r>
    <r>
      <rPr>
        <sz val="8"/>
        <rFont val="Times New Roman CE"/>
        <family val="1"/>
      </rPr>
      <t>( za licencje na przewóz osób i rzeczy)</t>
    </r>
  </si>
  <si>
    <t>75619</t>
  </si>
  <si>
    <t>Wpływy z różnych rozliczeń</t>
  </si>
  <si>
    <t>0130</t>
  </si>
  <si>
    <r>
      <t>Wpływy z opłaty restrukturyzacyjnej</t>
    </r>
    <r>
      <rPr>
        <i/>
        <sz val="6"/>
        <rFont val="Times New Roman CE"/>
        <family val="1"/>
      </rPr>
      <t xml:space="preserve"> </t>
    </r>
  </si>
  <si>
    <t>0910</t>
  </si>
  <si>
    <t>Odsetki od nieterminowych wpłat  z tytułu podatków i opłat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</si>
  <si>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</si>
  <si>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</si>
  <si>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</si>
  <si>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</si>
  <si>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</si>
  <si>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</si>
  <si>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75622</t>
  </si>
  <si>
    <t>Udziały  powiatów  w podatkach stanowiących dochód budżetu państwa</t>
  </si>
  <si>
    <t>75624</t>
  </si>
  <si>
    <t>Dywidendy</t>
  </si>
  <si>
    <t>0740</t>
  </si>
  <si>
    <t>Dywidendy i kwoty uuzyskane ze zbycia praw majątkowych</t>
  </si>
  <si>
    <t>758</t>
  </si>
  <si>
    <t>RÓŻNE ROZLICZENIA</t>
  </si>
  <si>
    <t>75801</t>
  </si>
  <si>
    <t xml:space="preserve">Część oświatowa subwencji ogólnej </t>
  </si>
  <si>
    <t>2920</t>
  </si>
  <si>
    <t>Subwencje ogólne z budżetu państwa</t>
  </si>
  <si>
    <t>75831</t>
  </si>
  <si>
    <t xml:space="preserve">Część równoważąca subwencji ogólnej dla gmin </t>
  </si>
  <si>
    <t>75832</t>
  </si>
  <si>
    <t xml:space="preserve">Część równoważąca subwencji ogólnej dla powiatu </t>
  </si>
  <si>
    <t>75814</t>
  </si>
  <si>
    <t>Różne rozliczenia finansowe</t>
  </si>
  <si>
    <r>
      <t xml:space="preserve">Podatek od działalności gospodarczej osób fizycznych, opłacanych w formie </t>
    </r>
    <r>
      <rPr>
        <b/>
        <sz val="9"/>
        <rFont val="Times New Roman CE"/>
        <family val="1"/>
      </rPr>
      <t>karty podatkowej</t>
    </r>
  </si>
  <si>
    <t>Podatek od czynności cywilno-prawnych</t>
  </si>
  <si>
    <t xml:space="preserve">Odsetki od nieterminowych wpłat z tytułu podatków i opłat </t>
  </si>
  <si>
    <t>E</t>
  </si>
  <si>
    <t>0920</t>
  </si>
  <si>
    <r>
      <t xml:space="preserve">Pozostałe odsetki  </t>
    </r>
    <r>
      <rPr>
        <sz val="8"/>
        <rFont val="Times New Roman CE"/>
        <family val="1"/>
      </rPr>
      <t>(od środków na rachunku bankowym  Urzędu  Miejskiego)</t>
    </r>
  </si>
  <si>
    <r>
      <t xml:space="preserve">Wpływy z różnych dochodów  </t>
    </r>
    <r>
      <rPr>
        <sz val="7.5"/>
        <rFont val="Times New Roman CE"/>
        <family val="1"/>
      </rPr>
      <t>( szkoły  za rozliczenia  z  ZUS  i  U.S.)</t>
    </r>
  </si>
  <si>
    <t>801</t>
  </si>
  <si>
    <t>OŚWIATA I WYCHOWANIE</t>
  </si>
  <si>
    <t>80101</t>
  </si>
  <si>
    <t>Szkoły podstawowe</t>
  </si>
  <si>
    <r>
      <t xml:space="preserve">Wpływy z różnych opłat </t>
    </r>
    <r>
      <rPr>
        <sz val="8"/>
        <rFont val="Times New Roman CE"/>
        <family val="1"/>
      </rPr>
      <t>(za legitymacje i inne druki)</t>
    </r>
  </si>
  <si>
    <t>2030</t>
  </si>
  <si>
    <t>Dotacje celowe przekazane z budzetu państwa na realizacją własnych zadań bieżących gmin</t>
  </si>
  <si>
    <t>80102</t>
  </si>
  <si>
    <t>Szkoły podstawowe specjalne</t>
  </si>
  <si>
    <t>Dochody z najmu i dzierżawy składników majątkowych skarbu państwa lub jednostek samorządu terytorialnego  oraz innych umów o podobnym charakterze</t>
  </si>
  <si>
    <t>80110</t>
  </si>
  <si>
    <t>Gimnazja</t>
  </si>
  <si>
    <r>
      <t xml:space="preserve">Wpływy z różnych dochodów </t>
    </r>
    <r>
      <rPr>
        <sz val="8"/>
        <rFont val="Times New Roman CE"/>
        <family val="1"/>
      </rPr>
      <t xml:space="preserve"> (za legitymacje)</t>
    </r>
  </si>
  <si>
    <t>80120</t>
  </si>
  <si>
    <t>Licea   ogólnokształcące</t>
  </si>
  <si>
    <r>
      <t xml:space="preserve">Wpływy z różnych dochodów  </t>
    </r>
    <r>
      <rPr>
        <sz val="8"/>
        <rFont val="Times New Roman CE"/>
        <family val="1"/>
      </rPr>
      <t>(za legitymacje)</t>
    </r>
  </si>
  <si>
    <t>0830</t>
  </si>
  <si>
    <t>Wpływy z uslug</t>
  </si>
  <si>
    <t>Pozostałe odsetki</t>
  </si>
  <si>
    <t>6430</t>
  </si>
  <si>
    <t>Dotacje celowe otrzymane z budżetu państwa na realizację inwestycji i zakupów inwestycyjnych własnych powiatu</t>
  </si>
  <si>
    <t>80130</t>
  </si>
  <si>
    <t>Szkoły zawodowe</t>
  </si>
  <si>
    <t>80132</t>
  </si>
  <si>
    <t>Szkoły artystyczne</t>
  </si>
  <si>
    <t>80140</t>
  </si>
  <si>
    <t>Centrum Kształcenia Ustawicznego</t>
  </si>
  <si>
    <t>80195</t>
  </si>
  <si>
    <t>Wpływy z usług</t>
  </si>
  <si>
    <t>803</t>
  </si>
  <si>
    <t>SZKOLNICTWO WYŻSZE</t>
  </si>
  <si>
    <t>80309</t>
  </si>
  <si>
    <t>Pomoc materialna dla uczniów</t>
  </si>
  <si>
    <t>2338</t>
  </si>
  <si>
    <t>Dotacje celowe otrzymane od samorządu województwa na zadania bieżące realizowane na podstawie porozumień (umów) między jednostakmi samorządu terytorialnego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</si>
  <si>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</si>
  <si>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</si>
  <si>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</si>
  <si>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</si>
  <si>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</si>
  <si>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</si>
  <si>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85201</t>
  </si>
  <si>
    <t>Placówki opiekuńczo- wychowawcze</t>
  </si>
  <si>
    <t>2130</t>
  </si>
  <si>
    <t>Dotacje celowe otrzymane z budżetu państwa na realizację bieżących zadań własnych powiatu</t>
  </si>
  <si>
    <t>85203</t>
  </si>
  <si>
    <t>Ośrodki wsparcia</t>
  </si>
  <si>
    <r>
      <t xml:space="preserve">Wpływy z usług </t>
    </r>
    <r>
      <rPr>
        <sz val="8"/>
        <rFont val="Times New Roman CE"/>
        <family val="1"/>
      </rPr>
      <t>(odpłatność za  Hotel dla bezdomnych)</t>
    </r>
  </si>
  <si>
    <t>MOPS</t>
  </si>
  <si>
    <t>6310</t>
  </si>
  <si>
    <t>Dotacje celowe z budżetu na inwestycje i zakupy inwestycyjne</t>
  </si>
  <si>
    <t>85204</t>
  </si>
  <si>
    <t>Rodziny zastępcze</t>
  </si>
  <si>
    <t>097</t>
  </si>
  <si>
    <t>85212</t>
  </si>
  <si>
    <t>Świadczenia rodzinne oraz składki na ubezp. emerytalne i rentowe z ubezp. społecznego</t>
  </si>
  <si>
    <t>Dotacje celowe przekazane z budżetu państwa na inwestycje i zakupy inwestycyjne z zakresu administracji rządowej oraz innych zadań zleconych gminie ustawami</t>
  </si>
  <si>
    <t>85213</t>
  </si>
  <si>
    <t>Składki na ubezpieczenia zdrowotne opłacane za osoby pobierające niektóre świadczenia z pomocy społecznej</t>
  </si>
  <si>
    <t>2910</t>
  </si>
  <si>
    <t>Wpływy ze zwrotów dotacji wykorzystanych niezgodnie z przeznaczeniem lub pobranych w nadmiernej wysokości</t>
  </si>
  <si>
    <t>85214</t>
  </si>
  <si>
    <t>Zasiłki i pomoc w  naturze oraz składki na ubezpieczenia społeczne i zdrowotne</t>
  </si>
  <si>
    <r>
      <t xml:space="preserve">Pozostałe odsetki </t>
    </r>
    <r>
      <rPr>
        <sz val="8"/>
        <rFont val="Times New Roman CE"/>
        <family val="1"/>
      </rPr>
      <t>(za nieterminowy zwrot pożyczek)</t>
    </r>
  </si>
  <si>
    <r>
      <t xml:space="preserve">Wpływy z różnych dochodów  </t>
    </r>
    <r>
      <rPr>
        <sz val="8"/>
        <rFont val="Times New Roman CE"/>
        <family val="1"/>
      </rPr>
      <t>(spłata pożyczek i zasiłków celowych)</t>
    </r>
  </si>
  <si>
    <t>85215</t>
  </si>
  <si>
    <t>Dodatki mieszkaniowe</t>
  </si>
  <si>
    <r>
      <t xml:space="preserve">Wpływy z różnych dochodów  </t>
    </r>
    <r>
      <rPr>
        <sz val="8"/>
        <rFont val="Times New Roman CE"/>
        <family val="1"/>
      </rPr>
      <t>(zwrot nadpłaconych dodatków)</t>
    </r>
  </si>
  <si>
    <t>85216</t>
  </si>
  <si>
    <t>Zasiłki rodzinne, pielęgnacyjne i wychowawcze</t>
  </si>
  <si>
    <t>Komendy Powiatowe Policji</t>
  </si>
  <si>
    <t>85219</t>
  </si>
  <si>
    <t>Ośrodki pomocy społecznej</t>
  </si>
  <si>
    <r>
      <t xml:space="preserve">Wpływy z różnych dochodów </t>
    </r>
    <r>
      <rPr>
        <sz val="8"/>
        <rFont val="Times New Roman CE"/>
        <family val="1"/>
      </rPr>
      <t>(rozliczenia z U.S.)</t>
    </r>
  </si>
  <si>
    <t>Dotacje celowe otrzymane z budżetu państwa na realizację zadań własnych z zakresu administracji rządowej oraz innych zadań zleconych gminie ustawami</t>
  </si>
  <si>
    <t>85226</t>
  </si>
  <si>
    <t>Ośrodki adopcyjno-opiekuńcze</t>
  </si>
  <si>
    <t>85228</t>
  </si>
  <si>
    <t>Usługi opiekuńcze i specjalistyczne usługi opiekuńcze</t>
  </si>
  <si>
    <r>
      <t xml:space="preserve">Wpływy z usług  </t>
    </r>
    <r>
      <rPr>
        <sz val="8"/>
        <rFont val="Times New Roman CE"/>
        <family val="1"/>
      </rPr>
      <t>(odpłatność za usługi opiekuńcze)</t>
    </r>
  </si>
  <si>
    <t>85295</t>
  </si>
  <si>
    <r>
      <t xml:space="preserve">Wpływy z usług </t>
    </r>
    <r>
      <rPr>
        <sz val="8"/>
        <rFont val="Times New Roman CE"/>
        <family val="1"/>
      </rPr>
      <t xml:space="preserve"> (odpłatność za usługi transportowe)</t>
    </r>
  </si>
  <si>
    <t>853</t>
  </si>
  <si>
    <t>POZOSTAŁE ZADANIA W ZAKRESIE POLITYKI SPOŁECZNEJ</t>
  </si>
  <si>
    <t>85321</t>
  </si>
  <si>
    <t>Zespoły do spraw orzekania o niepełnosprawności</t>
  </si>
  <si>
    <t>SZ</t>
  </si>
  <si>
    <t>85324</t>
  </si>
  <si>
    <t>Państwowy Fundusz Rehabilitacji Osób Niepełnosprawnych</t>
  </si>
  <si>
    <t>Wpływy z różnych dochodów (PEFRON)</t>
  </si>
  <si>
    <t>854</t>
  </si>
  <si>
    <t>EDUKACYJNA   OPIEKA WYCHOWAWCZA</t>
  </si>
  <si>
    <t>85403</t>
  </si>
  <si>
    <t>Specjalne ośrodki szkolno -wychowawcze</t>
  </si>
  <si>
    <t>6260</t>
  </si>
  <si>
    <t>Dotacje otrzymane z funduszy celowych na finansowanie i dofinansowanie kosztów realizacji inwestycji i zakupów inwestycyjnych jednostek sektora publicznego</t>
  </si>
  <si>
    <t>85406</t>
  </si>
  <si>
    <t>Poradnia psychologiczno - pedagogiczna</t>
  </si>
  <si>
    <t>85407</t>
  </si>
  <si>
    <t>Placówki wychowania pozaszkolnego MDK</t>
  </si>
  <si>
    <t>85410</t>
  </si>
  <si>
    <t>Internaty i bursy szkolne</t>
  </si>
  <si>
    <t>85415</t>
  </si>
  <si>
    <t>Stypendia dla uczniów szkół ponadgimnazjalnych</t>
  </si>
  <si>
    <t>85417</t>
  </si>
  <si>
    <t>Szkolne schroniska młodzieżowe</t>
  </si>
  <si>
    <t>900</t>
  </si>
  <si>
    <t>GOSPODARKA KOMUNALNA I  OCHRONA ŚRODOWISKA</t>
  </si>
  <si>
    <t>90013</t>
  </si>
  <si>
    <t>Schroniska dla zwierząt</t>
  </si>
  <si>
    <r>
      <t>Wpływy z usług</t>
    </r>
    <r>
      <rPr>
        <sz val="6"/>
        <rFont val="Times New Roman CE"/>
        <family val="1"/>
      </rPr>
      <t xml:space="preserve"> (opłaty za schronisko)</t>
    </r>
  </si>
  <si>
    <t>90015</t>
  </si>
  <si>
    <t>Owietlenie ulic,placów i dróg</t>
  </si>
  <si>
    <t>90095</t>
  </si>
  <si>
    <t>2701</t>
  </si>
  <si>
    <t>Środki na dofinansowanie własnych zadań  bieżących gmin pozyskane z innych źródeł</t>
  </si>
  <si>
    <t>926</t>
  </si>
  <si>
    <t>KULTURA FIZYCZNA I SPORT</t>
  </si>
  <si>
    <t>92601</t>
  </si>
  <si>
    <t>Obiekty sportowe</t>
  </si>
  <si>
    <t>6330</t>
  </si>
  <si>
    <t>Dotacje celowe otrzymane z budżetu państwa na realizację inwestycji i zakupów inwestycyjnych własnych gmin(związków gmin)</t>
  </si>
  <si>
    <t>OGÓŁEM</t>
  </si>
  <si>
    <t xml:space="preserve">      Załącznik nr  2   do Zarządzenia</t>
  </si>
  <si>
    <t>HARMONOGRAM  PLANU  WYDATKÓW  MIASTA  KOSZALINA  NA  2005  ROK</t>
  </si>
  <si>
    <t>według klasyfikacji budżetowej</t>
  </si>
  <si>
    <t>w złotych</t>
  </si>
  <si>
    <t xml:space="preserve">                miesiąc</t>
  </si>
  <si>
    <t xml:space="preserve">Dział Rozdz.             
</t>
  </si>
  <si>
    <t xml:space="preserve">Wyszczególnienie  </t>
  </si>
  <si>
    <t>Razem</t>
  </si>
  <si>
    <t>010</t>
  </si>
  <si>
    <t>ROLNICTWO I ŁOWIECTWO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</si>
  <si>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</si>
  <si>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</si>
  <si>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</si>
  <si>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</si>
  <si>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</si>
  <si>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</si>
  <si>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</si>
  <si>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</si>
  <si>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</si>
  <si>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</si>
  <si>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 xml:space="preserve">HANDEL </t>
  </si>
  <si>
    <t>TRANSPORT I ŁĄCZNOŚĆ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</si>
  <si>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</si>
  <si>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</si>
  <si>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</si>
  <si>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</si>
  <si>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</si>
  <si>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wewnętrzne</t>
  </si>
  <si>
    <t xml:space="preserve"> - wynagrodzenia i pochodne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</si>
  <si>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</si>
  <si>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</si>
  <si>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</si>
  <si>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</si>
  <si>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</si>
  <si>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</si>
  <si>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</si>
  <si>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Towarzystwa budownictwa społecznego</t>
  </si>
  <si>
    <t xml:space="preserve"> - inne majątkowe</t>
  </si>
  <si>
    <t>KTBS+</t>
  </si>
  <si>
    <r>
      <t xml:space="preserve"> - inne majątkowe                                   </t>
    </r>
    <r>
      <rPr>
        <i/>
        <sz val="8"/>
        <rFont val="Times New Roman CE"/>
        <family val="1"/>
      </rPr>
      <t xml:space="preserve"> </t>
    </r>
  </si>
  <si>
    <t>DZIAŁALNOŚĆ USŁUGOWA</t>
  </si>
  <si>
    <t>Plany zagospodarowania przstrzennego</t>
  </si>
  <si>
    <t xml:space="preserve"> - wynagrodzenia </t>
  </si>
  <si>
    <t xml:space="preserve">    i pochodne </t>
  </si>
  <si>
    <t>ADMINISTRACJA PUBLICZNA</t>
  </si>
  <si>
    <t>Urzędy Wojewódzkie</t>
  </si>
  <si>
    <t>- dotacje</t>
  </si>
  <si>
    <t>Rada Miejska</t>
  </si>
  <si>
    <t>Młodzieżowa Rada Miasta</t>
  </si>
  <si>
    <t>Urząd Miejski</t>
  </si>
  <si>
    <t>Spis powszechny i inne</t>
  </si>
  <si>
    <t xml:space="preserve"> Urzędy naczelnych organów władzy państwowej, kontroli i ochrony prawa</t>
  </si>
  <si>
    <t>Wydatki bieżace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</si>
  <si>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</si>
  <si>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</si>
  <si>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</si>
  <si>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</si>
  <si>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Wydatki bieżące</t>
  </si>
  <si>
    <t xml:space="preserve"> 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</si>
  <si>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</si>
  <si>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</si>
  <si>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</si>
  <si>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kredytów podmiotów krajowych</t>
  </si>
  <si>
    <t>Rezerwy ogólne i celowe</t>
  </si>
  <si>
    <t>Część równoważąca subwencji ogólnej dla powiatów</t>
  </si>
  <si>
    <t xml:space="preserve">Wydatki majątkowe </t>
  </si>
  <si>
    <t>Przedszkola</t>
  </si>
  <si>
    <t>Przedszkola specjalne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</si>
  <si>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</si>
  <si>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</si>
  <si>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</si>
  <si>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</si>
  <si>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</si>
  <si>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</si>
  <si>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</si>
  <si>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</si>
  <si>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</si>
  <si>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</si>
  <si>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</si>
  <si>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</si>
  <si>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</si>
  <si>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</si>
  <si>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</si>
  <si>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</si>
  <si>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</si>
  <si>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>- roboty inwestycyjne</t>
  </si>
  <si>
    <t xml:space="preserve">Składki na ubezpieczenia zdrowotne  oraz świadczenia dla osób nie objętych obowiązkiem ubezpieczenia zdrowotnego  </t>
  </si>
  <si>
    <t>Izby wytrzeźwień</t>
  </si>
  <si>
    <t>POMOC  SPOŁECZNA</t>
  </si>
  <si>
    <t>Placówki opiekuńczo-wychowawcze -Rodzinne Domy Dziecka</t>
  </si>
  <si>
    <t>Domy pomocy społecznej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</si>
  <si>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</si>
  <si>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</si>
  <si>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</si>
  <si>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Powiatowe centra pomocy rodzinie</t>
  </si>
  <si>
    <t>Jednostki specjalistyczne poradnictwa, mieszkania chronione i ośrodki  interwencji kryzysowej</t>
  </si>
  <si>
    <t>Żłobki</t>
  </si>
  <si>
    <t>Rehabilitacja zawodowa i społeczna osób niepełnosprawnych</t>
  </si>
  <si>
    <t>- pozostałe</t>
  </si>
  <si>
    <t>Zespoły ds orzekania o stopniu niepełnosprawności</t>
  </si>
  <si>
    <t>- zakupy inwestycyjne</t>
  </si>
  <si>
    <t>EDUKACYJNA OPIEKA WYCHOWAWCZA</t>
  </si>
  <si>
    <t>Świetlice szkolne</t>
  </si>
  <si>
    <t>Specjalne ośrodki szkolno-wychowawcze</t>
  </si>
  <si>
    <t>Wydatki inwestycyjne</t>
  </si>
  <si>
    <t>Jednostki pomocnicze szkolnictwa</t>
  </si>
  <si>
    <t>Placówki wychowania pozaszkolnego - MDK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</si>
  <si>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</si>
  <si>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</si>
  <si>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</si>
  <si>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</si>
  <si>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</si>
  <si>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</si>
  <si>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</si>
  <si>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( w tym:  remonty)</t>
  </si>
  <si>
    <t>Oświetlenie ulic, placów i dróg</t>
  </si>
  <si>
    <t>( w tym : remonty)</t>
  </si>
  <si>
    <t>KULTURA I OCHRONA DZIEDZICTWA NARODOWEGO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</si>
  <si>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</si>
  <si>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</si>
  <si>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</si>
  <si>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</si>
  <si>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</si>
  <si>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</si>
  <si>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</si>
  <si>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</si>
  <si>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</si>
  <si>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</si>
  <si>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</si>
  <si>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</si>
  <si>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</si>
  <si>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Remonty </t>
  </si>
  <si>
    <t xml:space="preserve">                            Zestawienie planu dochodów i wydatków </t>
  </si>
  <si>
    <t xml:space="preserve">                             budżetu Miasta Koszalina na 2005 rok</t>
  </si>
  <si>
    <t xml:space="preserve">                             z podziałem na poszczególne miesiące.</t>
  </si>
  <si>
    <t>L.p.</t>
  </si>
  <si>
    <t>Dochody</t>
  </si>
  <si>
    <t>Wydatki</t>
  </si>
  <si>
    <t>1.</t>
  </si>
  <si>
    <t>Styczeń</t>
  </si>
  <si>
    <t>2.</t>
  </si>
  <si>
    <t>Luty</t>
  </si>
  <si>
    <t>3.</t>
  </si>
  <si>
    <t>Marzec</t>
  </si>
  <si>
    <t>4.</t>
  </si>
  <si>
    <t>Kwiecień</t>
  </si>
  <si>
    <t>5.</t>
  </si>
  <si>
    <t>Maj</t>
  </si>
  <si>
    <t>6.</t>
  </si>
  <si>
    <t>Czerwiec</t>
  </si>
  <si>
    <t>7.</t>
  </si>
  <si>
    <t>Lipiec</t>
  </si>
  <si>
    <t>8.</t>
  </si>
  <si>
    <t>Sierpień</t>
  </si>
  <si>
    <t>9.</t>
  </si>
  <si>
    <t>Wrzesień</t>
  </si>
  <si>
    <t>10.</t>
  </si>
  <si>
    <t>Październik</t>
  </si>
  <si>
    <t>11.</t>
  </si>
  <si>
    <t>Listopad</t>
  </si>
  <si>
    <t>12.</t>
  </si>
  <si>
    <t>Grudzień</t>
  </si>
  <si>
    <t>RAZEM rok 2005</t>
  </si>
  <si>
    <t>Sporządziła: Anabelle Marcińczak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</si>
</sst>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9">
    <font>
      <sz val="10"/>
      <name val="Arial CE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i/>
      <sz val="6"/>
      <name val="Times New Roman CE"/>
      <family val="1"/>
    </font>
    <font>
      <sz val="7.5"/>
      <name val="Times New Roman CE"/>
      <family val="1"/>
    </font>
    <font>
      <sz val="8.5"/>
      <name val="Times New Roman CE"/>
      <family val="1"/>
    </font>
    <font>
      <i/>
      <sz val="9"/>
      <name val="Times New Roman CE"/>
      <family val="1"/>
    </font>
    <font>
      <b/>
      <sz val="8.5"/>
      <name val="Times New Roman CE"/>
      <family val="1"/>
    </font>
    <font>
      <sz val="6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b/>
      <sz val="10"/>
      <color indexed="8"/>
      <name val="Times New Roman CE"/>
      <family val="1"/>
    </font>
    <font>
      <b/>
      <sz val="8"/>
      <color indexed="8"/>
      <name val="Times New Roman CE"/>
      <family val="1"/>
    </font>
    <font>
      <b/>
      <sz val="9"/>
      <color indexed="8"/>
      <name val="Times New Roman CE"/>
      <family val="1"/>
    </font>
    <font>
      <b/>
      <i/>
      <sz val="10"/>
      <name val="Times New Roman CE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left" wrapText="1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" fontId="1" fillId="0" borderId="0" xfId="0" applyNumberFormat="1" applyFont="1" applyFill="1" applyBorder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NumberFormat="1" applyFont="1" applyFill="1" applyBorder="1" applyAlignment="1" applyProtection="1">
      <alignment horizontal="center" wrapText="1"/>
      <protection locked="0"/>
    </xf>
    <xf numFmtId="0" fontId="1" fillId="2" borderId="3" xfId="0" applyNumberFormat="1" applyFont="1" applyFill="1" applyBorder="1" applyAlignment="1" applyProtection="1">
      <alignment horizontal="center" wrapText="1"/>
      <protection locked="0"/>
    </xf>
    <xf numFmtId="0" fontId="3" fillId="2" borderId="4" xfId="0" applyNumberFormat="1" applyFont="1" applyFill="1" applyBorder="1" applyAlignment="1" applyProtection="1">
      <alignment horizontal="center" wrapText="1"/>
      <protection locked="0"/>
    </xf>
    <xf numFmtId="0" fontId="3" fillId="2" borderId="5" xfId="0" applyNumberFormat="1" applyFont="1" applyFill="1" applyBorder="1" applyAlignment="1" applyProtection="1">
      <alignment horizontal="center" wrapText="1"/>
      <protection locked="0"/>
    </xf>
    <xf numFmtId="0" fontId="3" fillId="2" borderId="6" xfId="0" applyNumberFormat="1" applyFont="1" applyFill="1" applyBorder="1" applyAlignment="1" applyProtection="1">
      <alignment horizontal="center" wrapText="1"/>
      <protection locked="0"/>
    </xf>
    <xf numFmtId="0" fontId="4" fillId="2" borderId="7" xfId="0" applyNumberFormat="1" applyFont="1" applyFill="1" applyBorder="1" applyAlignment="1" applyProtection="1">
      <alignment horizontal="centerContinuous" wrapText="1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Continuous" wrapText="1"/>
      <protection locked="0"/>
    </xf>
    <xf numFmtId="165" fontId="3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2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3" fontId="1" fillId="2" borderId="0" xfId="0" applyNumberFormat="1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top" wrapText="1"/>
      <protection locked="0"/>
    </xf>
    <xf numFmtId="0" fontId="4" fillId="2" borderId="10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49" fontId="3" fillId="3" borderId="21" xfId="0" applyNumberFormat="1" applyFont="1" applyFill="1" applyBorder="1" applyAlignment="1" applyProtection="1">
      <alignment horizontal="centerContinuous" vertical="center"/>
      <protection locked="0"/>
    </xf>
    <xf numFmtId="0" fontId="3" fillId="3" borderId="22" xfId="0" applyNumberFormat="1" applyFont="1" applyFill="1" applyBorder="1" applyAlignment="1" applyProtection="1">
      <alignment vertical="center" wrapText="1"/>
      <protection locked="0"/>
    </xf>
    <xf numFmtId="0" fontId="3" fillId="3" borderId="23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4" xfId="0" applyNumberFormat="1" applyFont="1" applyFill="1" applyBorder="1" applyAlignment="1" applyProtection="1">
      <alignment vertical="center" wrapText="1"/>
      <protection locked="0"/>
    </xf>
    <xf numFmtId="3" fontId="3" fillId="3" borderId="22" xfId="0" applyNumberFormat="1" applyFont="1" applyFill="1" applyBorder="1" applyAlignment="1" applyProtection="1">
      <alignment vertical="center" wrapText="1"/>
      <protection locked="0"/>
    </xf>
    <xf numFmtId="3" fontId="3" fillId="3" borderId="25" xfId="0" applyNumberFormat="1" applyFont="1" applyFill="1" applyBorder="1" applyAlignment="1" applyProtection="1">
      <alignment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26" xfId="0" applyNumberFormat="1" applyFont="1" applyFill="1" applyBorder="1" applyAlignment="1" applyProtection="1">
      <alignment horizontal="centerContinuous" vertical="center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29" xfId="0" applyNumberFormat="1" applyFont="1" applyFill="1" applyBorder="1" applyAlignment="1" applyProtection="1">
      <alignment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" fillId="0" borderId="17" xfId="0" applyNumberFormat="1" applyFont="1" applyFill="1" applyBorder="1" applyAlignment="1" applyProtection="1">
      <alignment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 applyProtection="1">
      <alignment vertical="center" wrapText="1"/>
      <protection locked="0"/>
    </xf>
    <xf numFmtId="3" fontId="1" fillId="0" borderId="30" xfId="0" applyNumberFormat="1" applyFont="1" applyFill="1" applyBorder="1" applyAlignment="1" applyProtection="1">
      <alignment vertical="center" wrapText="1"/>
      <protection locked="0"/>
    </xf>
    <xf numFmtId="49" fontId="3" fillId="0" borderId="31" xfId="0" applyNumberFormat="1" applyFont="1" applyFill="1" applyBorder="1" applyAlignment="1" applyProtection="1">
      <alignment horizontal="centerContinuous" vertical="center"/>
      <protection locked="0"/>
    </xf>
    <xf numFmtId="0" fontId="3" fillId="0" borderId="32" xfId="0" applyNumberFormat="1" applyFont="1" applyFill="1" applyBorder="1" applyAlignment="1" applyProtection="1">
      <alignment vertical="center" wrapText="1"/>
      <protection locked="0"/>
    </xf>
    <xf numFmtId="0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vertical="center" wrapText="1"/>
      <protection locked="0"/>
    </xf>
    <xf numFmtId="3" fontId="3" fillId="0" borderId="32" xfId="0" applyNumberFormat="1" applyFont="1" applyFill="1" applyBorder="1" applyAlignment="1" applyProtection="1">
      <alignment vertical="center" wrapText="1"/>
      <protection locked="0"/>
    </xf>
    <xf numFmtId="3" fontId="3" fillId="0" borderId="35" xfId="0" applyNumberFormat="1" applyFont="1" applyFill="1" applyBorder="1" applyAlignment="1" applyProtection="1">
      <alignment vertical="center" wrapText="1"/>
      <protection locked="0"/>
    </xf>
    <xf numFmtId="0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6" xfId="0" applyNumberFormat="1" applyFont="1" applyFill="1" applyBorder="1" applyAlignment="1" applyProtection="1">
      <alignment vertical="center" wrapText="1"/>
      <protection locked="0"/>
    </xf>
    <xf numFmtId="3" fontId="1" fillId="0" borderId="20" xfId="0" applyNumberFormat="1" applyFont="1" applyFill="1" applyBorder="1" applyAlignment="1" applyProtection="1">
      <alignment vertical="center" wrapText="1"/>
      <protection locked="0"/>
    </xf>
    <xf numFmtId="0" fontId="3" fillId="0" borderId="34" xfId="0" applyNumberFormat="1" applyFont="1" applyFill="1" applyBorder="1" applyAlignment="1" applyProtection="1">
      <alignment vertical="center" wrapText="1"/>
      <protection locked="0"/>
    </xf>
    <xf numFmtId="0" fontId="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0" applyNumberFormat="1" applyFont="1" applyFill="1" applyBorder="1" applyAlignment="1" applyProtection="1">
      <alignment horizontal="centerContinuous" vertical="center"/>
      <protection locked="0"/>
    </xf>
    <xf numFmtId="0" fontId="1" fillId="0" borderId="39" xfId="0" applyNumberFormat="1" applyFont="1" applyFill="1" applyBorder="1" applyAlignment="1" applyProtection="1">
      <alignment vertical="center" wrapText="1"/>
      <protection locked="0"/>
    </xf>
    <xf numFmtId="0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9" xfId="0" applyNumberFormat="1" applyFont="1" applyFill="1" applyBorder="1" applyAlignment="1" applyProtection="1">
      <alignment vertical="center" wrapText="1"/>
      <protection locked="0"/>
    </xf>
    <xf numFmtId="49" fontId="1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" fillId="0" borderId="41" xfId="0" applyNumberFormat="1" applyFont="1" applyFill="1" applyBorder="1" applyAlignment="1" applyProtection="1">
      <alignment vertical="center" wrapText="1"/>
      <protection locked="0"/>
    </xf>
    <xf numFmtId="0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43" xfId="0" applyNumberFormat="1" applyFont="1" applyFill="1" applyBorder="1" applyAlignment="1" applyProtection="1">
      <alignment vertical="center" wrapText="1"/>
      <protection locked="0"/>
    </xf>
    <xf numFmtId="3" fontId="1" fillId="0" borderId="41" xfId="0" applyNumberFormat="1" applyFont="1" applyFill="1" applyBorder="1" applyAlignment="1" applyProtection="1">
      <alignment vertical="center" wrapText="1"/>
      <protection locked="0"/>
    </xf>
    <xf numFmtId="3" fontId="1" fillId="0" borderId="44" xfId="0" applyNumberFormat="1" applyFont="1" applyFill="1" applyBorder="1" applyAlignment="1" applyProtection="1">
      <alignment vertical="center" wrapText="1"/>
      <protection locked="0"/>
    </xf>
    <xf numFmtId="49" fontId="3" fillId="3" borderId="9" xfId="0" applyNumberFormat="1" applyFont="1" applyFill="1" applyBorder="1" applyAlignment="1" applyProtection="1">
      <alignment horizontal="centerContinuous" vertical="center"/>
      <protection locked="0"/>
    </xf>
    <xf numFmtId="0" fontId="3" fillId="3" borderId="10" xfId="0" applyNumberFormat="1" applyFont="1" applyFill="1" applyBorder="1" applyAlignment="1" applyProtection="1">
      <alignment vertical="center" wrapText="1"/>
      <protection locked="0"/>
    </xf>
    <xf numFmtId="0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12" xfId="0" applyNumberFormat="1" applyFont="1" applyFill="1" applyBorder="1" applyAlignment="1" applyProtection="1">
      <alignment vertical="center" wrapText="1"/>
      <protection locked="0"/>
    </xf>
    <xf numFmtId="3" fontId="3" fillId="3" borderId="10" xfId="0" applyNumberFormat="1" applyFont="1" applyFill="1" applyBorder="1" applyAlignment="1" applyProtection="1">
      <alignment vertical="center" wrapText="1"/>
      <protection locked="0"/>
    </xf>
    <xf numFmtId="3" fontId="3" fillId="3" borderId="45" xfId="0" applyNumberFormat="1" applyFont="1" applyFill="1" applyBorder="1" applyAlignment="1" applyProtection="1">
      <alignment vertical="center" wrapText="1"/>
      <protection locked="0"/>
    </xf>
    <xf numFmtId="49" fontId="3" fillId="0" borderId="40" xfId="0" applyNumberFormat="1" applyFont="1" applyFill="1" applyBorder="1" applyAlignment="1" applyProtection="1">
      <alignment horizontal="centerContinuous" vertical="center"/>
      <protection locked="0"/>
    </xf>
    <xf numFmtId="0" fontId="3" fillId="0" borderId="41" xfId="0" applyNumberFormat="1" applyFont="1" applyFill="1" applyBorder="1" applyAlignment="1" applyProtection="1">
      <alignment vertical="center" wrapText="1"/>
      <protection locked="0"/>
    </xf>
    <xf numFmtId="3" fontId="3" fillId="0" borderId="43" xfId="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 wrapText="1"/>
      <protection locked="0"/>
    </xf>
    <xf numFmtId="3" fontId="3" fillId="0" borderId="44" xfId="0" applyNumberFormat="1" applyFont="1" applyFill="1" applyBorder="1" applyAlignment="1" applyProtection="1">
      <alignment vertical="center" wrapText="1"/>
      <protection locked="0"/>
    </xf>
    <xf numFmtId="0" fontId="1" fillId="0" borderId="19" xfId="0" applyNumberFormat="1" applyFont="1" applyFill="1" applyBorder="1" applyAlignment="1" applyProtection="1">
      <alignment vertical="center" wrapText="1"/>
      <protection locked="0"/>
    </xf>
    <xf numFmtId="0" fontId="1" fillId="0" borderId="19" xfId="0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49" fontId="3" fillId="0" borderId="33" xfId="0" applyNumberFormat="1" applyFont="1" applyFill="1" applyBorder="1" applyAlignment="1" applyProtection="1">
      <alignment horizontal="centerContinuous" vertical="center"/>
      <protection locked="0"/>
    </xf>
    <xf numFmtId="0" fontId="3" fillId="0" borderId="4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vertical="center" wrapText="1"/>
      <protection locked="0"/>
    </xf>
    <xf numFmtId="3" fontId="3" fillId="0" borderId="4" xfId="0" applyNumberFormat="1" applyFont="1" applyFill="1" applyBorder="1" applyAlignment="1" applyProtection="1">
      <alignment vertical="center" wrapText="1"/>
      <protection locked="0"/>
    </xf>
    <xf numFmtId="3" fontId="3" fillId="0" borderId="2" xfId="0" applyNumberFormat="1" applyFont="1" applyFill="1" applyBorder="1" applyAlignment="1" applyProtection="1">
      <alignment vertical="center" wrapText="1"/>
      <protection locked="0"/>
    </xf>
    <xf numFmtId="3" fontId="3" fillId="0" borderId="46" xfId="0" applyNumberFormat="1" applyFont="1" applyFill="1" applyBorder="1" applyAlignment="1" applyProtection="1">
      <alignment vertical="center" wrapText="1"/>
      <protection locked="0"/>
    </xf>
    <xf numFmtId="49" fontId="1" fillId="0" borderId="47" xfId="0" applyNumberFormat="1" applyFont="1" applyFill="1" applyBorder="1" applyAlignment="1" applyProtection="1">
      <alignment horizontal="centerContinuous" vertical="center"/>
      <protection locked="0"/>
    </xf>
    <xf numFmtId="0" fontId="1" fillId="0" borderId="34" xfId="0" applyNumberFormat="1" applyFont="1" applyFill="1" applyBorder="1" applyAlignment="1" applyProtection="1">
      <alignment vertical="center" wrapText="1"/>
      <protection locked="0"/>
    </xf>
    <xf numFmtId="0" fontId="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4" xfId="0" applyNumberFormat="1" applyFont="1" applyFill="1" applyBorder="1" applyAlignment="1" applyProtection="1">
      <alignment vertical="center" wrapText="1"/>
      <protection locked="0"/>
    </xf>
    <xf numFmtId="0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32" xfId="0" applyNumberFormat="1" applyFont="1" applyFill="1" applyBorder="1" applyAlignment="1" applyProtection="1">
      <alignment vertical="center" wrapText="1"/>
      <protection locked="0"/>
    </xf>
    <xf numFmtId="3" fontId="1" fillId="0" borderId="35" xfId="0" applyNumberFormat="1" applyFont="1" applyFill="1" applyBorder="1" applyAlignment="1" applyProtection="1">
      <alignment vertical="center" wrapText="1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centerContinuous" vertical="center"/>
      <protection locked="0"/>
    </xf>
    <xf numFmtId="0" fontId="3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Continuous" vertical="center"/>
      <protection locked="0"/>
    </xf>
    <xf numFmtId="0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NumberFormat="1" applyFont="1" applyFill="1" applyBorder="1" applyAlignment="1" applyProtection="1">
      <alignment vertical="center" wrapText="1"/>
      <protection locked="0"/>
    </xf>
    <xf numFmtId="0" fontId="1" fillId="0" borderId="27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 wrapText="1"/>
      <protection locked="0"/>
    </xf>
    <xf numFmtId="49" fontId="1" fillId="0" borderId="31" xfId="0" applyNumberFormat="1" applyFont="1" applyFill="1" applyBorder="1" applyAlignment="1" applyProtection="1">
      <alignment horizontal="centerContinuous" vertical="center"/>
      <protection locked="0"/>
    </xf>
    <xf numFmtId="0" fontId="1" fillId="0" borderId="32" xfId="0" applyNumberFormat="1" applyFont="1" applyFill="1" applyBorder="1" applyAlignment="1" applyProtection="1">
      <alignment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Continuous" vertical="center"/>
      <protection locked="0"/>
    </xf>
    <xf numFmtId="3" fontId="3" fillId="0" borderId="19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 wrapText="1"/>
      <protection locked="0"/>
    </xf>
    <xf numFmtId="3" fontId="1" fillId="0" borderId="34" xfId="0" applyNumberFormat="1" applyFont="1" applyFill="1" applyBorder="1" applyAlignment="1" applyProtection="1">
      <alignment vertical="center"/>
      <protection locked="0"/>
    </xf>
    <xf numFmtId="3" fontId="1" fillId="0" borderId="41" xfId="0" applyNumberFormat="1" applyFont="1" applyFill="1" applyBorder="1" applyAlignment="1" applyProtection="1">
      <alignment vertical="center"/>
      <protection locked="0"/>
    </xf>
    <xf numFmtId="3" fontId="1" fillId="0" borderId="44" xfId="0" applyNumberFormat="1" applyFont="1" applyFill="1" applyBorder="1" applyAlignment="1" applyProtection="1">
      <alignment vertical="center"/>
      <protection locked="0"/>
    </xf>
    <xf numFmtId="49" fontId="3" fillId="3" borderId="23" xfId="0" applyNumberFormat="1" applyFont="1" applyFill="1" applyBorder="1" applyAlignment="1" applyProtection="1">
      <alignment horizontal="centerContinuous" vertical="center"/>
      <protection locked="0"/>
    </xf>
    <xf numFmtId="0" fontId="3" fillId="3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3" borderId="24" xfId="0" applyNumberFormat="1" applyFont="1" applyFill="1" applyBorder="1" applyAlignment="1" applyProtection="1">
      <alignment vertical="center"/>
      <protection locked="0"/>
    </xf>
    <xf numFmtId="3" fontId="3" fillId="3" borderId="22" xfId="0" applyNumberFormat="1" applyFont="1" applyFill="1" applyBorder="1" applyAlignment="1" applyProtection="1">
      <alignment vertical="center"/>
      <protection locked="0"/>
    </xf>
    <xf numFmtId="3" fontId="3" fillId="3" borderId="25" xfId="0" applyNumberFormat="1" applyFont="1" applyFill="1" applyBorder="1" applyAlignment="1" applyProtection="1">
      <alignment vertical="center"/>
      <protection locked="0"/>
    </xf>
    <xf numFmtId="49" fontId="3" fillId="0" borderId="27" xfId="0" applyNumberFormat="1" applyFont="1" applyFill="1" applyBorder="1" applyAlignment="1" applyProtection="1">
      <alignment horizontal="centerContinuous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29" xfId="0" applyNumberFormat="1" applyFont="1" applyFill="1" applyBorder="1" applyAlignment="1" applyProtection="1">
      <alignment vertical="center"/>
      <protection locked="0"/>
    </xf>
    <xf numFmtId="3" fontId="3" fillId="0" borderId="50" xfId="0" applyNumberFormat="1" applyFont="1" applyFill="1" applyBorder="1" applyAlignment="1" applyProtection="1">
      <alignment vertical="center" wrapText="1"/>
      <protection locked="0"/>
    </xf>
    <xf numFmtId="3" fontId="3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Fill="1" applyBorder="1" applyAlignment="1" applyProtection="1">
      <alignment vertical="center" wrapText="1"/>
      <protection locked="0"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3" fontId="1" fillId="0" borderId="53" xfId="0" applyNumberFormat="1" applyFont="1" applyFill="1" applyBorder="1" applyAlignment="1" applyProtection="1">
      <alignment vertical="center" wrapText="1"/>
      <protection locked="0"/>
    </xf>
    <xf numFmtId="3" fontId="1" fillId="0" borderId="37" xfId="0" applyNumberFormat="1" applyFont="1" applyFill="1" applyBorder="1" applyAlignment="1" applyProtection="1">
      <alignment vertical="center" wrapText="1"/>
      <protection locked="0"/>
    </xf>
    <xf numFmtId="0" fontId="3" fillId="0" borderId="43" xfId="0" applyNumberFormat="1" applyFont="1" applyFill="1" applyBorder="1" applyAlignment="1" applyProtection="1">
      <alignment vertical="center" wrapText="1"/>
      <protection locked="0"/>
    </xf>
    <xf numFmtId="3" fontId="3" fillId="0" borderId="48" xfId="0" applyNumberFormat="1" applyFont="1" applyFill="1" applyBorder="1" applyAlignment="1" applyProtection="1">
      <alignment vertical="center" wrapText="1"/>
      <protection locked="0"/>
    </xf>
    <xf numFmtId="49" fontId="1" fillId="0" borderId="42" xfId="0" applyNumberFormat="1" applyFont="1" applyFill="1" applyBorder="1" applyAlignment="1" applyProtection="1">
      <alignment horizontal="centerContinuous" vertical="center"/>
      <protection locked="0"/>
    </xf>
    <xf numFmtId="0" fontId="1" fillId="0" borderId="43" xfId="0" applyNumberFormat="1" applyFont="1" applyFill="1" applyBorder="1" applyAlignment="1" applyProtection="1">
      <alignment vertical="center" wrapText="1"/>
      <protection locked="0"/>
    </xf>
    <xf numFmtId="0" fontId="1" fillId="0" borderId="12" xfId="0" applyNumberFormat="1" applyFont="1" applyFill="1" applyBorder="1" applyAlignment="1" applyProtection="1">
      <alignment vertical="center" wrapText="1"/>
      <protection locked="0"/>
    </xf>
    <xf numFmtId="164" fontId="1" fillId="0" borderId="36" xfId="0" applyNumberFormat="1" applyFont="1" applyFill="1" applyBorder="1" applyAlignment="1" applyProtection="1">
      <alignment vertical="center" wrapText="1"/>
      <protection locked="0"/>
    </xf>
    <xf numFmtId="3" fontId="3" fillId="0" borderId="54" xfId="0" applyNumberFormat="1" applyFont="1" applyFill="1" applyBorder="1" applyAlignment="1" applyProtection="1">
      <alignment vertical="center" wrapText="1"/>
      <protection locked="0"/>
    </xf>
    <xf numFmtId="3" fontId="3" fillId="0" borderId="39" xfId="0" applyNumberFormat="1" applyFont="1" applyFill="1" applyBorder="1" applyAlignment="1" applyProtection="1">
      <alignment vertical="center" wrapText="1"/>
      <protection locked="0"/>
    </xf>
    <xf numFmtId="3" fontId="3" fillId="0" borderId="30" xfId="0" applyNumberFormat="1" applyFont="1" applyFill="1" applyBorder="1" applyAlignment="1" applyProtection="1">
      <alignment vertical="center" wrapText="1"/>
      <protection locked="0"/>
    </xf>
    <xf numFmtId="164" fontId="1" fillId="0" borderId="19" xfId="0" applyNumberFormat="1" applyFont="1" applyFill="1" applyBorder="1" applyAlignment="1" applyProtection="1">
      <alignment vertical="center" wrapText="1"/>
      <protection locked="0"/>
    </xf>
    <xf numFmtId="3" fontId="3" fillId="0" borderId="52" xfId="0" applyNumberFormat="1" applyFont="1" applyFill="1" applyBorder="1" applyAlignment="1" applyProtection="1">
      <alignment vertical="center" wrapText="1"/>
      <protection locked="0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0" fontId="8" fillId="0" borderId="17" xfId="0" applyNumberFormat="1" applyFont="1" applyFill="1" applyBorder="1" applyAlignment="1" applyProtection="1">
      <alignment vertical="center" wrapText="1"/>
      <protection locked="0"/>
    </xf>
    <xf numFmtId="0" fontId="8" fillId="0" borderId="41" xfId="0" applyNumberFormat="1" applyFont="1" applyFill="1" applyBorder="1" applyAlignment="1" applyProtection="1">
      <alignment vertical="center" wrapText="1"/>
      <protection locked="0"/>
    </xf>
    <xf numFmtId="3" fontId="1" fillId="0" borderId="43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 wrapText="1"/>
      <protection locked="0"/>
    </xf>
    <xf numFmtId="0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vertical="center" wrapText="1"/>
      <protection locked="0"/>
    </xf>
    <xf numFmtId="49" fontId="1" fillId="0" borderId="33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9" fontId="9" fillId="0" borderId="40" xfId="0" applyNumberFormat="1" applyFont="1" applyFill="1" applyBorder="1" applyAlignment="1" applyProtection="1">
      <alignment horizontal="centerContinuous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3" fontId="9" fillId="0" borderId="41" xfId="0" applyNumberFormat="1" applyFont="1" applyFill="1" applyBorder="1" applyAlignment="1" applyProtection="1">
      <alignment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9" fillId="0" borderId="38" xfId="0" applyNumberFormat="1" applyFont="1" applyFill="1" applyBorder="1" applyAlignment="1" applyProtection="1">
      <alignment horizontal="centerContinuous" vertical="center"/>
      <protection locked="0"/>
    </xf>
    <xf numFmtId="0" fontId="9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36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17" xfId="0" applyNumberFormat="1" applyFont="1" applyFill="1" applyBorder="1" applyAlignment="1" applyProtection="1">
      <alignment vertical="center" wrapText="1"/>
      <protection locked="0"/>
    </xf>
    <xf numFmtId="0" fontId="5" fillId="0" borderId="32" xfId="0" applyNumberFormat="1" applyFont="1" applyFill="1" applyBorder="1" applyAlignment="1" applyProtection="1">
      <alignment vertical="center" wrapText="1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0" fontId="3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2" xfId="0" applyNumberFormat="1" applyFont="1" applyFill="1" applyBorder="1" applyAlignment="1" applyProtection="1">
      <alignment vertical="center" wrapText="1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45" xfId="0" applyNumberFormat="1" applyFont="1" applyFill="1" applyBorder="1" applyAlignment="1" applyProtection="1">
      <alignment vertical="center" wrapText="1"/>
      <protection locked="0"/>
    </xf>
    <xf numFmtId="0" fontId="3" fillId="3" borderId="24" xfId="0" applyNumberFormat="1" applyFont="1" applyFill="1" applyBorder="1" applyAlignment="1" applyProtection="1">
      <alignment vertical="center" wrapText="1"/>
      <protection locked="0"/>
    </xf>
    <xf numFmtId="0" fontId="1" fillId="3" borderId="4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vertical="center" wrapText="1"/>
      <protection locked="0"/>
    </xf>
    <xf numFmtId="49" fontId="3" fillId="3" borderId="23" xfId="0" applyNumberFormat="1" applyFont="1" applyFill="1" applyBorder="1" applyAlignment="1" applyProtection="1">
      <alignment vertical="center"/>
      <protection locked="0"/>
    </xf>
    <xf numFmtId="0" fontId="3" fillId="3" borderId="49" xfId="0" applyNumberFormat="1" applyFont="1" applyFill="1" applyBorder="1" applyAlignment="1" applyProtection="1">
      <alignment horizontal="left" vertical="center"/>
      <protection locked="0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12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0" xfId="0" applyNumberFormat="1" applyFont="1" applyBorder="1" applyAlignment="1">
      <alignment vertical="center"/>
    </xf>
    <xf numFmtId="1" fontId="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0" applyNumberFormat="1" applyFont="1" applyFill="1" applyBorder="1" applyAlignment="1" applyProtection="1">
      <alignment horizontal="centerContinuous" vertical="center"/>
      <protection locked="0"/>
    </xf>
    <xf numFmtId="1" fontId="1" fillId="3" borderId="1" xfId="0" applyNumberFormat="1" applyFont="1" applyFill="1" applyBorder="1" applyAlignment="1" applyProtection="1">
      <alignment/>
      <protection locked="0"/>
    </xf>
    <xf numFmtId="164" fontId="1" fillId="3" borderId="4" xfId="0" applyNumberFormat="1" applyFont="1" applyFill="1" applyBorder="1" applyAlignment="1" applyProtection="1">
      <alignment horizontal="centerContinuous" vertical="center"/>
      <protection locked="0"/>
    </xf>
    <xf numFmtId="164" fontId="2" fillId="3" borderId="6" xfId="0" applyNumberFormat="1" applyFont="1" applyFill="1" applyBorder="1" applyAlignment="1" applyProtection="1">
      <alignment horizontal="centerContinuous" vertical="center"/>
      <protection locked="0"/>
    </xf>
    <xf numFmtId="164" fontId="13" fillId="3" borderId="6" xfId="0" applyNumberFormat="1" applyFont="1" applyFill="1" applyBorder="1" applyAlignment="1" applyProtection="1">
      <alignment horizontal="center" vertical="center"/>
      <protection locked="0"/>
    </xf>
    <xf numFmtId="164" fontId="13" fillId="3" borderId="6" xfId="0" applyNumberFormat="1" applyFont="1" applyFill="1" applyBorder="1" applyAlignment="1" applyProtection="1">
      <alignment horizontal="centerContinuous" vertical="center"/>
      <protection locked="0"/>
    </xf>
    <xf numFmtId="164" fontId="13" fillId="3" borderId="6" xfId="0" applyNumberFormat="1" applyFont="1" applyFill="1" applyBorder="1" applyAlignment="1" applyProtection="1">
      <alignment horizontal="left" vertical="center"/>
      <protection locked="0"/>
    </xf>
    <xf numFmtId="164" fontId="1" fillId="3" borderId="6" xfId="0" applyNumberFormat="1" applyFont="1" applyFill="1" applyBorder="1" applyAlignment="1" applyProtection="1">
      <alignment horizontal="centerContinuous" vertical="center"/>
      <protection locked="0"/>
    </xf>
    <xf numFmtId="164" fontId="13" fillId="3" borderId="8" xfId="0" applyNumberFormat="1" applyFont="1" applyFill="1" applyBorder="1" applyAlignment="1" applyProtection="1">
      <alignment horizontal="centerContinuous" vertical="center"/>
      <protection locked="0"/>
    </xf>
    <xf numFmtId="1" fontId="1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9" xfId="18" applyNumberFormat="1" applyFont="1" applyFill="1" applyBorder="1" applyAlignment="1" applyProtection="1">
      <alignment horizontal="center" vertical="center" wrapText="1"/>
      <protection locked="0"/>
    </xf>
    <xf numFmtId="164" fontId="13" fillId="3" borderId="36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36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0" applyNumberFormat="1" applyFont="1" applyFill="1" applyBorder="1" applyAlignment="1" applyProtection="1">
      <alignment horizontal="centerContinuous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4" xfId="0" applyNumberFormat="1" applyFont="1" applyFill="1" applyBorder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/>
    </xf>
    <xf numFmtId="49" fontId="14" fillId="3" borderId="21" xfId="0" applyNumberFormat="1" applyFont="1" applyFill="1" applyBorder="1" applyAlignment="1" applyProtection="1">
      <alignment horizontal="centerContinuous" vertical="center"/>
      <protection locked="0"/>
    </xf>
    <xf numFmtId="164" fontId="3" fillId="3" borderId="24" xfId="18" applyNumberFormat="1" applyFont="1" applyFill="1" applyBorder="1" applyAlignment="1" applyProtection="1">
      <alignment vertical="center" wrapText="1"/>
      <protection locked="0"/>
    </xf>
    <xf numFmtId="164" fontId="14" fillId="0" borderId="0" xfId="0" applyNumberFormat="1" applyFont="1" applyBorder="1" applyAlignment="1">
      <alignment/>
    </xf>
    <xf numFmtId="1" fontId="1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19" xfId="18" applyNumberFormat="1" applyFont="1" applyFill="1" applyBorder="1" applyAlignment="1" applyProtection="1">
      <alignment vertical="center" wrapText="1"/>
      <protection locked="0"/>
    </xf>
    <xf numFmtId="3" fontId="12" fillId="0" borderId="19" xfId="0" applyNumberFormat="1" applyFont="1" applyFill="1" applyBorder="1" applyAlignment="1" applyProtection="1">
      <alignment vertical="center"/>
      <protection locked="0"/>
    </xf>
    <xf numFmtId="3" fontId="12" fillId="0" borderId="20" xfId="0" applyNumberFormat="1" applyFont="1" applyFill="1" applyBorder="1" applyAlignment="1" applyProtection="1">
      <alignment vertical="center"/>
      <protection locked="0"/>
    </xf>
    <xf numFmtId="1" fontId="9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9" xfId="18" applyNumberFormat="1" applyFont="1" applyFill="1" applyBorder="1" applyAlignment="1" applyProtection="1">
      <alignment vertical="center" wrapText="1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/>
    </xf>
    <xf numFmtId="164" fontId="3" fillId="0" borderId="34" xfId="18" applyNumberFormat="1" applyFont="1" applyFill="1" applyBorder="1" applyAlignment="1" applyProtection="1">
      <alignment horizontal="left" vertical="center" wrapText="1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right" vertical="center"/>
      <protection locked="0"/>
    </xf>
    <xf numFmtId="164" fontId="3" fillId="0" borderId="0" xfId="0" applyNumberFormat="1" applyFont="1" applyBorder="1" applyAlignment="1">
      <alignment/>
    </xf>
    <xf numFmtId="164" fontId="1" fillId="0" borderId="19" xfId="18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Border="1" applyAlignment="1">
      <alignment vertical="center"/>
    </xf>
    <xf numFmtId="164" fontId="9" fillId="0" borderId="19" xfId="18" applyNumberFormat="1" applyFont="1" applyFill="1" applyBorder="1" applyAlignment="1" applyProtection="1">
      <alignment horizontal="left" vertical="center" wrapText="1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49" fontId="14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24" xfId="18" applyNumberFormat="1" applyFont="1" applyFill="1" applyBorder="1" applyAlignment="1" applyProtection="1">
      <alignment vertical="center" wrapText="1"/>
      <protection locked="0"/>
    </xf>
    <xf numFmtId="3" fontId="14" fillId="0" borderId="24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164" fontId="9" fillId="0" borderId="0" xfId="0" applyNumberFormat="1" applyFont="1" applyBorder="1" applyAlignment="1">
      <alignment vertical="center"/>
    </xf>
    <xf numFmtId="1" fontId="14" fillId="3" borderId="21" xfId="0" applyNumberFormat="1" applyFont="1" applyFill="1" applyBorder="1" applyAlignment="1" applyProtection="1">
      <alignment horizontal="centerContinuous" vertical="center"/>
      <protection locked="0"/>
    </xf>
    <xf numFmtId="1" fontId="3" fillId="0" borderId="31" xfId="0" applyNumberFormat="1" applyFont="1" applyFill="1" applyBorder="1" applyAlignment="1" applyProtection="1">
      <alignment horizontal="centerContinuous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1" fontId="1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6" xfId="18" applyNumberFormat="1" applyFont="1" applyFill="1" applyBorder="1" applyAlignment="1" applyProtection="1">
      <alignment vertical="center" wrapText="1"/>
      <protection locked="0"/>
    </xf>
    <xf numFmtId="1" fontId="9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3" xfId="18" applyNumberFormat="1" applyFont="1" applyFill="1" applyBorder="1" applyAlignment="1" applyProtection="1">
      <alignment vertical="center" wrapText="1"/>
      <protection locked="0"/>
    </xf>
    <xf numFmtId="3" fontId="3" fillId="0" borderId="34" xfId="18" applyNumberFormat="1" applyFont="1" applyFill="1" applyBorder="1" applyAlignment="1" applyProtection="1">
      <alignment vertical="center" wrapText="1"/>
      <protection locked="0"/>
    </xf>
    <xf numFmtId="164" fontId="3" fillId="0" borderId="34" xfId="18" applyNumberFormat="1" applyFont="1" applyFill="1" applyBorder="1" applyAlignment="1" applyProtection="1">
      <alignment vertical="center" wrapText="1"/>
      <protection locked="0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3" fontId="12" fillId="0" borderId="19" xfId="0" applyNumberFormat="1" applyFont="1" applyFill="1" applyBorder="1" applyAlignment="1" applyProtection="1">
      <alignment horizontal="right" vertical="center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40" xfId="0" applyNumberFormat="1" applyFont="1" applyFill="1" applyBorder="1" applyAlignment="1" applyProtection="1">
      <alignment horizontal="centerContinuous" vertical="center"/>
      <protection locked="0"/>
    </xf>
    <xf numFmtId="1" fontId="1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34" xfId="18" applyNumberFormat="1" applyFont="1" applyFill="1" applyBorder="1" applyAlignment="1" applyProtection="1">
      <alignment vertical="center" wrapText="1"/>
      <protection locked="0"/>
    </xf>
    <xf numFmtId="3" fontId="9" fillId="0" borderId="34" xfId="0" applyNumberFormat="1" applyFont="1" applyFill="1" applyBorder="1" applyAlignment="1" applyProtection="1">
      <alignment vertical="center"/>
      <protection locked="0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3" fontId="14" fillId="0" borderId="34" xfId="0" applyNumberFormat="1" applyFont="1" applyFill="1" applyBorder="1" applyAlignment="1" applyProtection="1">
      <alignment vertical="center"/>
      <protection locked="0"/>
    </xf>
    <xf numFmtId="3" fontId="14" fillId="0" borderId="35" xfId="0" applyNumberFormat="1" applyFont="1" applyFill="1" applyBorder="1" applyAlignment="1" applyProtection="1">
      <alignment vertical="center"/>
      <protection locked="0"/>
    </xf>
    <xf numFmtId="164" fontId="9" fillId="0" borderId="43" xfId="18" applyNumberFormat="1" applyFont="1" applyFill="1" applyBorder="1" applyAlignment="1" applyProtection="1">
      <alignment horizontal="left" vertical="center" wrapText="1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164" fontId="1" fillId="0" borderId="36" xfId="18" applyNumberFormat="1" applyFont="1" applyFill="1" applyBorder="1" applyAlignment="1" applyProtection="1">
      <alignment horizontal="left"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1" fontId="3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8" xfId="18" applyNumberFormat="1" applyFont="1" applyFill="1" applyBorder="1" applyAlignment="1" applyProtection="1">
      <alignment vertical="center" wrapText="1"/>
      <protection locked="0"/>
    </xf>
    <xf numFmtId="49" fontId="9" fillId="0" borderId="19" xfId="18" applyNumberFormat="1" applyFont="1" applyFill="1" applyBorder="1" applyAlignment="1" applyProtection="1">
      <alignment horizontal="left" vertical="center" wrapText="1"/>
      <protection locked="0"/>
    </xf>
    <xf numFmtId="1" fontId="3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18" applyNumberFormat="1" applyFont="1" applyFill="1" applyBorder="1" applyAlignment="1" applyProtection="1">
      <alignment vertical="center" wrapText="1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1" fontId="18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9" xfId="18" applyNumberFormat="1" applyFont="1" applyFill="1" applyBorder="1" applyAlignment="1" applyProtection="1">
      <alignment horizontal="left" vertical="center" wrapText="1"/>
      <protection locked="0"/>
    </xf>
    <xf numFmtId="164" fontId="18" fillId="0" borderId="0" xfId="0" applyNumberFormat="1" applyFont="1" applyBorder="1" applyAlignment="1">
      <alignment/>
    </xf>
    <xf numFmtId="164" fontId="3" fillId="0" borderId="34" xfId="0" applyNumberFormat="1" applyFont="1" applyBorder="1" applyAlignment="1">
      <alignment vertical="center" wrapText="1"/>
    </xf>
    <xf numFmtId="1" fontId="9" fillId="0" borderId="3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18" applyNumberFormat="1" applyFont="1" applyFill="1" applyBorder="1" applyAlignment="1" applyProtection="1">
      <alignment horizontal="left" vertical="center" wrapText="1"/>
      <protection locked="0"/>
    </xf>
    <xf numFmtId="49" fontId="14" fillId="3" borderId="9" xfId="0" applyNumberFormat="1" applyFont="1" applyFill="1" applyBorder="1" applyAlignment="1" applyProtection="1">
      <alignment horizontal="centerContinuous" vertical="center"/>
      <protection locked="0"/>
    </xf>
    <xf numFmtId="164" fontId="3" fillId="3" borderId="12" xfId="18" applyNumberFormat="1" applyFont="1" applyFill="1" applyBorder="1" applyAlignment="1" applyProtection="1">
      <alignment vertical="center" wrapText="1"/>
      <protection locked="0"/>
    </xf>
    <xf numFmtId="3" fontId="3" fillId="3" borderId="12" xfId="0" applyNumberFormat="1" applyFont="1" applyFill="1" applyBorder="1" applyAlignment="1" applyProtection="1">
      <alignment vertical="center"/>
      <protection locked="0"/>
    </xf>
    <xf numFmtId="3" fontId="3" fillId="3" borderId="45" xfId="0" applyNumberFormat="1" applyFont="1" applyFill="1" applyBorder="1" applyAlignment="1" applyProtection="1">
      <alignment vertical="center"/>
      <protection locked="0"/>
    </xf>
    <xf numFmtId="1" fontId="3" fillId="3" borderId="21" xfId="0" applyNumberFormat="1" applyFont="1" applyFill="1" applyBorder="1" applyAlignment="1" applyProtection="1">
      <alignment horizontal="centerContinuous" vertical="center"/>
      <protection locked="0"/>
    </xf>
    <xf numFmtId="164" fontId="3" fillId="3" borderId="24" xfId="18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NumberFormat="1" applyFont="1" applyBorder="1" applyAlignment="1">
      <alignment vertical="center"/>
    </xf>
    <xf numFmtId="1" fontId="3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43" xfId="18" applyNumberFormat="1" applyFont="1" applyFill="1" applyBorder="1" applyAlignment="1" applyProtection="1">
      <alignment vertical="center" wrapText="1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45" xfId="0" applyNumberFormat="1" applyFont="1" applyFill="1" applyBorder="1" applyAlignment="1" applyProtection="1">
      <alignment vertical="center"/>
      <protection locked="0"/>
    </xf>
    <xf numFmtId="1" fontId="19" fillId="3" borderId="21" xfId="0" applyNumberFormat="1" applyFont="1" applyFill="1" applyBorder="1" applyAlignment="1" applyProtection="1">
      <alignment horizontal="centerContinuous" vertical="center"/>
      <protection locked="0"/>
    </xf>
    <xf numFmtId="164" fontId="20" fillId="3" borderId="24" xfId="18" applyNumberFormat="1" applyFont="1" applyFill="1" applyBorder="1" applyAlignment="1" applyProtection="1">
      <alignment vertical="center" wrapText="1"/>
      <protection locked="0"/>
    </xf>
    <xf numFmtId="3" fontId="21" fillId="3" borderId="24" xfId="0" applyNumberFormat="1" applyFont="1" applyFill="1" applyBorder="1" applyAlignment="1" applyProtection="1">
      <alignment vertical="center"/>
      <protection locked="0"/>
    </xf>
    <xf numFmtId="3" fontId="21" fillId="3" borderId="25" xfId="0" applyNumberFormat="1" applyFont="1" applyFill="1" applyBorder="1" applyAlignment="1" applyProtection="1">
      <alignment vertical="center"/>
      <protection locked="0"/>
    </xf>
    <xf numFmtId="3" fontId="16" fillId="0" borderId="44" xfId="0" applyNumberFormat="1" applyFont="1" applyFill="1" applyBorder="1" applyAlignment="1" applyProtection="1">
      <alignment vertical="center"/>
      <protection locked="0"/>
    </xf>
    <xf numFmtId="1" fontId="3" fillId="0" borderId="31" xfId="0" applyNumberFormat="1" applyFont="1" applyFill="1" applyBorder="1" applyAlignment="1" applyProtection="1">
      <alignment horizontal="center" vertical="center"/>
      <protection locked="0"/>
    </xf>
    <xf numFmtId="164" fontId="1" fillId="0" borderId="34" xfId="18" applyNumberFormat="1" applyFont="1" applyFill="1" applyBorder="1" applyAlignment="1" applyProtection="1">
      <alignment horizontal="left" vertical="center" wrapText="1"/>
      <protection locked="0"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49" fontId="9" fillId="0" borderId="19" xfId="18" applyNumberFormat="1" applyFont="1" applyFill="1" applyBorder="1" applyAlignment="1" applyProtection="1">
      <alignment vertical="center" wrapText="1"/>
      <protection locked="0"/>
    </xf>
    <xf numFmtId="1" fontId="3" fillId="3" borderId="9" xfId="0" applyNumberFormat="1" applyFont="1" applyFill="1" applyBorder="1" applyAlignment="1" applyProtection="1">
      <alignment horizontal="centerContinuous" vertical="center"/>
      <protection locked="0"/>
    </xf>
    <xf numFmtId="3" fontId="3" fillId="0" borderId="43" xfId="0" applyNumberFormat="1" applyFont="1" applyFill="1" applyBorder="1" applyAlignment="1" applyProtection="1">
      <alignment horizontal="right" vertical="center"/>
      <protection locked="0"/>
    </xf>
    <xf numFmtId="3" fontId="3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35" xfId="0" applyNumberFormat="1" applyFont="1" applyFill="1" applyBorder="1" applyAlignment="1" applyProtection="1">
      <alignment vertical="center"/>
      <protection locked="0"/>
    </xf>
    <xf numFmtId="49" fontId="9" fillId="0" borderId="43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9" xfId="18" applyNumberFormat="1" applyFont="1" applyFill="1" applyBorder="1" applyAlignment="1" applyProtection="1">
      <alignment vertical="center" wrapText="1"/>
      <protection locked="0"/>
    </xf>
    <xf numFmtId="164" fontId="9" fillId="0" borderId="37" xfId="0" applyNumberFormat="1" applyFont="1" applyBorder="1" applyAlignment="1">
      <alignment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64" fontId="1" fillId="0" borderId="43" xfId="18" applyNumberFormat="1" applyFont="1" applyFill="1" applyBorder="1" applyAlignment="1" applyProtection="1">
      <alignment vertical="center" wrapText="1"/>
      <protection locked="0"/>
    </xf>
    <xf numFmtId="1" fontId="14" fillId="3" borderId="9" xfId="0" applyNumberFormat="1" applyFont="1" applyFill="1" applyBorder="1" applyAlignment="1" applyProtection="1">
      <alignment horizontal="center" vertical="center"/>
      <protection locked="0"/>
    </xf>
    <xf numFmtId="49" fontId="9" fillId="0" borderId="43" xfId="18" applyNumberFormat="1" applyFont="1" applyFill="1" applyBorder="1" applyAlignment="1" applyProtection="1">
      <alignment vertical="center" wrapText="1"/>
      <protection locked="0"/>
    </xf>
    <xf numFmtId="1" fontId="14" fillId="3" borderId="21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Border="1" applyAlignment="1">
      <alignment/>
    </xf>
    <xf numFmtId="3" fontId="1" fillId="0" borderId="36" xfId="0" applyNumberFormat="1" applyFont="1" applyFill="1" applyBorder="1" applyAlignment="1" applyProtection="1">
      <alignment horizontal="right" vertical="center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164" fontId="1" fillId="0" borderId="43" xfId="18" applyNumberFormat="1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" fontId="3" fillId="0" borderId="16" xfId="0" applyNumberFormat="1" applyFont="1" applyFill="1" applyBorder="1" applyAlignment="1" applyProtection="1">
      <alignment horizontal="centerContinuous" vertical="center"/>
      <protection locked="0"/>
    </xf>
    <xf numFmtId="1" fontId="14" fillId="0" borderId="56" xfId="0" applyNumberFormat="1" applyFont="1" applyFill="1" applyBorder="1" applyAlignment="1" applyProtection="1">
      <alignment horizontal="centerContinuous" vertical="center"/>
      <protection locked="0"/>
    </xf>
    <xf numFmtId="0" fontId="14" fillId="0" borderId="13" xfId="0" applyFont="1" applyBorder="1" applyAlignment="1">
      <alignment vertical="center" wrapText="1"/>
    </xf>
    <xf numFmtId="3" fontId="14" fillId="0" borderId="13" xfId="0" applyNumberFormat="1" applyFont="1" applyFill="1" applyBorder="1" applyAlignment="1" applyProtection="1">
      <alignment vertical="center"/>
      <protection locked="0"/>
    </xf>
    <xf numFmtId="3" fontId="14" fillId="0" borderId="15" xfId="0" applyNumberFormat="1" applyFont="1" applyFill="1" applyBorder="1" applyAlignment="1" applyProtection="1">
      <alignment vertical="center"/>
      <protection locked="0"/>
    </xf>
    <xf numFmtId="1" fontId="14" fillId="0" borderId="16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 wrapText="1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" fontId="9" fillId="0" borderId="16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18" fillId="0" borderId="19" xfId="0" applyNumberFormat="1" applyFont="1" applyBorder="1" applyAlignment="1">
      <alignment vertical="center"/>
    </xf>
    <xf numFmtId="3" fontId="18" fillId="0" borderId="2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vertical="center"/>
    </xf>
    <xf numFmtId="164" fontId="5" fillId="0" borderId="19" xfId="18" applyNumberFormat="1" applyFont="1" applyFill="1" applyBorder="1" applyAlignment="1" applyProtection="1">
      <alignment vertical="center" wrapText="1"/>
      <protection locked="0"/>
    </xf>
    <xf numFmtId="3" fontId="5" fillId="0" borderId="19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" fontId="1" fillId="0" borderId="16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1" fontId="15" fillId="0" borderId="16" xfId="0" applyNumberFormat="1" applyFont="1" applyBorder="1" applyAlignment="1">
      <alignment vertical="center"/>
    </xf>
    <xf numFmtId="164" fontId="15" fillId="0" borderId="19" xfId="18" applyNumberFormat="1" applyFont="1" applyFill="1" applyBorder="1" applyAlignment="1" applyProtection="1">
      <alignment vertical="center" wrapText="1"/>
      <protection locked="0"/>
    </xf>
    <xf numFmtId="3" fontId="15" fillId="0" borderId="19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" fontId="9" fillId="0" borderId="9" xfId="0" applyNumberFormat="1" applyFont="1" applyBorder="1" applyAlignment="1">
      <alignment vertical="center"/>
    </xf>
    <xf numFmtId="164" fontId="9" fillId="0" borderId="12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3" fontId="9" fillId="0" borderId="45" xfId="0" applyNumberFormat="1" applyFont="1" applyBorder="1" applyAlignment="1">
      <alignment vertical="center"/>
    </xf>
    <xf numFmtId="1" fontId="1" fillId="0" borderId="57" xfId="0" applyNumberFormat="1" applyFont="1" applyBorder="1" applyAlignment="1">
      <alignment/>
    </xf>
    <xf numFmtId="164" fontId="1" fillId="0" borderId="57" xfId="0" applyNumberFormat="1" applyFont="1" applyBorder="1" applyAlignment="1">
      <alignment wrapText="1"/>
    </xf>
    <xf numFmtId="164" fontId="1" fillId="0" borderId="57" xfId="0" applyNumberFormat="1" applyFont="1" applyBorder="1" applyAlignment="1">
      <alignment/>
    </xf>
    <xf numFmtId="164" fontId="12" fillId="0" borderId="57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3" borderId="21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24" fillId="3" borderId="25" xfId="0" applyFont="1" applyFill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3" xfId="0" applyFont="1" applyBorder="1" applyAlignment="1">
      <alignment/>
    </xf>
    <xf numFmtId="3" fontId="26" fillId="0" borderId="43" xfId="0" applyNumberFormat="1" applyFont="1" applyBorder="1" applyAlignment="1">
      <alignment horizontal="center"/>
    </xf>
    <xf numFmtId="3" fontId="26" fillId="0" borderId="44" xfId="0" applyNumberFormat="1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4" xfId="0" applyFont="1" applyBorder="1" applyAlignment="1">
      <alignment/>
    </xf>
    <xf numFmtId="3" fontId="26" fillId="0" borderId="34" xfId="0" applyNumberFormat="1" applyFont="1" applyBorder="1" applyAlignment="1">
      <alignment horizontal="center"/>
    </xf>
    <xf numFmtId="3" fontId="26" fillId="0" borderId="35" xfId="0" applyNumberFormat="1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13" xfId="0" applyFont="1" applyBorder="1" applyAlignment="1">
      <alignment/>
    </xf>
    <xf numFmtId="3" fontId="26" fillId="0" borderId="13" xfId="0" applyNumberFormat="1" applyFont="1" applyBorder="1" applyAlignment="1">
      <alignment horizontal="center"/>
    </xf>
    <xf numFmtId="3" fontId="26" fillId="0" borderId="15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0" fontId="24" fillId="0" borderId="12" xfId="0" applyFont="1" applyBorder="1" applyAlignment="1">
      <alignment/>
    </xf>
    <xf numFmtId="3" fontId="24" fillId="0" borderId="12" xfId="0" applyNumberFormat="1" applyFont="1" applyBorder="1" applyAlignment="1">
      <alignment horizontal="center"/>
    </xf>
    <xf numFmtId="3" fontId="24" fillId="0" borderId="45" xfId="0" applyNumberFormat="1" applyFont="1" applyBorder="1" applyAlignment="1">
      <alignment horizontal="center"/>
    </xf>
    <xf numFmtId="49" fontId="1" fillId="0" borderId="9" xfId="0" applyNumberFormat="1" applyFont="1" applyFill="1" applyBorder="1" applyAlignment="1" applyProtection="1">
      <alignment horizontal="centerContinuous" vertical="center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tabSelected="1" workbookViewId="0" topLeftCell="G1">
      <selection activeCell="A253" sqref="A253"/>
    </sheetView>
  </sheetViews>
  <sheetFormatPr defaultColWidth="9.00390625" defaultRowHeight="12.75"/>
  <cols>
    <col min="1" max="1" width="5.00390625" style="1" customWidth="1"/>
    <col min="2" max="2" width="21.625" style="2" customWidth="1"/>
    <col min="3" max="3" width="4.25390625" style="3" hidden="1" customWidth="1"/>
    <col min="4" max="4" width="9.25390625" style="2" customWidth="1"/>
    <col min="5" max="16" width="8.375" style="2" customWidth="1"/>
    <col min="17" max="17" width="11.875" style="2" hidden="1" customWidth="1"/>
    <col min="18" max="18" width="10.375" style="2" customWidth="1"/>
    <col min="19" max="19" width="10.75390625" style="2" customWidth="1"/>
    <col min="20" max="16384" width="9.125" style="2" customWidth="1"/>
  </cols>
  <sheetData>
    <row r="1" spans="14:16" ht="12">
      <c r="N1" s="4" t="s">
        <v>0</v>
      </c>
      <c r="O1" s="5"/>
      <c r="P1" s="5"/>
    </row>
    <row r="2" spans="14:20" ht="12">
      <c r="N2" s="4" t="s">
        <v>1</v>
      </c>
      <c r="O2" s="5"/>
      <c r="P2" s="5"/>
      <c r="R2" s="6"/>
      <c r="S2" s="7"/>
      <c r="T2" s="5"/>
    </row>
    <row r="3" spans="14:20" ht="12">
      <c r="N3" s="4" t="s">
        <v>2</v>
      </c>
      <c r="O3" s="5"/>
      <c r="P3" s="5"/>
      <c r="R3" s="6"/>
      <c r="S3" s="7"/>
      <c r="T3" s="5"/>
    </row>
    <row r="4" spans="1:20" ht="1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 t="s">
        <v>3</v>
      </c>
      <c r="O4" s="10"/>
      <c r="P4" s="10"/>
      <c r="R4" s="6"/>
      <c r="S4" s="10"/>
      <c r="T4" s="10"/>
    </row>
    <row r="5" spans="1:18" ht="18.75">
      <c r="A5" s="11" t="s">
        <v>4</v>
      </c>
      <c r="B5" s="12"/>
      <c r="C5" s="9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R5" s="6"/>
    </row>
    <row r="6" spans="2:18" s="14" customFormat="1" ht="12">
      <c r="B6" s="15"/>
      <c r="C6" s="16"/>
      <c r="D6" s="17"/>
      <c r="E6" s="17"/>
      <c r="F6" s="17"/>
      <c r="G6" s="15" t="s">
        <v>5</v>
      </c>
      <c r="H6" s="17"/>
      <c r="I6" s="17"/>
      <c r="J6" s="17"/>
      <c r="K6" s="17"/>
      <c r="L6" s="17"/>
      <c r="M6" s="17"/>
      <c r="N6" s="10"/>
      <c r="O6" s="10"/>
      <c r="P6" s="10"/>
      <c r="R6" s="6"/>
    </row>
    <row r="7" spans="1:18" s="14" customFormat="1" ht="12.75" thickBot="1">
      <c r="A7" s="15"/>
      <c r="B7" s="17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0"/>
      <c r="O7" s="10"/>
      <c r="P7" s="18" t="s">
        <v>6</v>
      </c>
      <c r="R7" s="6"/>
    </row>
    <row r="8" spans="1:18" s="30" customFormat="1" ht="36.75" thickTop="1">
      <c r="A8" s="19" t="s">
        <v>7</v>
      </c>
      <c r="B8" s="20"/>
      <c r="C8" s="21" t="s">
        <v>8</v>
      </c>
      <c r="D8" s="22" t="s">
        <v>9</v>
      </c>
      <c r="E8" s="23"/>
      <c r="F8" s="24"/>
      <c r="G8" s="24"/>
      <c r="H8" s="25"/>
      <c r="I8" s="26" t="s">
        <v>10</v>
      </c>
      <c r="J8" s="27"/>
      <c r="K8" s="27"/>
      <c r="L8" s="27"/>
      <c r="M8" s="27"/>
      <c r="N8" s="28"/>
      <c r="O8" s="28"/>
      <c r="P8" s="29"/>
      <c r="R8" s="31"/>
    </row>
    <row r="9" spans="1:18" s="42" customFormat="1" ht="24.75" thickBot="1">
      <c r="A9" s="32" t="s">
        <v>11</v>
      </c>
      <c r="B9" s="33" t="s">
        <v>12</v>
      </c>
      <c r="C9" s="34" t="s">
        <v>13</v>
      </c>
      <c r="D9" s="35"/>
      <c r="E9" s="36" t="s">
        <v>14</v>
      </c>
      <c r="F9" s="36" t="s">
        <v>15</v>
      </c>
      <c r="G9" s="36" t="s">
        <v>16</v>
      </c>
      <c r="H9" s="37" t="s">
        <v>17</v>
      </c>
      <c r="I9" s="38" t="s">
        <v>18</v>
      </c>
      <c r="J9" s="38" t="s">
        <v>19</v>
      </c>
      <c r="K9" s="38" t="s">
        <v>20</v>
      </c>
      <c r="L9" s="38" t="s">
        <v>21</v>
      </c>
      <c r="M9" s="39" t="s">
        <v>22</v>
      </c>
      <c r="N9" s="39" t="s">
        <v>23</v>
      </c>
      <c r="O9" s="40" t="s">
        <v>24</v>
      </c>
      <c r="P9" s="41" t="s">
        <v>25</v>
      </c>
      <c r="R9" s="31"/>
    </row>
    <row r="10" spans="1:18" s="48" customFormat="1" ht="13.5" thickBot="1" thickTop="1">
      <c r="A10" s="43">
        <v>1</v>
      </c>
      <c r="B10" s="44">
        <v>2</v>
      </c>
      <c r="C10" s="45">
        <v>3</v>
      </c>
      <c r="D10" s="46">
        <v>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>
        <v>11</v>
      </c>
      <c r="M10" s="46">
        <v>12</v>
      </c>
      <c r="N10" s="46">
        <v>13</v>
      </c>
      <c r="O10" s="44">
        <v>14</v>
      </c>
      <c r="P10" s="47">
        <v>15</v>
      </c>
      <c r="R10" s="31"/>
    </row>
    <row r="11" spans="1:19" s="56" customFormat="1" ht="25.5" thickBot="1" thickTop="1">
      <c r="A11" s="49" t="s">
        <v>26</v>
      </c>
      <c r="B11" s="50" t="s">
        <v>27</v>
      </c>
      <c r="C11" s="51"/>
      <c r="D11" s="52">
        <f aca="true" t="shared" si="0" ref="D11:P11">D12+D14+D19</f>
        <v>15242403</v>
      </c>
      <c r="E11" s="52">
        <f t="shared" si="0"/>
        <v>6167</v>
      </c>
      <c r="F11" s="52">
        <f t="shared" si="0"/>
        <v>2000</v>
      </c>
      <c r="G11" s="52">
        <f t="shared" si="0"/>
        <v>1522223</v>
      </c>
      <c r="H11" s="52">
        <f t="shared" si="0"/>
        <v>1526140</v>
      </c>
      <c r="I11" s="52">
        <f t="shared" si="0"/>
        <v>1521973</v>
      </c>
      <c r="J11" s="52">
        <f t="shared" si="0"/>
        <v>1522223</v>
      </c>
      <c r="K11" s="52">
        <f t="shared" si="0"/>
        <v>1526140</v>
      </c>
      <c r="L11" s="52">
        <f t="shared" si="0"/>
        <v>1521973</v>
      </c>
      <c r="M11" s="52">
        <f t="shared" si="0"/>
        <v>1522223</v>
      </c>
      <c r="N11" s="52">
        <f t="shared" si="0"/>
        <v>1527140</v>
      </c>
      <c r="O11" s="53">
        <f t="shared" si="0"/>
        <v>1521973</v>
      </c>
      <c r="P11" s="54">
        <f t="shared" si="0"/>
        <v>1522228</v>
      </c>
      <c r="Q11" s="55">
        <f aca="true" t="shared" si="1" ref="Q11:Q74">SUM(H11:P11)</f>
        <v>13712013</v>
      </c>
      <c r="R11" s="6"/>
      <c r="S11" s="6"/>
    </row>
    <row r="12" spans="1:19" s="56" customFormat="1" ht="16.5" customHeight="1" thickTop="1">
      <c r="A12" s="57" t="s">
        <v>28</v>
      </c>
      <c r="B12" s="58" t="s">
        <v>29</v>
      </c>
      <c r="C12" s="59"/>
      <c r="D12" s="60">
        <f>D13</f>
        <v>16668</v>
      </c>
      <c r="E12" s="60">
        <f aca="true" t="shared" si="2" ref="E12:P12">E13</f>
        <v>4167</v>
      </c>
      <c r="F12" s="60">
        <f t="shared" si="2"/>
        <v>0</v>
      </c>
      <c r="G12" s="60">
        <f t="shared" si="2"/>
        <v>0</v>
      </c>
      <c r="H12" s="60">
        <f t="shared" si="2"/>
        <v>4167</v>
      </c>
      <c r="I12" s="60">
        <f t="shared" si="2"/>
        <v>0</v>
      </c>
      <c r="J12" s="60">
        <f t="shared" si="2"/>
        <v>0</v>
      </c>
      <c r="K12" s="60">
        <f t="shared" si="2"/>
        <v>4167</v>
      </c>
      <c r="L12" s="60">
        <f t="shared" si="2"/>
        <v>0</v>
      </c>
      <c r="M12" s="60">
        <f t="shared" si="2"/>
        <v>0</v>
      </c>
      <c r="N12" s="60">
        <f t="shared" si="2"/>
        <v>4167</v>
      </c>
      <c r="O12" s="61">
        <f t="shared" si="2"/>
        <v>0</v>
      </c>
      <c r="P12" s="62">
        <f t="shared" si="2"/>
        <v>0</v>
      </c>
      <c r="Q12" s="55"/>
      <c r="R12" s="6"/>
      <c r="S12" s="6"/>
    </row>
    <row r="13" spans="1:19" s="14" customFormat="1" ht="47.25" customHeight="1">
      <c r="A13" s="63" t="s">
        <v>30</v>
      </c>
      <c r="B13" s="64" t="s">
        <v>31</v>
      </c>
      <c r="C13" s="65"/>
      <c r="D13" s="66">
        <v>16668</v>
      </c>
      <c r="E13" s="66">
        <v>4167</v>
      </c>
      <c r="F13" s="66">
        <v>0</v>
      </c>
      <c r="G13" s="66">
        <v>0</v>
      </c>
      <c r="H13" s="66">
        <v>4167</v>
      </c>
      <c r="I13" s="66">
        <v>0</v>
      </c>
      <c r="J13" s="66">
        <v>0</v>
      </c>
      <c r="K13" s="66">
        <v>4167</v>
      </c>
      <c r="L13" s="66">
        <v>0</v>
      </c>
      <c r="M13" s="66">
        <v>0</v>
      </c>
      <c r="N13" s="66">
        <v>4167</v>
      </c>
      <c r="O13" s="67">
        <v>0</v>
      </c>
      <c r="P13" s="68">
        <v>0</v>
      </c>
      <c r="Q13" s="6"/>
      <c r="R13" s="6"/>
      <c r="S13" s="6"/>
    </row>
    <row r="14" spans="1:19" s="56" customFormat="1" ht="36" customHeight="1">
      <c r="A14" s="69" t="s">
        <v>32</v>
      </c>
      <c r="B14" s="70" t="s">
        <v>33</v>
      </c>
      <c r="C14" s="71"/>
      <c r="D14" s="72">
        <f>SUM(D15:D18)</f>
        <v>15214735</v>
      </c>
      <c r="E14" s="72">
        <f aca="true" t="shared" si="3" ref="E14:P14">SUM(E15:E18)</f>
        <v>1000</v>
      </c>
      <c r="F14" s="72">
        <f t="shared" si="3"/>
        <v>1000</v>
      </c>
      <c r="G14" s="72">
        <f t="shared" si="3"/>
        <v>1520973</v>
      </c>
      <c r="H14" s="72">
        <f t="shared" si="3"/>
        <v>1520973</v>
      </c>
      <c r="I14" s="72">
        <f t="shared" si="3"/>
        <v>1520973</v>
      </c>
      <c r="J14" s="72">
        <f t="shared" si="3"/>
        <v>1520973</v>
      </c>
      <c r="K14" s="72">
        <f t="shared" si="3"/>
        <v>1520973</v>
      </c>
      <c r="L14" s="72">
        <f t="shared" si="3"/>
        <v>1520973</v>
      </c>
      <c r="M14" s="72">
        <f t="shared" si="3"/>
        <v>1520973</v>
      </c>
      <c r="N14" s="72">
        <f t="shared" si="3"/>
        <v>1521973</v>
      </c>
      <c r="O14" s="73">
        <f t="shared" si="3"/>
        <v>1521973</v>
      </c>
      <c r="P14" s="74">
        <f t="shared" si="3"/>
        <v>1521978</v>
      </c>
      <c r="Q14" s="55"/>
      <c r="R14" s="6"/>
      <c r="S14" s="6"/>
    </row>
    <row r="15" spans="1:19" s="56" customFormat="1" ht="42" customHeight="1">
      <c r="A15" s="63" t="s">
        <v>34</v>
      </c>
      <c r="B15" s="64" t="s">
        <v>35</v>
      </c>
      <c r="C15" s="75"/>
      <c r="D15" s="76">
        <v>10000</v>
      </c>
      <c r="E15" s="76">
        <v>0</v>
      </c>
      <c r="F15" s="76">
        <v>0</v>
      </c>
      <c r="G15" s="76">
        <v>1000</v>
      </c>
      <c r="H15" s="66">
        <v>1000</v>
      </c>
      <c r="I15" s="66">
        <v>1000</v>
      </c>
      <c r="J15" s="66">
        <v>1000</v>
      </c>
      <c r="K15" s="66">
        <v>1000</v>
      </c>
      <c r="L15" s="66">
        <v>1000</v>
      </c>
      <c r="M15" s="66">
        <v>1000</v>
      </c>
      <c r="N15" s="66">
        <v>1000</v>
      </c>
      <c r="O15" s="67">
        <v>1000</v>
      </c>
      <c r="P15" s="77">
        <v>1000</v>
      </c>
      <c r="Q15" s="55"/>
      <c r="R15" s="6"/>
      <c r="S15" s="6"/>
    </row>
    <row r="16" spans="1:19" s="56" customFormat="1" ht="24">
      <c r="A16" s="63" t="s">
        <v>36</v>
      </c>
      <c r="B16" s="64" t="s">
        <v>37</v>
      </c>
      <c r="C16" s="75"/>
      <c r="D16" s="66">
        <v>15000</v>
      </c>
      <c r="E16" s="66">
        <v>1000</v>
      </c>
      <c r="F16" s="66">
        <v>1000</v>
      </c>
      <c r="G16" s="66">
        <v>1000</v>
      </c>
      <c r="H16" s="66">
        <v>1000</v>
      </c>
      <c r="I16" s="66">
        <v>1000</v>
      </c>
      <c r="J16" s="66">
        <v>1000</v>
      </c>
      <c r="K16" s="66">
        <v>1000</v>
      </c>
      <c r="L16" s="66">
        <v>1000</v>
      </c>
      <c r="M16" s="66">
        <v>1000</v>
      </c>
      <c r="N16" s="66">
        <v>2000</v>
      </c>
      <c r="O16" s="67">
        <v>2000</v>
      </c>
      <c r="P16" s="77">
        <v>2000</v>
      </c>
      <c r="Q16" s="55"/>
      <c r="R16" s="6"/>
      <c r="S16" s="6"/>
    </row>
    <row r="17" spans="1:19" s="56" customFormat="1" ht="60">
      <c r="A17" s="63" t="s">
        <v>38</v>
      </c>
      <c r="B17" s="64" t="s">
        <v>39</v>
      </c>
      <c r="C17" s="75"/>
      <c r="D17" s="66">
        <v>8640000</v>
      </c>
      <c r="E17" s="66">
        <v>0</v>
      </c>
      <c r="F17" s="66">
        <v>0</v>
      </c>
      <c r="G17" s="66">
        <v>864000</v>
      </c>
      <c r="H17" s="66">
        <v>864000</v>
      </c>
      <c r="I17" s="66">
        <v>864000</v>
      </c>
      <c r="J17" s="66">
        <v>864000</v>
      </c>
      <c r="K17" s="66">
        <v>864000</v>
      </c>
      <c r="L17" s="66">
        <v>864000</v>
      </c>
      <c r="M17" s="66">
        <v>864000</v>
      </c>
      <c r="N17" s="66">
        <v>864000</v>
      </c>
      <c r="O17" s="67">
        <v>864000</v>
      </c>
      <c r="P17" s="77">
        <v>864000</v>
      </c>
      <c r="Q17" s="55"/>
      <c r="R17" s="6"/>
      <c r="S17" s="6"/>
    </row>
    <row r="18" spans="1:19" s="56" customFormat="1" ht="34.5" customHeight="1">
      <c r="A18" s="63" t="s">
        <v>40</v>
      </c>
      <c r="B18" s="64" t="s">
        <v>41</v>
      </c>
      <c r="C18" s="75"/>
      <c r="D18" s="66">
        <v>6549735</v>
      </c>
      <c r="E18" s="66">
        <v>0</v>
      </c>
      <c r="F18" s="66">
        <v>0</v>
      </c>
      <c r="G18" s="66">
        <v>654973</v>
      </c>
      <c r="H18" s="66">
        <v>654973</v>
      </c>
      <c r="I18" s="66">
        <v>654973</v>
      </c>
      <c r="J18" s="66">
        <v>654973</v>
      </c>
      <c r="K18" s="66">
        <v>654973</v>
      </c>
      <c r="L18" s="66">
        <v>654973</v>
      </c>
      <c r="M18" s="66">
        <v>654973</v>
      </c>
      <c r="N18" s="66">
        <v>654973</v>
      </c>
      <c r="O18" s="67">
        <v>654973</v>
      </c>
      <c r="P18" s="77">
        <v>654978</v>
      </c>
      <c r="Q18" s="55"/>
      <c r="R18" s="6"/>
      <c r="S18" s="6"/>
    </row>
    <row r="19" spans="1:19" s="56" customFormat="1" ht="18" customHeight="1">
      <c r="A19" s="69" t="s">
        <v>42</v>
      </c>
      <c r="B19" s="78" t="s">
        <v>43</v>
      </c>
      <c r="C19" s="79" t="s">
        <v>44</v>
      </c>
      <c r="D19" s="72">
        <f>SUM(D20:D21)</f>
        <v>11000</v>
      </c>
      <c r="E19" s="72">
        <f aca="true" t="shared" si="4" ref="E19:O19">SUM(E20:E21)</f>
        <v>1000</v>
      </c>
      <c r="F19" s="72">
        <f t="shared" si="4"/>
        <v>1000</v>
      </c>
      <c r="G19" s="72">
        <f t="shared" si="4"/>
        <v>1250</v>
      </c>
      <c r="H19" s="72">
        <f t="shared" si="4"/>
        <v>1000</v>
      </c>
      <c r="I19" s="72">
        <f t="shared" si="4"/>
        <v>1000</v>
      </c>
      <c r="J19" s="72">
        <f t="shared" si="4"/>
        <v>1250</v>
      </c>
      <c r="K19" s="72">
        <f t="shared" si="4"/>
        <v>1000</v>
      </c>
      <c r="L19" s="72">
        <f t="shared" si="4"/>
        <v>1000</v>
      </c>
      <c r="M19" s="72">
        <f t="shared" si="4"/>
        <v>1250</v>
      </c>
      <c r="N19" s="72">
        <f t="shared" si="4"/>
        <v>1000</v>
      </c>
      <c r="O19" s="73">
        <f t="shared" si="4"/>
        <v>0</v>
      </c>
      <c r="P19" s="74">
        <f>SUM(P20:P21)</f>
        <v>250</v>
      </c>
      <c r="Q19" s="55">
        <f t="shared" si="1"/>
        <v>7750</v>
      </c>
      <c r="R19" s="6"/>
      <c r="S19" s="6"/>
    </row>
    <row r="20" spans="1:19" s="14" customFormat="1" ht="48">
      <c r="A20" s="80" t="s">
        <v>34</v>
      </c>
      <c r="B20" s="81" t="s">
        <v>35</v>
      </c>
      <c r="C20" s="82"/>
      <c r="D20" s="66">
        <v>1000</v>
      </c>
      <c r="E20" s="66">
        <v>0</v>
      </c>
      <c r="F20" s="66">
        <v>0</v>
      </c>
      <c r="G20" s="76">
        <v>250</v>
      </c>
      <c r="H20" s="76">
        <v>0</v>
      </c>
      <c r="I20" s="76">
        <v>0</v>
      </c>
      <c r="J20" s="76">
        <v>250</v>
      </c>
      <c r="K20" s="76">
        <v>0</v>
      </c>
      <c r="L20" s="76">
        <v>0</v>
      </c>
      <c r="M20" s="76">
        <v>250</v>
      </c>
      <c r="N20" s="76">
        <v>0</v>
      </c>
      <c r="O20" s="83">
        <v>0</v>
      </c>
      <c r="P20" s="68">
        <v>250</v>
      </c>
      <c r="Q20" s="55">
        <f t="shared" si="1"/>
        <v>750</v>
      </c>
      <c r="R20" s="6"/>
      <c r="S20" s="6"/>
    </row>
    <row r="21" spans="1:19" s="14" customFormat="1" ht="24">
      <c r="A21" s="84" t="s">
        <v>36</v>
      </c>
      <c r="B21" s="85" t="s">
        <v>45</v>
      </c>
      <c r="C21" s="86"/>
      <c r="D21" s="87">
        <v>10000</v>
      </c>
      <c r="E21" s="87">
        <v>1000</v>
      </c>
      <c r="F21" s="87">
        <v>1000</v>
      </c>
      <c r="G21" s="87">
        <v>1000</v>
      </c>
      <c r="H21" s="87">
        <v>1000</v>
      </c>
      <c r="I21" s="87">
        <v>1000</v>
      </c>
      <c r="J21" s="87">
        <v>1000</v>
      </c>
      <c r="K21" s="87">
        <v>1000</v>
      </c>
      <c r="L21" s="87">
        <v>1000</v>
      </c>
      <c r="M21" s="87">
        <v>1000</v>
      </c>
      <c r="N21" s="87">
        <v>1000</v>
      </c>
      <c r="O21" s="88">
        <v>0</v>
      </c>
      <c r="P21" s="89">
        <v>0</v>
      </c>
      <c r="Q21" s="55">
        <f t="shared" si="1"/>
        <v>7000</v>
      </c>
      <c r="R21" s="6"/>
      <c r="S21" s="6"/>
    </row>
    <row r="22" spans="1:19" s="14" customFormat="1" ht="24.75" thickBot="1">
      <c r="A22" s="90" t="s">
        <v>46</v>
      </c>
      <c r="B22" s="91" t="s">
        <v>47</v>
      </c>
      <c r="C22" s="92"/>
      <c r="D22" s="93">
        <f>D23</f>
        <v>26872000</v>
      </c>
      <c r="E22" s="93">
        <f aca="true" t="shared" si="5" ref="E22:P22">E23</f>
        <v>732750</v>
      </c>
      <c r="F22" s="93">
        <f t="shared" si="5"/>
        <v>928750</v>
      </c>
      <c r="G22" s="93">
        <f t="shared" si="5"/>
        <v>3920850</v>
      </c>
      <c r="H22" s="93">
        <f t="shared" si="5"/>
        <v>761850</v>
      </c>
      <c r="I22" s="93">
        <f t="shared" si="5"/>
        <v>1031850</v>
      </c>
      <c r="J22" s="93">
        <f t="shared" si="5"/>
        <v>12211850</v>
      </c>
      <c r="K22" s="93">
        <f t="shared" si="5"/>
        <v>701850</v>
      </c>
      <c r="L22" s="93">
        <f t="shared" si="5"/>
        <v>731850</v>
      </c>
      <c r="M22" s="93">
        <f t="shared" si="5"/>
        <v>1688850</v>
      </c>
      <c r="N22" s="93">
        <f t="shared" si="5"/>
        <v>1101850</v>
      </c>
      <c r="O22" s="94">
        <f t="shared" si="5"/>
        <v>1446850</v>
      </c>
      <c r="P22" s="95">
        <f t="shared" si="5"/>
        <v>1612850</v>
      </c>
      <c r="Q22" s="55">
        <f t="shared" si="1"/>
        <v>21289650</v>
      </c>
      <c r="R22" s="6"/>
      <c r="S22" s="6"/>
    </row>
    <row r="23" spans="1:19" s="14" customFormat="1" ht="24.75" thickTop="1">
      <c r="A23" s="96" t="s">
        <v>48</v>
      </c>
      <c r="B23" s="97" t="s">
        <v>49</v>
      </c>
      <c r="C23" s="86" t="s">
        <v>50</v>
      </c>
      <c r="D23" s="98">
        <f>D24+D25+D26+D27+D30+D31+D32+D33</f>
        <v>26872000</v>
      </c>
      <c r="E23" s="98">
        <f aca="true" t="shared" si="6" ref="E23:P23">E24+E25+E26+E27+E30+E31+E32+E33</f>
        <v>732750</v>
      </c>
      <c r="F23" s="98">
        <f t="shared" si="6"/>
        <v>928750</v>
      </c>
      <c r="G23" s="98">
        <f t="shared" si="6"/>
        <v>3920850</v>
      </c>
      <c r="H23" s="98">
        <f t="shared" si="6"/>
        <v>761850</v>
      </c>
      <c r="I23" s="98">
        <f t="shared" si="6"/>
        <v>1031850</v>
      </c>
      <c r="J23" s="98">
        <f t="shared" si="6"/>
        <v>12211850</v>
      </c>
      <c r="K23" s="98">
        <f t="shared" si="6"/>
        <v>701850</v>
      </c>
      <c r="L23" s="98">
        <f t="shared" si="6"/>
        <v>731850</v>
      </c>
      <c r="M23" s="98">
        <f t="shared" si="6"/>
        <v>1688850</v>
      </c>
      <c r="N23" s="98">
        <f t="shared" si="6"/>
        <v>1101850</v>
      </c>
      <c r="O23" s="99">
        <f t="shared" si="6"/>
        <v>1446850</v>
      </c>
      <c r="P23" s="100">
        <f t="shared" si="6"/>
        <v>1612850</v>
      </c>
      <c r="Q23" s="55">
        <f t="shared" si="1"/>
        <v>21289650</v>
      </c>
      <c r="R23" s="6"/>
      <c r="S23" s="6"/>
    </row>
    <row r="24" spans="1:19" s="14" customFormat="1" ht="36">
      <c r="A24" s="80" t="s">
        <v>51</v>
      </c>
      <c r="B24" s="64" t="s">
        <v>52</v>
      </c>
      <c r="C24" s="65"/>
      <c r="D24" s="76">
        <v>6217000</v>
      </c>
      <c r="E24" s="76">
        <f>250000+80000</f>
        <v>330000</v>
      </c>
      <c r="F24" s="76">
        <f>300000+80000</f>
        <v>380000</v>
      </c>
      <c r="G24" s="76">
        <f>2700000+40000</f>
        <v>2740000</v>
      </c>
      <c r="H24" s="66">
        <f>300000</f>
        <v>300000</v>
      </c>
      <c r="I24" s="66">
        <f>200000+20000</f>
        <v>220000</v>
      </c>
      <c r="J24" s="66">
        <f>500000</f>
        <v>500000</v>
      </c>
      <c r="K24" s="66">
        <f>50000+130000</f>
        <v>180000</v>
      </c>
      <c r="L24" s="66">
        <f>50000+130000</f>
        <v>180000</v>
      </c>
      <c r="M24" s="66">
        <f>427000</f>
        <v>427000</v>
      </c>
      <c r="N24" s="66">
        <f>150000+90000</f>
        <v>240000</v>
      </c>
      <c r="O24" s="67">
        <f>350000+30000</f>
        <v>380000</v>
      </c>
      <c r="P24" s="77">
        <f>300000+40000</f>
        <v>340000</v>
      </c>
      <c r="Q24" s="55">
        <f t="shared" si="1"/>
        <v>2767000</v>
      </c>
      <c r="R24" s="6"/>
      <c r="S24" s="6"/>
    </row>
    <row r="25" spans="1:19" s="14" customFormat="1" ht="48" hidden="1">
      <c r="A25" s="63" t="s">
        <v>34</v>
      </c>
      <c r="B25" s="101" t="s">
        <v>35</v>
      </c>
      <c r="C25" s="102" t="s">
        <v>53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  <c r="P25" s="77"/>
      <c r="Q25" s="55">
        <f t="shared" si="1"/>
        <v>0</v>
      </c>
      <c r="R25" s="6"/>
      <c r="S25" s="6"/>
    </row>
    <row r="26" spans="1:19" s="14" customFormat="1" ht="45" customHeight="1">
      <c r="A26" s="63" t="s">
        <v>54</v>
      </c>
      <c r="B26" s="64" t="s">
        <v>55</v>
      </c>
      <c r="C26" s="65" t="s">
        <v>56</v>
      </c>
      <c r="D26" s="66">
        <v>580000</v>
      </c>
      <c r="E26" s="66">
        <v>45000</v>
      </c>
      <c r="F26" s="66">
        <v>50000</v>
      </c>
      <c r="G26" s="66">
        <v>69000</v>
      </c>
      <c r="H26" s="66">
        <v>50000</v>
      </c>
      <c r="I26" s="66">
        <v>0</v>
      </c>
      <c r="J26" s="66">
        <v>50000</v>
      </c>
      <c r="K26" s="66">
        <v>0</v>
      </c>
      <c r="L26" s="66">
        <v>0</v>
      </c>
      <c r="M26" s="66">
        <v>50000</v>
      </c>
      <c r="N26" s="66">
        <v>50000</v>
      </c>
      <c r="O26" s="67">
        <v>155000</v>
      </c>
      <c r="P26" s="77">
        <v>61000</v>
      </c>
      <c r="Q26" s="55">
        <f t="shared" si="1"/>
        <v>416000</v>
      </c>
      <c r="R26" s="6"/>
      <c r="S26" s="6"/>
    </row>
    <row r="27" spans="1:19" s="14" customFormat="1" ht="106.5" customHeight="1">
      <c r="A27" s="63" t="s">
        <v>57</v>
      </c>
      <c r="B27" s="64" t="s">
        <v>58</v>
      </c>
      <c r="C27" s="65" t="s">
        <v>56</v>
      </c>
      <c r="D27" s="66">
        <v>1150000</v>
      </c>
      <c r="E27" s="66">
        <f>94000</f>
        <v>94000</v>
      </c>
      <c r="F27" s="66">
        <f>75000</f>
        <v>75000</v>
      </c>
      <c r="G27" s="66">
        <f>98100</f>
        <v>98100</v>
      </c>
      <c r="H27" s="66">
        <f>G27</f>
        <v>98100</v>
      </c>
      <c r="I27" s="66">
        <f aca="true" t="shared" si="7" ref="I27:P27">98100</f>
        <v>98100</v>
      </c>
      <c r="J27" s="66">
        <f t="shared" si="7"/>
        <v>98100</v>
      </c>
      <c r="K27" s="66">
        <f t="shared" si="7"/>
        <v>98100</v>
      </c>
      <c r="L27" s="66">
        <f t="shared" si="7"/>
        <v>98100</v>
      </c>
      <c r="M27" s="66">
        <f t="shared" si="7"/>
        <v>98100</v>
      </c>
      <c r="N27" s="66">
        <f t="shared" si="7"/>
        <v>98100</v>
      </c>
      <c r="O27" s="67">
        <f t="shared" si="7"/>
        <v>98100</v>
      </c>
      <c r="P27" s="77">
        <f t="shared" si="7"/>
        <v>98100</v>
      </c>
      <c r="Q27" s="55">
        <f t="shared" si="1"/>
        <v>882900</v>
      </c>
      <c r="R27" s="6"/>
      <c r="S27" s="6"/>
    </row>
    <row r="28" spans="1:19" s="14" customFormat="1" ht="7.5" customHeight="1" hidden="1">
      <c r="A28" s="63"/>
      <c r="B28" s="64" t="s">
        <v>59</v>
      </c>
      <c r="C28" s="65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103"/>
      <c r="O28" s="104"/>
      <c r="P28" s="105"/>
      <c r="Q28" s="55">
        <f t="shared" si="1"/>
        <v>0</v>
      </c>
      <c r="R28" s="6"/>
      <c r="S28" s="6"/>
    </row>
    <row r="29" spans="1:19" s="14" customFormat="1" ht="36" customHeight="1" hidden="1">
      <c r="A29" s="63"/>
      <c r="B29" s="64" t="s">
        <v>60</v>
      </c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103"/>
      <c r="O29" s="104"/>
      <c r="P29" s="105"/>
      <c r="Q29" s="55">
        <f t="shared" si="1"/>
        <v>0</v>
      </c>
      <c r="R29" s="6"/>
      <c r="S29" s="6"/>
    </row>
    <row r="30" spans="1:19" s="14" customFormat="1" ht="72">
      <c r="A30" s="63" t="s">
        <v>61</v>
      </c>
      <c r="B30" s="64" t="s">
        <v>62</v>
      </c>
      <c r="C30" s="65" t="s">
        <v>56</v>
      </c>
      <c r="D30" s="66">
        <v>1200000</v>
      </c>
      <c r="E30" s="66">
        <v>0</v>
      </c>
      <c r="F30" s="66">
        <v>0</v>
      </c>
      <c r="G30" s="66">
        <v>100000</v>
      </c>
      <c r="H30" s="66">
        <v>100000</v>
      </c>
      <c r="I30" s="66">
        <v>100000</v>
      </c>
      <c r="J30" s="66">
        <v>350000</v>
      </c>
      <c r="K30" s="66">
        <v>0</v>
      </c>
      <c r="L30" s="66">
        <v>0</v>
      </c>
      <c r="M30" s="66">
        <v>100000</v>
      </c>
      <c r="N30" s="103">
        <v>150000</v>
      </c>
      <c r="O30" s="104">
        <v>200000</v>
      </c>
      <c r="P30" s="105">
        <v>100000</v>
      </c>
      <c r="Q30" s="55">
        <f t="shared" si="1"/>
        <v>1100000</v>
      </c>
      <c r="R30" s="6"/>
      <c r="S30" s="6"/>
    </row>
    <row r="31" spans="1:19" s="14" customFormat="1" ht="33.75" customHeight="1">
      <c r="A31" s="63" t="s">
        <v>63</v>
      </c>
      <c r="B31" s="64" t="s">
        <v>64</v>
      </c>
      <c r="C31" s="65" t="s">
        <v>56</v>
      </c>
      <c r="D31" s="66">
        <v>17560000</v>
      </c>
      <c r="E31" s="66">
        <v>250000</v>
      </c>
      <c r="F31" s="66">
        <v>400000</v>
      </c>
      <c r="G31" s="66">
        <v>900000</v>
      </c>
      <c r="H31" s="66">
        <v>200000</v>
      </c>
      <c r="I31" s="66">
        <v>600000</v>
      </c>
      <c r="J31" s="66">
        <v>11200000</v>
      </c>
      <c r="K31" s="66">
        <v>410000</v>
      </c>
      <c r="L31" s="66">
        <v>450000</v>
      </c>
      <c r="M31" s="66">
        <v>1000000</v>
      </c>
      <c r="N31" s="66">
        <v>550000</v>
      </c>
      <c r="O31" s="67">
        <v>600000</v>
      </c>
      <c r="P31" s="77">
        <v>1000000</v>
      </c>
      <c r="Q31" s="55">
        <f t="shared" si="1"/>
        <v>16010000</v>
      </c>
      <c r="R31" s="6"/>
      <c r="S31" s="6"/>
    </row>
    <row r="32" spans="1:19" s="14" customFormat="1" ht="35.25" customHeight="1">
      <c r="A32" s="63" t="s">
        <v>36</v>
      </c>
      <c r="B32" s="64" t="s">
        <v>65</v>
      </c>
      <c r="C32" s="65" t="s">
        <v>56</v>
      </c>
      <c r="D32" s="66">
        <v>120000</v>
      </c>
      <c r="E32" s="66">
        <v>10000</v>
      </c>
      <c r="F32" s="66">
        <v>20000</v>
      </c>
      <c r="G32" s="66">
        <v>10000</v>
      </c>
      <c r="H32" s="66">
        <v>10000</v>
      </c>
      <c r="I32" s="66">
        <v>10000</v>
      </c>
      <c r="J32" s="66">
        <v>10000</v>
      </c>
      <c r="K32" s="66">
        <v>10000</v>
      </c>
      <c r="L32" s="66">
        <v>0</v>
      </c>
      <c r="M32" s="66">
        <v>10000</v>
      </c>
      <c r="N32" s="66">
        <v>10000</v>
      </c>
      <c r="O32" s="67">
        <v>10000</v>
      </c>
      <c r="P32" s="105">
        <v>10000</v>
      </c>
      <c r="Q32" s="55">
        <f t="shared" si="1"/>
        <v>80000</v>
      </c>
      <c r="R32" s="6"/>
      <c r="S32" s="6"/>
    </row>
    <row r="33" spans="1:19" s="14" customFormat="1" ht="70.5" customHeight="1">
      <c r="A33" s="84" t="s">
        <v>66</v>
      </c>
      <c r="B33" s="85" t="s">
        <v>67</v>
      </c>
      <c r="C33" s="86" t="s">
        <v>68</v>
      </c>
      <c r="D33" s="87">
        <v>45000</v>
      </c>
      <c r="E33" s="87">
        <v>3750</v>
      </c>
      <c r="F33" s="87">
        <v>3750</v>
      </c>
      <c r="G33" s="87">
        <v>3750</v>
      </c>
      <c r="H33" s="87">
        <v>3750</v>
      </c>
      <c r="I33" s="87">
        <v>3750</v>
      </c>
      <c r="J33" s="87">
        <v>3750</v>
      </c>
      <c r="K33" s="87">
        <v>3750</v>
      </c>
      <c r="L33" s="87">
        <v>3750</v>
      </c>
      <c r="M33" s="87">
        <v>3750</v>
      </c>
      <c r="N33" s="87">
        <v>3750</v>
      </c>
      <c r="O33" s="88">
        <v>3750</v>
      </c>
      <c r="P33" s="89">
        <v>3750</v>
      </c>
      <c r="Q33" s="55">
        <f t="shared" si="1"/>
        <v>33750</v>
      </c>
      <c r="R33" s="6"/>
      <c r="S33" s="6"/>
    </row>
    <row r="34" spans="1:19" s="56" customFormat="1" ht="24.75" customHeight="1" thickBot="1">
      <c r="A34" s="90">
        <v>710</v>
      </c>
      <c r="B34" s="91" t="s">
        <v>69</v>
      </c>
      <c r="C34" s="92" t="s">
        <v>68</v>
      </c>
      <c r="D34" s="93">
        <f aca="true" t="shared" si="8" ref="D34:P34">D35+D37+D39+D41+D44</f>
        <v>1080300</v>
      </c>
      <c r="E34" s="93">
        <f t="shared" si="8"/>
        <v>90024</v>
      </c>
      <c r="F34" s="93">
        <f t="shared" si="8"/>
        <v>90024</v>
      </c>
      <c r="G34" s="93">
        <f t="shared" si="8"/>
        <v>90024</v>
      </c>
      <c r="H34" s="93">
        <f t="shared" si="8"/>
        <v>90024</v>
      </c>
      <c r="I34" s="93">
        <f t="shared" si="8"/>
        <v>90024</v>
      </c>
      <c r="J34" s="93">
        <f t="shared" si="8"/>
        <v>90024</v>
      </c>
      <c r="K34" s="93">
        <f t="shared" si="8"/>
        <v>90024</v>
      </c>
      <c r="L34" s="93">
        <f t="shared" si="8"/>
        <v>90026</v>
      </c>
      <c r="M34" s="93">
        <f t="shared" si="8"/>
        <v>90024</v>
      </c>
      <c r="N34" s="93">
        <f t="shared" si="8"/>
        <v>90026</v>
      </c>
      <c r="O34" s="94">
        <f t="shared" si="8"/>
        <v>90026</v>
      </c>
      <c r="P34" s="95">
        <f t="shared" si="8"/>
        <v>90030</v>
      </c>
      <c r="Q34" s="55">
        <f t="shared" si="1"/>
        <v>810228</v>
      </c>
      <c r="R34" s="6"/>
      <c r="S34" s="6"/>
    </row>
    <row r="35" spans="1:19" s="56" customFormat="1" ht="24.75" hidden="1" thickTop="1">
      <c r="A35" s="106" t="s">
        <v>70</v>
      </c>
      <c r="B35" s="107" t="s">
        <v>71</v>
      </c>
      <c r="C35" s="108"/>
      <c r="D35" s="66"/>
      <c r="E35" s="66"/>
      <c r="F35" s="66"/>
      <c r="G35" s="109"/>
      <c r="H35" s="110"/>
      <c r="I35" s="110"/>
      <c r="J35" s="110"/>
      <c r="K35" s="110"/>
      <c r="L35" s="110"/>
      <c r="M35" s="110"/>
      <c r="N35" s="110"/>
      <c r="O35" s="111"/>
      <c r="P35" s="112"/>
      <c r="Q35" s="55"/>
      <c r="R35" s="6"/>
      <c r="S35" s="6"/>
    </row>
    <row r="36" spans="1:19" s="56" customFormat="1" ht="48.75" hidden="1" thickTop="1">
      <c r="A36" s="113" t="s">
        <v>34</v>
      </c>
      <c r="B36" s="114" t="s">
        <v>35</v>
      </c>
      <c r="C36" s="115"/>
      <c r="D36" s="116"/>
      <c r="E36" s="116"/>
      <c r="F36" s="116"/>
      <c r="G36" s="116"/>
      <c r="H36" s="72"/>
      <c r="I36" s="72"/>
      <c r="J36" s="72"/>
      <c r="K36" s="72"/>
      <c r="L36" s="72"/>
      <c r="M36" s="72"/>
      <c r="N36" s="72"/>
      <c r="O36" s="73"/>
      <c r="P36" s="74"/>
      <c r="Q36" s="55"/>
      <c r="R36" s="6"/>
      <c r="S36" s="6"/>
    </row>
    <row r="37" spans="1:19" s="56" customFormat="1" ht="24.75" thickTop="1">
      <c r="A37" s="96">
        <v>71013</v>
      </c>
      <c r="B37" s="97" t="s">
        <v>72</v>
      </c>
      <c r="C37" s="117"/>
      <c r="D37" s="98">
        <f>SUM(D38:D38)</f>
        <v>51000</v>
      </c>
      <c r="E37" s="98">
        <f aca="true" t="shared" si="9" ref="E37:P37">SUM(E38:E38)</f>
        <v>4250</v>
      </c>
      <c r="F37" s="98">
        <f t="shared" si="9"/>
        <v>4250</v>
      </c>
      <c r="G37" s="98">
        <f t="shared" si="9"/>
        <v>4250</v>
      </c>
      <c r="H37" s="98">
        <f t="shared" si="9"/>
        <v>4250</v>
      </c>
      <c r="I37" s="98">
        <f t="shared" si="9"/>
        <v>4250</v>
      </c>
      <c r="J37" s="98">
        <f t="shared" si="9"/>
        <v>4250</v>
      </c>
      <c r="K37" s="98">
        <f t="shared" si="9"/>
        <v>4250</v>
      </c>
      <c r="L37" s="98">
        <f t="shared" si="9"/>
        <v>4250</v>
      </c>
      <c r="M37" s="98">
        <f t="shared" si="9"/>
        <v>4250</v>
      </c>
      <c r="N37" s="98">
        <f t="shared" si="9"/>
        <v>4250</v>
      </c>
      <c r="O37" s="99">
        <f t="shared" si="9"/>
        <v>4250</v>
      </c>
      <c r="P37" s="100">
        <f t="shared" si="9"/>
        <v>4250</v>
      </c>
      <c r="Q37" s="55">
        <f t="shared" si="1"/>
        <v>38250</v>
      </c>
      <c r="R37" s="6"/>
      <c r="S37" s="6"/>
    </row>
    <row r="38" spans="1:19" s="14" customFormat="1" ht="84">
      <c r="A38" s="84" t="s">
        <v>66</v>
      </c>
      <c r="B38" s="85" t="s">
        <v>67</v>
      </c>
      <c r="C38" s="86"/>
      <c r="D38" s="87">
        <v>51000</v>
      </c>
      <c r="E38" s="66">
        <v>4250</v>
      </c>
      <c r="F38" s="66">
        <v>4250</v>
      </c>
      <c r="G38" s="66">
        <v>4250</v>
      </c>
      <c r="H38" s="66">
        <v>4250</v>
      </c>
      <c r="I38" s="66">
        <v>4250</v>
      </c>
      <c r="J38" s="66">
        <v>4250</v>
      </c>
      <c r="K38" s="66">
        <v>4250</v>
      </c>
      <c r="L38" s="66">
        <v>4250</v>
      </c>
      <c r="M38" s="66">
        <v>4250</v>
      </c>
      <c r="N38" s="66">
        <v>4250</v>
      </c>
      <c r="O38" s="67">
        <v>4250</v>
      </c>
      <c r="P38" s="77">
        <v>4250</v>
      </c>
      <c r="Q38" s="55">
        <f t="shared" si="1"/>
        <v>38250</v>
      </c>
      <c r="R38" s="6"/>
      <c r="S38" s="6"/>
    </row>
    <row r="39" spans="1:19" s="14" customFormat="1" ht="24">
      <c r="A39" s="69" t="s">
        <v>73</v>
      </c>
      <c r="B39" s="70" t="s">
        <v>74</v>
      </c>
      <c r="C39" s="118"/>
      <c r="D39" s="72">
        <f>D40</f>
        <v>20000</v>
      </c>
      <c r="E39" s="72">
        <f aca="true" t="shared" si="10" ref="E39:P39">E40</f>
        <v>1666</v>
      </c>
      <c r="F39" s="72">
        <f t="shared" si="10"/>
        <v>1666</v>
      </c>
      <c r="G39" s="72">
        <f t="shared" si="10"/>
        <v>1666</v>
      </c>
      <c r="H39" s="72">
        <f t="shared" si="10"/>
        <v>1666</v>
      </c>
      <c r="I39" s="72">
        <f t="shared" si="10"/>
        <v>1666</v>
      </c>
      <c r="J39" s="72">
        <f t="shared" si="10"/>
        <v>1666</v>
      </c>
      <c r="K39" s="72">
        <f t="shared" si="10"/>
        <v>1666</v>
      </c>
      <c r="L39" s="72">
        <f t="shared" si="10"/>
        <v>1668</v>
      </c>
      <c r="M39" s="72">
        <f t="shared" si="10"/>
        <v>1666</v>
      </c>
      <c r="N39" s="72">
        <f t="shared" si="10"/>
        <v>1668</v>
      </c>
      <c r="O39" s="73">
        <f t="shared" si="10"/>
        <v>1668</v>
      </c>
      <c r="P39" s="74">
        <f t="shared" si="10"/>
        <v>1668</v>
      </c>
      <c r="Q39" s="55">
        <f t="shared" si="1"/>
        <v>15002</v>
      </c>
      <c r="R39" s="6"/>
      <c r="S39" s="6"/>
    </row>
    <row r="40" spans="1:19" s="14" customFormat="1" ht="84">
      <c r="A40" s="84" t="s">
        <v>66</v>
      </c>
      <c r="B40" s="85" t="s">
        <v>67</v>
      </c>
      <c r="C40" s="86"/>
      <c r="D40" s="116">
        <v>20000</v>
      </c>
      <c r="E40" s="116">
        <v>1666</v>
      </c>
      <c r="F40" s="116">
        <v>1666</v>
      </c>
      <c r="G40" s="116">
        <v>1666</v>
      </c>
      <c r="H40" s="116">
        <v>1666</v>
      </c>
      <c r="I40" s="116">
        <v>1666</v>
      </c>
      <c r="J40" s="116">
        <v>1666</v>
      </c>
      <c r="K40" s="116">
        <v>1666</v>
      </c>
      <c r="L40" s="116">
        <v>1668</v>
      </c>
      <c r="M40" s="116">
        <v>1666</v>
      </c>
      <c r="N40" s="116">
        <v>1668</v>
      </c>
      <c r="O40" s="119">
        <v>1668</v>
      </c>
      <c r="P40" s="120">
        <v>1668</v>
      </c>
      <c r="Q40" s="55">
        <f t="shared" si="1"/>
        <v>15002</v>
      </c>
      <c r="R40" s="6"/>
      <c r="S40" s="6"/>
    </row>
    <row r="41" spans="1:19" s="56" customFormat="1" ht="15" customHeight="1">
      <c r="A41" s="69" t="s">
        <v>75</v>
      </c>
      <c r="B41" s="70" t="s">
        <v>76</v>
      </c>
      <c r="C41" s="118"/>
      <c r="D41" s="72">
        <f>D42</f>
        <v>182700</v>
      </c>
      <c r="E41" s="72">
        <f aca="true" t="shared" si="11" ref="E41:P41">E42</f>
        <v>15225</v>
      </c>
      <c r="F41" s="72">
        <f t="shared" si="11"/>
        <v>15225</v>
      </c>
      <c r="G41" s="72">
        <f t="shared" si="11"/>
        <v>15225</v>
      </c>
      <c r="H41" s="72">
        <f t="shared" si="11"/>
        <v>15225</v>
      </c>
      <c r="I41" s="72">
        <f t="shared" si="11"/>
        <v>15225</v>
      </c>
      <c r="J41" s="72">
        <f t="shared" si="11"/>
        <v>15225</v>
      </c>
      <c r="K41" s="72">
        <f t="shared" si="11"/>
        <v>15225</v>
      </c>
      <c r="L41" s="72">
        <f t="shared" si="11"/>
        <v>15225</v>
      </c>
      <c r="M41" s="72">
        <f t="shared" si="11"/>
        <v>15225</v>
      </c>
      <c r="N41" s="72">
        <f t="shared" si="11"/>
        <v>15225</v>
      </c>
      <c r="O41" s="73">
        <f t="shared" si="11"/>
        <v>15225</v>
      </c>
      <c r="P41" s="74">
        <f t="shared" si="11"/>
        <v>15225</v>
      </c>
      <c r="Q41" s="55">
        <f t="shared" si="1"/>
        <v>137025</v>
      </c>
      <c r="R41" s="6"/>
      <c r="S41" s="6"/>
    </row>
    <row r="42" spans="1:19" s="14" customFormat="1" ht="84">
      <c r="A42" s="80" t="s">
        <v>66</v>
      </c>
      <c r="B42" s="81" t="s">
        <v>67</v>
      </c>
      <c r="C42" s="82"/>
      <c r="D42" s="76">
        <v>182700</v>
      </c>
      <c r="E42" s="76">
        <v>15225</v>
      </c>
      <c r="F42" s="76">
        <v>15225</v>
      </c>
      <c r="G42" s="76">
        <v>15225</v>
      </c>
      <c r="H42" s="76">
        <v>15225</v>
      </c>
      <c r="I42" s="76">
        <v>15225</v>
      </c>
      <c r="J42" s="76">
        <v>15225</v>
      </c>
      <c r="K42" s="76">
        <v>15225</v>
      </c>
      <c r="L42" s="76">
        <v>15225</v>
      </c>
      <c r="M42" s="76">
        <v>15225</v>
      </c>
      <c r="N42" s="76">
        <v>15225</v>
      </c>
      <c r="O42" s="83">
        <v>15225</v>
      </c>
      <c r="P42" s="68">
        <v>15225</v>
      </c>
      <c r="Q42" s="55">
        <f t="shared" si="1"/>
        <v>137025</v>
      </c>
      <c r="R42" s="6"/>
      <c r="S42" s="6"/>
    </row>
    <row r="43" spans="1:19" s="14" customFormat="1" ht="96" hidden="1">
      <c r="A43" s="84" t="s">
        <v>77</v>
      </c>
      <c r="B43" s="121" t="s">
        <v>78</v>
      </c>
      <c r="C43" s="122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8"/>
      <c r="P43" s="89"/>
      <c r="Q43" s="55"/>
      <c r="R43" s="6"/>
      <c r="S43" s="6"/>
    </row>
    <row r="44" spans="1:19" s="56" customFormat="1" ht="15" customHeight="1">
      <c r="A44" s="69" t="s">
        <v>79</v>
      </c>
      <c r="B44" s="70" t="s">
        <v>80</v>
      </c>
      <c r="C44" s="123"/>
      <c r="D44" s="72">
        <f>SUM(D45:D46)</f>
        <v>826600</v>
      </c>
      <c r="E44" s="72">
        <f aca="true" t="shared" si="12" ref="E44:P44">SUM(E45:E46)</f>
        <v>68883</v>
      </c>
      <c r="F44" s="72">
        <f t="shared" si="12"/>
        <v>68883</v>
      </c>
      <c r="G44" s="72">
        <f t="shared" si="12"/>
        <v>68883</v>
      </c>
      <c r="H44" s="72">
        <f t="shared" si="12"/>
        <v>68883</v>
      </c>
      <c r="I44" s="72">
        <f t="shared" si="12"/>
        <v>68883</v>
      </c>
      <c r="J44" s="72">
        <f t="shared" si="12"/>
        <v>68883</v>
      </c>
      <c r="K44" s="72">
        <f t="shared" si="12"/>
        <v>68883</v>
      </c>
      <c r="L44" s="72">
        <f t="shared" si="12"/>
        <v>68883</v>
      </c>
      <c r="M44" s="72">
        <f t="shared" si="12"/>
        <v>68883</v>
      </c>
      <c r="N44" s="72">
        <f t="shared" si="12"/>
        <v>68883</v>
      </c>
      <c r="O44" s="73">
        <f t="shared" si="12"/>
        <v>68883</v>
      </c>
      <c r="P44" s="74">
        <f t="shared" si="12"/>
        <v>68887</v>
      </c>
      <c r="Q44" s="55">
        <f t="shared" si="1"/>
        <v>619951</v>
      </c>
      <c r="R44" s="6"/>
      <c r="S44" s="6"/>
    </row>
    <row r="45" spans="1:19" s="14" customFormat="1" ht="111" customHeight="1">
      <c r="A45" s="80" t="s">
        <v>57</v>
      </c>
      <c r="B45" s="81" t="s">
        <v>81</v>
      </c>
      <c r="C45" s="82" t="s">
        <v>82</v>
      </c>
      <c r="D45" s="76">
        <v>810000</v>
      </c>
      <c r="E45" s="76">
        <v>67500</v>
      </c>
      <c r="F45" s="76">
        <v>67500</v>
      </c>
      <c r="G45" s="76">
        <v>67500</v>
      </c>
      <c r="H45" s="76">
        <v>67500</v>
      </c>
      <c r="I45" s="76">
        <v>67500</v>
      </c>
      <c r="J45" s="76">
        <v>67500</v>
      </c>
      <c r="K45" s="76">
        <v>67500</v>
      </c>
      <c r="L45" s="76">
        <v>67500</v>
      </c>
      <c r="M45" s="76">
        <v>67500</v>
      </c>
      <c r="N45" s="76">
        <v>67500</v>
      </c>
      <c r="O45" s="83">
        <v>67500</v>
      </c>
      <c r="P45" s="68">
        <v>67500</v>
      </c>
      <c r="Q45" s="55">
        <f t="shared" si="1"/>
        <v>607500</v>
      </c>
      <c r="R45" s="6"/>
      <c r="S45" s="6"/>
    </row>
    <row r="46" spans="1:19" s="14" customFormat="1" ht="72">
      <c r="A46" s="63" t="s">
        <v>83</v>
      </c>
      <c r="B46" s="64" t="s">
        <v>84</v>
      </c>
      <c r="C46" s="65" t="s">
        <v>68</v>
      </c>
      <c r="D46" s="66">
        <v>16600</v>
      </c>
      <c r="E46" s="66">
        <v>1383</v>
      </c>
      <c r="F46" s="66">
        <v>1383</v>
      </c>
      <c r="G46" s="66">
        <v>1383</v>
      </c>
      <c r="H46" s="66">
        <v>1383</v>
      </c>
      <c r="I46" s="66">
        <v>1383</v>
      </c>
      <c r="J46" s="66">
        <v>1383</v>
      </c>
      <c r="K46" s="66">
        <v>1383</v>
      </c>
      <c r="L46" s="66">
        <v>1383</v>
      </c>
      <c r="M46" s="66">
        <v>1383</v>
      </c>
      <c r="N46" s="66">
        <v>1383</v>
      </c>
      <c r="O46" s="67">
        <v>1383</v>
      </c>
      <c r="P46" s="77">
        <v>1387</v>
      </c>
      <c r="Q46" s="55">
        <f t="shared" si="1"/>
        <v>12451</v>
      </c>
      <c r="R46" s="6"/>
      <c r="S46" s="6"/>
    </row>
    <row r="47" spans="1:19" s="14" customFormat="1" ht="12">
      <c r="A47" s="124" t="s">
        <v>85</v>
      </c>
      <c r="B47" s="125" t="s">
        <v>86</v>
      </c>
      <c r="C47" s="115"/>
      <c r="D47" s="72">
        <f>D48</f>
        <v>22500</v>
      </c>
      <c r="E47" s="72">
        <f aca="true" t="shared" si="13" ref="E47:O47">E48</f>
        <v>1875</v>
      </c>
      <c r="F47" s="72">
        <f t="shared" si="13"/>
        <v>1875</v>
      </c>
      <c r="G47" s="72">
        <f t="shared" si="13"/>
        <v>1875</v>
      </c>
      <c r="H47" s="72">
        <f t="shared" si="13"/>
        <v>1875</v>
      </c>
      <c r="I47" s="72">
        <f t="shared" si="13"/>
        <v>1875</v>
      </c>
      <c r="J47" s="72">
        <f t="shared" si="13"/>
        <v>1875</v>
      </c>
      <c r="K47" s="72">
        <f t="shared" si="13"/>
        <v>1875</v>
      </c>
      <c r="L47" s="72">
        <f t="shared" si="13"/>
        <v>1875</v>
      </c>
      <c r="M47" s="72">
        <f t="shared" si="13"/>
        <v>1875</v>
      </c>
      <c r="N47" s="72">
        <f t="shared" si="13"/>
        <v>1875</v>
      </c>
      <c r="O47" s="73">
        <f t="shared" si="13"/>
        <v>1875</v>
      </c>
      <c r="P47" s="74">
        <f>P48</f>
        <v>1875</v>
      </c>
      <c r="Q47" s="55"/>
      <c r="R47" s="6"/>
      <c r="S47" s="6"/>
    </row>
    <row r="48" spans="1:19" s="14" customFormat="1" ht="60.75" thickBot="1">
      <c r="A48" s="126" t="s">
        <v>87</v>
      </c>
      <c r="B48" s="127" t="s">
        <v>88</v>
      </c>
      <c r="C48" s="108"/>
      <c r="D48" s="66">
        <v>22500</v>
      </c>
      <c r="E48" s="66">
        <v>1875</v>
      </c>
      <c r="F48" s="66">
        <v>1875</v>
      </c>
      <c r="G48" s="66">
        <v>1875</v>
      </c>
      <c r="H48" s="66">
        <v>1875</v>
      </c>
      <c r="I48" s="66">
        <v>1875</v>
      </c>
      <c r="J48" s="66">
        <v>1875</v>
      </c>
      <c r="K48" s="66">
        <v>1875</v>
      </c>
      <c r="L48" s="66">
        <v>1875</v>
      </c>
      <c r="M48" s="66">
        <v>1875</v>
      </c>
      <c r="N48" s="66">
        <v>1875</v>
      </c>
      <c r="O48" s="67">
        <v>1875</v>
      </c>
      <c r="P48" s="77">
        <v>1875</v>
      </c>
      <c r="Q48" s="55"/>
      <c r="R48" s="6"/>
      <c r="S48" s="6"/>
    </row>
    <row r="49" spans="1:19" s="14" customFormat="1" ht="25.5" thickBot="1" thickTop="1">
      <c r="A49" s="49" t="s">
        <v>89</v>
      </c>
      <c r="B49" s="50" t="s">
        <v>90</v>
      </c>
      <c r="C49" s="128"/>
      <c r="D49" s="52">
        <f>D50+D54+D57+D63+D66</f>
        <v>2893600</v>
      </c>
      <c r="E49" s="52">
        <f aca="true" t="shared" si="14" ref="E49:P49">E50+E54+E57+E63+E66</f>
        <v>242947</v>
      </c>
      <c r="F49" s="52">
        <f t="shared" si="14"/>
        <v>250447</v>
      </c>
      <c r="G49" s="52">
        <f t="shared" si="14"/>
        <v>251447</v>
      </c>
      <c r="H49" s="52">
        <f t="shared" si="14"/>
        <v>245947</v>
      </c>
      <c r="I49" s="52">
        <f t="shared" si="14"/>
        <v>240747</v>
      </c>
      <c r="J49" s="52">
        <f t="shared" si="14"/>
        <v>239657</v>
      </c>
      <c r="K49" s="52">
        <f t="shared" si="14"/>
        <v>237657</v>
      </c>
      <c r="L49" s="52">
        <f t="shared" si="14"/>
        <v>237147</v>
      </c>
      <c r="M49" s="52">
        <f t="shared" si="14"/>
        <v>247147</v>
      </c>
      <c r="N49" s="52">
        <f t="shared" si="14"/>
        <v>231747</v>
      </c>
      <c r="O49" s="53">
        <f t="shared" si="14"/>
        <v>231951</v>
      </c>
      <c r="P49" s="54">
        <f t="shared" si="14"/>
        <v>236759</v>
      </c>
      <c r="Q49" s="55">
        <f t="shared" si="1"/>
        <v>2148759</v>
      </c>
      <c r="R49" s="6"/>
      <c r="S49" s="6"/>
    </row>
    <row r="50" spans="1:19" s="14" customFormat="1" ht="16.5" customHeight="1" thickTop="1">
      <c r="A50" s="57" t="s">
        <v>91</v>
      </c>
      <c r="B50" s="58" t="s">
        <v>92</v>
      </c>
      <c r="C50" s="129" t="s">
        <v>68</v>
      </c>
      <c r="D50" s="60">
        <f>SUM(D51:D53)</f>
        <v>954400</v>
      </c>
      <c r="E50" s="60">
        <f aca="true" t="shared" si="15" ref="E50:P50">SUM(E51:E53)</f>
        <v>79499</v>
      </c>
      <c r="F50" s="60">
        <f t="shared" si="15"/>
        <v>79499</v>
      </c>
      <c r="G50" s="60">
        <f t="shared" si="15"/>
        <v>79499</v>
      </c>
      <c r="H50" s="60">
        <f t="shared" si="15"/>
        <v>79499</v>
      </c>
      <c r="I50" s="60">
        <f t="shared" si="15"/>
        <v>79499</v>
      </c>
      <c r="J50" s="60">
        <f t="shared" si="15"/>
        <v>79499</v>
      </c>
      <c r="K50" s="60">
        <f t="shared" si="15"/>
        <v>79499</v>
      </c>
      <c r="L50" s="60">
        <f t="shared" si="15"/>
        <v>79499</v>
      </c>
      <c r="M50" s="60">
        <f t="shared" si="15"/>
        <v>79499</v>
      </c>
      <c r="N50" s="60">
        <f t="shared" si="15"/>
        <v>79499</v>
      </c>
      <c r="O50" s="61">
        <f t="shared" si="15"/>
        <v>79703</v>
      </c>
      <c r="P50" s="62">
        <f t="shared" si="15"/>
        <v>79707</v>
      </c>
      <c r="Q50" s="55">
        <f t="shared" si="1"/>
        <v>715903</v>
      </c>
      <c r="R50" s="6"/>
      <c r="S50" s="6"/>
    </row>
    <row r="51" spans="1:19" s="14" customFormat="1" ht="14.25" customHeight="1">
      <c r="A51" s="63" t="s">
        <v>54</v>
      </c>
      <c r="B51" s="101" t="s">
        <v>93</v>
      </c>
      <c r="C51" s="130"/>
      <c r="D51" s="66">
        <v>10000</v>
      </c>
      <c r="E51" s="66">
        <v>800</v>
      </c>
      <c r="F51" s="66">
        <v>800</v>
      </c>
      <c r="G51" s="66">
        <v>800</v>
      </c>
      <c r="H51" s="66">
        <v>800</v>
      </c>
      <c r="I51" s="66">
        <v>800</v>
      </c>
      <c r="J51" s="66">
        <v>800</v>
      </c>
      <c r="K51" s="66">
        <v>800</v>
      </c>
      <c r="L51" s="66">
        <v>800</v>
      </c>
      <c r="M51" s="66">
        <v>800</v>
      </c>
      <c r="N51" s="66">
        <v>800</v>
      </c>
      <c r="O51" s="67">
        <v>1000</v>
      </c>
      <c r="P51" s="77">
        <v>1000</v>
      </c>
      <c r="Q51" s="6"/>
      <c r="R51" s="6"/>
      <c r="S51" s="6"/>
    </row>
    <row r="52" spans="1:19" s="14" customFormat="1" ht="72">
      <c r="A52" s="63" t="s">
        <v>94</v>
      </c>
      <c r="B52" s="101" t="s">
        <v>95</v>
      </c>
      <c r="C52" s="130"/>
      <c r="D52" s="66">
        <v>715400</v>
      </c>
      <c r="E52" s="66">
        <v>59616</v>
      </c>
      <c r="F52" s="66">
        <v>59616</v>
      </c>
      <c r="G52" s="66">
        <v>59616</v>
      </c>
      <c r="H52" s="66">
        <v>59616</v>
      </c>
      <c r="I52" s="66">
        <v>59616</v>
      </c>
      <c r="J52" s="66">
        <v>59616</v>
      </c>
      <c r="K52" s="66">
        <v>59616</v>
      </c>
      <c r="L52" s="66">
        <v>59616</v>
      </c>
      <c r="M52" s="66">
        <v>59616</v>
      </c>
      <c r="N52" s="66">
        <v>59616</v>
      </c>
      <c r="O52" s="67">
        <v>59620</v>
      </c>
      <c r="P52" s="77">
        <v>59620</v>
      </c>
      <c r="Q52" s="55">
        <f t="shared" si="1"/>
        <v>536552</v>
      </c>
      <c r="R52" s="6"/>
      <c r="S52" s="6"/>
    </row>
    <row r="53" spans="1:19" s="14" customFormat="1" ht="84">
      <c r="A53" s="84" t="s">
        <v>66</v>
      </c>
      <c r="B53" s="85" t="s">
        <v>67</v>
      </c>
      <c r="C53" s="86"/>
      <c r="D53" s="66">
        <v>229000</v>
      </c>
      <c r="E53" s="66">
        <v>19083</v>
      </c>
      <c r="F53" s="66">
        <v>19083</v>
      </c>
      <c r="G53" s="66">
        <v>19083</v>
      </c>
      <c r="H53" s="66">
        <v>19083</v>
      </c>
      <c r="I53" s="66">
        <v>19083</v>
      </c>
      <c r="J53" s="66">
        <v>19083</v>
      </c>
      <c r="K53" s="66">
        <v>19083</v>
      </c>
      <c r="L53" s="66">
        <v>19083</v>
      </c>
      <c r="M53" s="66">
        <v>19083</v>
      </c>
      <c r="N53" s="66">
        <v>19083</v>
      </c>
      <c r="O53" s="67">
        <v>19083</v>
      </c>
      <c r="P53" s="77">
        <v>19087</v>
      </c>
      <c r="Q53" s="55">
        <f t="shared" si="1"/>
        <v>171751</v>
      </c>
      <c r="R53" s="6"/>
      <c r="S53" s="6"/>
    </row>
    <row r="54" spans="1:19" s="56" customFormat="1" ht="15.75" customHeight="1">
      <c r="A54" s="69" t="s">
        <v>96</v>
      </c>
      <c r="B54" s="70" t="s">
        <v>97</v>
      </c>
      <c r="C54" s="118"/>
      <c r="D54" s="72">
        <f>SUM(D55:D56)</f>
        <v>1501700</v>
      </c>
      <c r="E54" s="72">
        <f aca="true" t="shared" si="16" ref="E54:P54">SUM(E55:E56)</f>
        <v>125140</v>
      </c>
      <c r="F54" s="72">
        <f t="shared" si="16"/>
        <v>125140</v>
      </c>
      <c r="G54" s="72">
        <f t="shared" si="16"/>
        <v>125140</v>
      </c>
      <c r="H54" s="72">
        <f t="shared" si="16"/>
        <v>125140</v>
      </c>
      <c r="I54" s="72">
        <f t="shared" si="16"/>
        <v>125140</v>
      </c>
      <c r="J54" s="72">
        <f t="shared" si="16"/>
        <v>125150</v>
      </c>
      <c r="K54" s="72">
        <f t="shared" si="16"/>
        <v>125150</v>
      </c>
      <c r="L54" s="72">
        <f t="shared" si="16"/>
        <v>125140</v>
      </c>
      <c r="M54" s="72">
        <f t="shared" si="16"/>
        <v>125140</v>
      </c>
      <c r="N54" s="72">
        <f t="shared" si="16"/>
        <v>125140</v>
      </c>
      <c r="O54" s="73">
        <f t="shared" si="16"/>
        <v>125140</v>
      </c>
      <c r="P54" s="74">
        <f t="shared" si="16"/>
        <v>125140</v>
      </c>
      <c r="Q54" s="55">
        <f t="shared" si="1"/>
        <v>1126280</v>
      </c>
      <c r="R54" s="6"/>
      <c r="S54" s="6"/>
    </row>
    <row r="55" spans="1:19" s="14" customFormat="1" ht="24">
      <c r="A55" s="80" t="s">
        <v>98</v>
      </c>
      <c r="B55" s="81" t="s">
        <v>99</v>
      </c>
      <c r="C55" s="82" t="s">
        <v>100</v>
      </c>
      <c r="D55" s="66">
        <v>1500000</v>
      </c>
      <c r="E55" s="66">
        <v>125000</v>
      </c>
      <c r="F55" s="66">
        <v>125000</v>
      </c>
      <c r="G55" s="66">
        <v>125000</v>
      </c>
      <c r="H55" s="66">
        <v>125000</v>
      </c>
      <c r="I55" s="66">
        <v>125000</v>
      </c>
      <c r="J55" s="66">
        <v>125000</v>
      </c>
      <c r="K55" s="66">
        <v>125000</v>
      </c>
      <c r="L55" s="66">
        <v>125000</v>
      </c>
      <c r="M55" s="66">
        <v>125000</v>
      </c>
      <c r="N55" s="66">
        <v>125000</v>
      </c>
      <c r="O55" s="67">
        <v>125000</v>
      </c>
      <c r="P55" s="77">
        <v>125000</v>
      </c>
      <c r="Q55" s="55">
        <f t="shared" si="1"/>
        <v>1125000</v>
      </c>
      <c r="R55" s="6"/>
      <c r="S55" s="6"/>
    </row>
    <row r="56" spans="1:19" s="14" customFormat="1" ht="23.25">
      <c r="A56" s="84" t="s">
        <v>54</v>
      </c>
      <c r="B56" s="85" t="s">
        <v>101</v>
      </c>
      <c r="C56" s="86" t="s">
        <v>82</v>
      </c>
      <c r="D56" s="66">
        <v>1700</v>
      </c>
      <c r="E56" s="66">
        <v>140</v>
      </c>
      <c r="F56" s="66">
        <v>140</v>
      </c>
      <c r="G56" s="66">
        <v>140</v>
      </c>
      <c r="H56" s="87">
        <v>140</v>
      </c>
      <c r="I56" s="87">
        <v>140</v>
      </c>
      <c r="J56" s="87">
        <v>150</v>
      </c>
      <c r="K56" s="87">
        <v>150</v>
      </c>
      <c r="L56" s="87">
        <v>140</v>
      </c>
      <c r="M56" s="87">
        <v>140</v>
      </c>
      <c r="N56" s="87">
        <v>140</v>
      </c>
      <c r="O56" s="88">
        <v>140</v>
      </c>
      <c r="P56" s="89">
        <v>140</v>
      </c>
      <c r="Q56" s="55">
        <f t="shared" si="1"/>
        <v>1280</v>
      </c>
      <c r="R56" s="6"/>
      <c r="S56" s="6"/>
    </row>
    <row r="57" spans="1:19" s="14" customFormat="1" ht="16.5" customHeight="1">
      <c r="A57" s="69" t="s">
        <v>102</v>
      </c>
      <c r="B57" s="70" t="s">
        <v>103</v>
      </c>
      <c r="C57" s="123"/>
      <c r="D57" s="72">
        <f>SUM(D58:D62)</f>
        <v>150000</v>
      </c>
      <c r="E57" s="72">
        <f aca="true" t="shared" si="17" ref="E57:P57">SUM(E58:E62)</f>
        <v>14600</v>
      </c>
      <c r="F57" s="72">
        <f t="shared" si="17"/>
        <v>14600</v>
      </c>
      <c r="G57" s="72">
        <f t="shared" si="17"/>
        <v>15600</v>
      </c>
      <c r="H57" s="72">
        <f t="shared" si="17"/>
        <v>12100</v>
      </c>
      <c r="I57" s="72">
        <f t="shared" si="17"/>
        <v>11900</v>
      </c>
      <c r="J57" s="72">
        <f t="shared" si="17"/>
        <v>11800</v>
      </c>
      <c r="K57" s="72">
        <f t="shared" si="17"/>
        <v>11800</v>
      </c>
      <c r="L57" s="72">
        <f t="shared" si="17"/>
        <v>11800</v>
      </c>
      <c r="M57" s="72">
        <f t="shared" si="17"/>
        <v>11800</v>
      </c>
      <c r="N57" s="72">
        <f t="shared" si="17"/>
        <v>11400</v>
      </c>
      <c r="O57" s="73">
        <f t="shared" si="17"/>
        <v>11400</v>
      </c>
      <c r="P57" s="74">
        <f t="shared" si="17"/>
        <v>11200</v>
      </c>
      <c r="Q57" s="55">
        <f t="shared" si="1"/>
        <v>105200</v>
      </c>
      <c r="R57" s="6"/>
      <c r="S57" s="6"/>
    </row>
    <row r="58" spans="1:19" s="14" customFormat="1" ht="48" hidden="1">
      <c r="A58" s="80" t="s">
        <v>34</v>
      </c>
      <c r="B58" s="81" t="s">
        <v>35</v>
      </c>
      <c r="C58" s="82"/>
      <c r="D58" s="76">
        <v>0</v>
      </c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83"/>
      <c r="P58" s="68"/>
      <c r="Q58" s="6"/>
      <c r="R58" s="6"/>
      <c r="S58" s="6"/>
    </row>
    <row r="59" spans="1:19" s="14" customFormat="1" ht="23.25">
      <c r="A59" s="63" t="s">
        <v>54</v>
      </c>
      <c r="B59" s="64" t="s">
        <v>104</v>
      </c>
      <c r="C59" s="65" t="s">
        <v>53</v>
      </c>
      <c r="D59" s="66">
        <v>60000</v>
      </c>
      <c r="E59" s="66">
        <v>7000</v>
      </c>
      <c r="F59" s="66">
        <v>7000</v>
      </c>
      <c r="G59" s="66">
        <v>8000</v>
      </c>
      <c r="H59" s="66">
        <v>4400</v>
      </c>
      <c r="I59" s="66">
        <v>4200</v>
      </c>
      <c r="J59" s="66">
        <v>4200</v>
      </c>
      <c r="K59" s="66">
        <v>4200</v>
      </c>
      <c r="L59" s="66">
        <v>4200</v>
      </c>
      <c r="M59" s="66">
        <v>4200</v>
      </c>
      <c r="N59" s="66">
        <v>4200</v>
      </c>
      <c r="O59" s="67">
        <v>4200</v>
      </c>
      <c r="P59" s="77">
        <v>4200</v>
      </c>
      <c r="Q59" s="55">
        <f t="shared" si="1"/>
        <v>38000</v>
      </c>
      <c r="R59" s="6"/>
      <c r="S59" s="6"/>
    </row>
    <row r="60" spans="1:19" s="14" customFormat="1" ht="23.25">
      <c r="A60" s="63" t="s">
        <v>57</v>
      </c>
      <c r="B60" s="64" t="s">
        <v>105</v>
      </c>
      <c r="C60" s="65" t="s">
        <v>106</v>
      </c>
      <c r="D60" s="66">
        <v>30000</v>
      </c>
      <c r="E60" s="66">
        <v>2500</v>
      </c>
      <c r="F60" s="66">
        <v>2500</v>
      </c>
      <c r="G60" s="66">
        <v>2500</v>
      </c>
      <c r="H60" s="66">
        <v>2500</v>
      </c>
      <c r="I60" s="66">
        <v>2500</v>
      </c>
      <c r="J60" s="66">
        <v>2500</v>
      </c>
      <c r="K60" s="66">
        <v>2500</v>
      </c>
      <c r="L60" s="66">
        <v>2500</v>
      </c>
      <c r="M60" s="66">
        <v>2500</v>
      </c>
      <c r="N60" s="66">
        <v>2500</v>
      </c>
      <c r="O60" s="67">
        <v>2500</v>
      </c>
      <c r="P60" s="77">
        <v>2500</v>
      </c>
      <c r="Q60" s="55">
        <f t="shared" si="1"/>
        <v>22500</v>
      </c>
      <c r="R60" s="6"/>
      <c r="S60" s="6"/>
    </row>
    <row r="61" spans="1:19" s="14" customFormat="1" ht="36" hidden="1">
      <c r="A61" s="63" t="s">
        <v>107</v>
      </c>
      <c r="B61" s="64" t="s">
        <v>108</v>
      </c>
      <c r="C61" s="65"/>
      <c r="D61" s="66">
        <v>0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7"/>
      <c r="P61" s="77"/>
      <c r="Q61" s="55"/>
      <c r="R61" s="6"/>
      <c r="S61" s="6"/>
    </row>
    <row r="62" spans="1:19" s="14" customFormat="1" ht="22.5" customHeight="1">
      <c r="A62" s="84" t="s">
        <v>36</v>
      </c>
      <c r="B62" s="85" t="s">
        <v>109</v>
      </c>
      <c r="C62" s="86" t="s">
        <v>53</v>
      </c>
      <c r="D62" s="87">
        <v>60000</v>
      </c>
      <c r="E62" s="87">
        <f>4100+1000</f>
        <v>5100</v>
      </c>
      <c r="F62" s="87">
        <f>4100+1000</f>
        <v>5100</v>
      </c>
      <c r="G62" s="87">
        <f>4100+1000</f>
        <v>5100</v>
      </c>
      <c r="H62" s="87">
        <f>4200+1000</f>
        <v>5200</v>
      </c>
      <c r="I62" s="87">
        <f>4200+1000</f>
        <v>5200</v>
      </c>
      <c r="J62" s="87">
        <f>4100+1000</f>
        <v>5100</v>
      </c>
      <c r="K62" s="87">
        <f>4100+1000</f>
        <v>5100</v>
      </c>
      <c r="L62" s="87">
        <f>4100+1000</f>
        <v>5100</v>
      </c>
      <c r="M62" s="87">
        <f>4100+1000</f>
        <v>5100</v>
      </c>
      <c r="N62" s="87">
        <f>4200+500</f>
        <v>4700</v>
      </c>
      <c r="O62" s="88">
        <f>4200+500</f>
        <v>4700</v>
      </c>
      <c r="P62" s="89">
        <f>4500</f>
        <v>4500</v>
      </c>
      <c r="Q62" s="55">
        <f t="shared" si="1"/>
        <v>44700</v>
      </c>
      <c r="R62" s="6"/>
      <c r="S62" s="6"/>
    </row>
    <row r="63" spans="1:19" s="56" customFormat="1" ht="16.5" customHeight="1">
      <c r="A63" s="69" t="s">
        <v>110</v>
      </c>
      <c r="B63" s="70" t="s">
        <v>111</v>
      </c>
      <c r="C63" s="118" t="s">
        <v>68</v>
      </c>
      <c r="D63" s="72">
        <f>D64+D65</f>
        <v>44500</v>
      </c>
      <c r="E63" s="72">
        <f aca="true" t="shared" si="18" ref="E63:P63">E64+E65</f>
        <v>708</v>
      </c>
      <c r="F63" s="72">
        <f t="shared" si="18"/>
        <v>12708</v>
      </c>
      <c r="G63" s="72">
        <f t="shared" si="18"/>
        <v>12708</v>
      </c>
      <c r="H63" s="72">
        <f t="shared" si="18"/>
        <v>10708</v>
      </c>
      <c r="I63" s="72">
        <f t="shared" si="18"/>
        <v>2708</v>
      </c>
      <c r="J63" s="72">
        <f t="shared" si="18"/>
        <v>708</v>
      </c>
      <c r="K63" s="72">
        <f t="shared" si="18"/>
        <v>708</v>
      </c>
      <c r="L63" s="72">
        <f t="shared" si="18"/>
        <v>708</v>
      </c>
      <c r="M63" s="72">
        <f t="shared" si="18"/>
        <v>708</v>
      </c>
      <c r="N63" s="72">
        <f t="shared" si="18"/>
        <v>708</v>
      </c>
      <c r="O63" s="73">
        <f t="shared" si="18"/>
        <v>708</v>
      </c>
      <c r="P63" s="74">
        <f t="shared" si="18"/>
        <v>712</v>
      </c>
      <c r="Q63" s="55">
        <f t="shared" si="1"/>
        <v>18376</v>
      </c>
      <c r="R63" s="6"/>
      <c r="S63" s="6"/>
    </row>
    <row r="64" spans="1:19" s="14" customFormat="1" ht="84">
      <c r="A64" s="80" t="s">
        <v>66</v>
      </c>
      <c r="B64" s="81" t="s">
        <v>67</v>
      </c>
      <c r="C64" s="82"/>
      <c r="D64" s="66">
        <v>36000</v>
      </c>
      <c r="E64" s="66">
        <v>0</v>
      </c>
      <c r="F64" s="66">
        <v>12000</v>
      </c>
      <c r="G64" s="66">
        <v>12000</v>
      </c>
      <c r="H64" s="66">
        <v>10000</v>
      </c>
      <c r="I64" s="66">
        <v>2000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7">
        <v>0</v>
      </c>
      <c r="P64" s="77">
        <v>0</v>
      </c>
      <c r="Q64" s="55">
        <f t="shared" si="1"/>
        <v>12000</v>
      </c>
      <c r="R64" s="6"/>
      <c r="S64" s="6"/>
    </row>
    <row r="65" spans="1:19" s="14" customFormat="1" ht="72">
      <c r="A65" s="84" t="s">
        <v>112</v>
      </c>
      <c r="B65" s="85" t="s">
        <v>113</v>
      </c>
      <c r="C65" s="86"/>
      <c r="D65" s="66">
        <v>8500</v>
      </c>
      <c r="E65" s="66">
        <v>708</v>
      </c>
      <c r="F65" s="66">
        <v>708</v>
      </c>
      <c r="G65" s="66">
        <v>708</v>
      </c>
      <c r="H65" s="66">
        <v>708</v>
      </c>
      <c r="I65" s="66">
        <v>708</v>
      </c>
      <c r="J65" s="66">
        <v>708</v>
      </c>
      <c r="K65" s="66">
        <v>708</v>
      </c>
      <c r="L65" s="66">
        <v>708</v>
      </c>
      <c r="M65" s="66">
        <v>708</v>
      </c>
      <c r="N65" s="66">
        <v>708</v>
      </c>
      <c r="O65" s="67">
        <v>708</v>
      </c>
      <c r="P65" s="77">
        <v>712</v>
      </c>
      <c r="Q65" s="55">
        <f t="shared" si="1"/>
        <v>6376</v>
      </c>
      <c r="R65" s="6"/>
      <c r="S65" s="6"/>
    </row>
    <row r="66" spans="1:19" s="14" customFormat="1" ht="16.5" customHeight="1">
      <c r="A66" s="69" t="s">
        <v>114</v>
      </c>
      <c r="B66" s="70" t="s">
        <v>86</v>
      </c>
      <c r="C66" s="123"/>
      <c r="D66" s="72">
        <f>SUM(D67:D70)</f>
        <v>243000</v>
      </c>
      <c r="E66" s="72">
        <f aca="true" t="shared" si="19" ref="E66:P66">SUM(E67:E70)</f>
        <v>23000</v>
      </c>
      <c r="F66" s="72">
        <f t="shared" si="19"/>
        <v>18500</v>
      </c>
      <c r="G66" s="72">
        <f t="shared" si="19"/>
        <v>18500</v>
      </c>
      <c r="H66" s="72">
        <f t="shared" si="19"/>
        <v>18500</v>
      </c>
      <c r="I66" s="72">
        <f t="shared" si="19"/>
        <v>21500</v>
      </c>
      <c r="J66" s="72">
        <f t="shared" si="19"/>
        <v>22500</v>
      </c>
      <c r="K66" s="72">
        <f t="shared" si="19"/>
        <v>20500</v>
      </c>
      <c r="L66" s="72">
        <f t="shared" si="19"/>
        <v>20000</v>
      </c>
      <c r="M66" s="72">
        <f t="shared" si="19"/>
        <v>30000</v>
      </c>
      <c r="N66" s="72">
        <f t="shared" si="19"/>
        <v>15000</v>
      </c>
      <c r="O66" s="73">
        <f t="shared" si="19"/>
        <v>15000</v>
      </c>
      <c r="P66" s="74">
        <f t="shared" si="19"/>
        <v>20000</v>
      </c>
      <c r="Q66" s="55">
        <f t="shared" si="1"/>
        <v>183000</v>
      </c>
      <c r="R66" s="6"/>
      <c r="S66" s="6"/>
    </row>
    <row r="67" spans="1:19" s="14" customFormat="1" ht="24">
      <c r="A67" s="63" t="s">
        <v>115</v>
      </c>
      <c r="B67" s="131" t="s">
        <v>116</v>
      </c>
      <c r="C67" s="108" t="s">
        <v>117</v>
      </c>
      <c r="D67" s="66">
        <v>100000</v>
      </c>
      <c r="E67" s="66">
        <v>8000</v>
      </c>
      <c r="F67" s="66">
        <v>8000</v>
      </c>
      <c r="G67" s="66">
        <v>8000</v>
      </c>
      <c r="H67" s="66">
        <v>8000</v>
      </c>
      <c r="I67" s="66">
        <v>6000</v>
      </c>
      <c r="J67" s="66">
        <v>7000</v>
      </c>
      <c r="K67" s="66">
        <v>10000</v>
      </c>
      <c r="L67" s="66">
        <v>10000</v>
      </c>
      <c r="M67" s="66">
        <v>20000</v>
      </c>
      <c r="N67" s="66">
        <v>5000</v>
      </c>
      <c r="O67" s="67">
        <v>5000</v>
      </c>
      <c r="P67" s="68">
        <v>5000</v>
      </c>
      <c r="Q67" s="55">
        <f t="shared" si="1"/>
        <v>76000</v>
      </c>
      <c r="R67" s="6"/>
      <c r="S67" s="6"/>
    </row>
    <row r="68" spans="1:19" s="14" customFormat="1" ht="48" hidden="1">
      <c r="A68" s="63" t="s">
        <v>34</v>
      </c>
      <c r="B68" s="64" t="s">
        <v>35</v>
      </c>
      <c r="C68" s="65"/>
      <c r="D68" s="66">
        <v>0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7"/>
      <c r="P68" s="77"/>
      <c r="Q68" s="55"/>
      <c r="R68" s="6"/>
      <c r="S68" s="6"/>
    </row>
    <row r="69" spans="1:19" s="14" customFormat="1" ht="23.25">
      <c r="A69" s="63" t="s">
        <v>54</v>
      </c>
      <c r="B69" s="64" t="s">
        <v>118</v>
      </c>
      <c r="C69" s="65" t="s">
        <v>53</v>
      </c>
      <c r="D69" s="66">
        <v>3000</v>
      </c>
      <c r="E69" s="66">
        <v>0</v>
      </c>
      <c r="F69" s="66">
        <v>500</v>
      </c>
      <c r="G69" s="66">
        <v>500</v>
      </c>
      <c r="H69" s="66">
        <v>500</v>
      </c>
      <c r="I69" s="66">
        <v>500</v>
      </c>
      <c r="J69" s="66">
        <v>500</v>
      </c>
      <c r="K69" s="66">
        <v>500</v>
      </c>
      <c r="L69" s="66"/>
      <c r="M69" s="66"/>
      <c r="N69" s="66"/>
      <c r="O69" s="67"/>
      <c r="P69" s="77"/>
      <c r="Q69" s="55">
        <f t="shared" si="1"/>
        <v>2000</v>
      </c>
      <c r="R69" s="6"/>
      <c r="S69" s="6"/>
    </row>
    <row r="70" spans="1:19" s="14" customFormat="1" ht="35.25" thickBot="1">
      <c r="A70" s="63" t="s">
        <v>54</v>
      </c>
      <c r="B70" s="64" t="s">
        <v>119</v>
      </c>
      <c r="C70" s="65" t="s">
        <v>120</v>
      </c>
      <c r="D70" s="66">
        <v>140000</v>
      </c>
      <c r="E70" s="66">
        <v>15000</v>
      </c>
      <c r="F70" s="66">
        <v>10000</v>
      </c>
      <c r="G70" s="66">
        <v>10000</v>
      </c>
      <c r="H70" s="66">
        <v>10000</v>
      </c>
      <c r="I70" s="66">
        <v>15000</v>
      </c>
      <c r="J70" s="66">
        <v>15000</v>
      </c>
      <c r="K70" s="66">
        <v>10000</v>
      </c>
      <c r="L70" s="66">
        <v>10000</v>
      </c>
      <c r="M70" s="66">
        <v>10000</v>
      </c>
      <c r="N70" s="66">
        <v>10000</v>
      </c>
      <c r="O70" s="67">
        <v>10000</v>
      </c>
      <c r="P70" s="77">
        <v>15000</v>
      </c>
      <c r="Q70" s="55">
        <f t="shared" si="1"/>
        <v>105000</v>
      </c>
      <c r="R70" s="6"/>
      <c r="S70" s="6"/>
    </row>
    <row r="71" spans="1:19" s="14" customFormat="1" ht="73.5" thickBot="1" thickTop="1">
      <c r="A71" s="49" t="s">
        <v>121</v>
      </c>
      <c r="B71" s="50" t="s">
        <v>122</v>
      </c>
      <c r="C71" s="128" t="s">
        <v>68</v>
      </c>
      <c r="D71" s="52">
        <f>D72+D76</f>
        <v>17596</v>
      </c>
      <c r="E71" s="52">
        <f aca="true" t="shared" si="20" ref="E71:P71">E72+E76</f>
        <v>1466</v>
      </c>
      <c r="F71" s="52">
        <f t="shared" si="20"/>
        <v>1466</v>
      </c>
      <c r="G71" s="52">
        <f t="shared" si="20"/>
        <v>1466</v>
      </c>
      <c r="H71" s="52">
        <f t="shared" si="20"/>
        <v>1466</v>
      </c>
      <c r="I71" s="52">
        <f t="shared" si="20"/>
        <v>1466</v>
      </c>
      <c r="J71" s="52">
        <f t="shared" si="20"/>
        <v>1466</v>
      </c>
      <c r="K71" s="52">
        <f t="shared" si="20"/>
        <v>1466</v>
      </c>
      <c r="L71" s="52">
        <f t="shared" si="20"/>
        <v>1466</v>
      </c>
      <c r="M71" s="52">
        <f t="shared" si="20"/>
        <v>1466</v>
      </c>
      <c r="N71" s="52">
        <f t="shared" si="20"/>
        <v>1466</v>
      </c>
      <c r="O71" s="53">
        <f t="shared" si="20"/>
        <v>1466</v>
      </c>
      <c r="P71" s="54">
        <f t="shared" si="20"/>
        <v>1470</v>
      </c>
      <c r="Q71" s="55">
        <f t="shared" si="1"/>
        <v>13198</v>
      </c>
      <c r="R71" s="6"/>
      <c r="S71" s="6"/>
    </row>
    <row r="72" spans="1:19" s="56" customFormat="1" ht="36.75" customHeight="1" thickTop="1">
      <c r="A72" s="57" t="s">
        <v>123</v>
      </c>
      <c r="B72" s="58" t="s">
        <v>124</v>
      </c>
      <c r="C72" s="132"/>
      <c r="D72" s="109">
        <f>D73</f>
        <v>17596</v>
      </c>
      <c r="E72" s="109">
        <f aca="true" t="shared" si="21" ref="E72:P72">E73</f>
        <v>1466</v>
      </c>
      <c r="F72" s="109">
        <f t="shared" si="21"/>
        <v>1466</v>
      </c>
      <c r="G72" s="109">
        <f t="shared" si="21"/>
        <v>1466</v>
      </c>
      <c r="H72" s="109">
        <f t="shared" si="21"/>
        <v>1466</v>
      </c>
      <c r="I72" s="109">
        <f t="shared" si="21"/>
        <v>1466</v>
      </c>
      <c r="J72" s="109">
        <f t="shared" si="21"/>
        <v>1466</v>
      </c>
      <c r="K72" s="109">
        <f t="shared" si="21"/>
        <v>1466</v>
      </c>
      <c r="L72" s="109">
        <f t="shared" si="21"/>
        <v>1466</v>
      </c>
      <c r="M72" s="109">
        <f t="shared" si="21"/>
        <v>1466</v>
      </c>
      <c r="N72" s="109">
        <f t="shared" si="21"/>
        <v>1466</v>
      </c>
      <c r="O72" s="133">
        <f t="shared" si="21"/>
        <v>1466</v>
      </c>
      <c r="P72" s="134">
        <f t="shared" si="21"/>
        <v>1470</v>
      </c>
      <c r="Q72" s="55">
        <f t="shared" si="1"/>
        <v>13198</v>
      </c>
      <c r="R72" s="6"/>
      <c r="S72" s="6"/>
    </row>
    <row r="73" spans="1:19" s="14" customFormat="1" ht="72.75" thickBot="1">
      <c r="A73" s="135" t="s">
        <v>94</v>
      </c>
      <c r="B73" s="136" t="s">
        <v>95</v>
      </c>
      <c r="C73" s="123"/>
      <c r="D73" s="116">
        <v>17596</v>
      </c>
      <c r="E73" s="116">
        <v>1466</v>
      </c>
      <c r="F73" s="116">
        <v>1466</v>
      </c>
      <c r="G73" s="116">
        <v>1466</v>
      </c>
      <c r="H73" s="116">
        <v>1466</v>
      </c>
      <c r="I73" s="116">
        <v>1466</v>
      </c>
      <c r="J73" s="116">
        <v>1466</v>
      </c>
      <c r="K73" s="116">
        <v>1466</v>
      </c>
      <c r="L73" s="116">
        <v>1466</v>
      </c>
      <c r="M73" s="116">
        <v>1466</v>
      </c>
      <c r="N73" s="116">
        <v>1466</v>
      </c>
      <c r="O73" s="119">
        <v>1466</v>
      </c>
      <c r="P73" s="120">
        <v>1470</v>
      </c>
      <c r="Q73" s="55">
        <f t="shared" si="1"/>
        <v>13198</v>
      </c>
      <c r="R73" s="6"/>
      <c r="S73" s="6"/>
    </row>
    <row r="74" spans="1:19" s="56" customFormat="1" ht="60.75" hidden="1" thickBot="1">
      <c r="A74" s="137" t="s">
        <v>125</v>
      </c>
      <c r="B74" s="97" t="s">
        <v>126</v>
      </c>
      <c r="C74" s="75"/>
      <c r="D74" s="66" t="e">
        <f>SUM(I74+L74+P74+#REF!)</f>
        <v>#REF!</v>
      </c>
      <c r="E74" s="66"/>
      <c r="F74" s="66"/>
      <c r="G74" s="109">
        <f>SUM(J74+M74+Q74+S74)</f>
        <v>0</v>
      </c>
      <c r="H74" s="109"/>
      <c r="I74" s="109"/>
      <c r="J74" s="109"/>
      <c r="K74" s="109"/>
      <c r="L74" s="109"/>
      <c r="M74" s="109"/>
      <c r="N74" s="138"/>
      <c r="O74" s="139"/>
      <c r="P74" s="140"/>
      <c r="Q74" s="55">
        <f t="shared" si="1"/>
        <v>0</v>
      </c>
      <c r="R74" s="6"/>
      <c r="S74" s="6"/>
    </row>
    <row r="75" spans="1:19" s="14" customFormat="1" ht="72.75" hidden="1" thickBot="1">
      <c r="A75" s="63" t="s">
        <v>127</v>
      </c>
      <c r="B75" s="64" t="s">
        <v>95</v>
      </c>
      <c r="C75" s="65"/>
      <c r="D75" s="141" t="e">
        <f>SUM(I75+L75+P75+#REF!)</f>
        <v>#REF!</v>
      </c>
      <c r="E75" s="141"/>
      <c r="F75" s="141"/>
      <c r="G75" s="141">
        <f>SUM(J75+M75+Q75+S75)</f>
        <v>0</v>
      </c>
      <c r="H75" s="66"/>
      <c r="I75" s="66"/>
      <c r="J75" s="66"/>
      <c r="K75" s="66"/>
      <c r="L75" s="66"/>
      <c r="M75" s="66"/>
      <c r="N75" s="103"/>
      <c r="O75" s="104"/>
      <c r="P75" s="105"/>
      <c r="Q75" s="55">
        <f>SUM(H75:P75)</f>
        <v>0</v>
      </c>
      <c r="R75" s="6"/>
      <c r="S75" s="6"/>
    </row>
    <row r="76" spans="1:19" s="14" customFormat="1" ht="24.75" hidden="1" thickBot="1">
      <c r="A76" s="124" t="s">
        <v>128</v>
      </c>
      <c r="B76" s="78" t="s">
        <v>129</v>
      </c>
      <c r="C76" s="115"/>
      <c r="D76" s="72">
        <v>0</v>
      </c>
      <c r="E76" s="72"/>
      <c r="F76" s="72"/>
      <c r="G76" s="72"/>
      <c r="H76" s="116"/>
      <c r="I76" s="116"/>
      <c r="J76" s="116"/>
      <c r="K76" s="116"/>
      <c r="L76" s="116"/>
      <c r="M76" s="116"/>
      <c r="N76" s="142"/>
      <c r="O76" s="143"/>
      <c r="P76" s="144"/>
      <c r="Q76" s="55"/>
      <c r="R76" s="6"/>
      <c r="S76" s="6"/>
    </row>
    <row r="77" spans="1:19" s="14" customFormat="1" ht="60.75" hidden="1" thickBot="1">
      <c r="A77" s="126" t="s">
        <v>94</v>
      </c>
      <c r="B77" s="101" t="s">
        <v>130</v>
      </c>
      <c r="C77" s="108"/>
      <c r="D77" s="66">
        <v>0</v>
      </c>
      <c r="E77" s="66"/>
      <c r="F77" s="66"/>
      <c r="G77" s="66"/>
      <c r="H77" s="66"/>
      <c r="I77" s="66"/>
      <c r="J77" s="66"/>
      <c r="K77" s="66"/>
      <c r="L77" s="66"/>
      <c r="M77" s="66"/>
      <c r="N77" s="103"/>
      <c r="O77" s="104"/>
      <c r="P77" s="105"/>
      <c r="Q77" s="55"/>
      <c r="R77" s="6"/>
      <c r="S77" s="6"/>
    </row>
    <row r="78" spans="1:19" s="56" customFormat="1" ht="18.75" customHeight="1" thickBot="1" thickTop="1">
      <c r="A78" s="145" t="s">
        <v>131</v>
      </c>
      <c r="B78" s="50" t="s">
        <v>132</v>
      </c>
      <c r="C78" s="146"/>
      <c r="D78" s="52">
        <f>D79</f>
        <v>1000</v>
      </c>
      <c r="E78" s="52"/>
      <c r="F78" s="52">
        <f>F79</f>
        <v>1000</v>
      </c>
      <c r="G78" s="52"/>
      <c r="H78" s="52"/>
      <c r="I78" s="52"/>
      <c r="J78" s="52"/>
      <c r="K78" s="52"/>
      <c r="L78" s="52"/>
      <c r="M78" s="52"/>
      <c r="N78" s="147"/>
      <c r="O78" s="148"/>
      <c r="P78" s="149"/>
      <c r="Q78" s="55"/>
      <c r="R78" s="6"/>
      <c r="S78" s="6"/>
    </row>
    <row r="79" spans="1:19" s="56" customFormat="1" ht="14.25" customHeight="1" thickTop="1">
      <c r="A79" s="150" t="s">
        <v>133</v>
      </c>
      <c r="B79" s="58" t="s">
        <v>134</v>
      </c>
      <c r="C79" s="151"/>
      <c r="D79" s="60">
        <v>1000</v>
      </c>
      <c r="E79" s="60"/>
      <c r="F79" s="60">
        <f>F80</f>
        <v>1000</v>
      </c>
      <c r="G79" s="60"/>
      <c r="H79" s="60"/>
      <c r="I79" s="60"/>
      <c r="J79" s="60"/>
      <c r="K79" s="60"/>
      <c r="L79" s="60"/>
      <c r="M79" s="60"/>
      <c r="N79" s="152"/>
      <c r="O79" s="153"/>
      <c r="P79" s="154"/>
      <c r="Q79" s="55"/>
      <c r="R79" s="6"/>
      <c r="S79" s="6"/>
    </row>
    <row r="80" spans="1:19" s="14" customFormat="1" ht="84.75" thickBot="1">
      <c r="A80" s="126" t="s">
        <v>66</v>
      </c>
      <c r="B80" s="136" t="s">
        <v>67</v>
      </c>
      <c r="C80" s="108"/>
      <c r="D80" s="66">
        <v>1000</v>
      </c>
      <c r="E80" s="66"/>
      <c r="F80" s="66">
        <v>1000</v>
      </c>
      <c r="G80" s="66"/>
      <c r="H80" s="66"/>
      <c r="I80" s="66"/>
      <c r="J80" s="66"/>
      <c r="K80" s="66"/>
      <c r="L80" s="66"/>
      <c r="M80" s="66"/>
      <c r="N80" s="103"/>
      <c r="O80" s="104"/>
      <c r="P80" s="105"/>
      <c r="Q80" s="55"/>
      <c r="R80" s="6"/>
      <c r="S80" s="6"/>
    </row>
    <row r="81" spans="1:19" s="14" customFormat="1" ht="36.75" customHeight="1" thickBot="1" thickTop="1">
      <c r="A81" s="49" t="s">
        <v>135</v>
      </c>
      <c r="B81" s="50" t="s">
        <v>136</v>
      </c>
      <c r="C81" s="128" t="s">
        <v>68</v>
      </c>
      <c r="D81" s="52">
        <f>D82+D85</f>
        <v>5012000</v>
      </c>
      <c r="E81" s="52">
        <f aca="true" t="shared" si="22" ref="E81:P81">E82+E85</f>
        <v>417666</v>
      </c>
      <c r="F81" s="52">
        <f t="shared" si="22"/>
        <v>417666</v>
      </c>
      <c r="G81" s="52">
        <f t="shared" si="22"/>
        <v>417666</v>
      </c>
      <c r="H81" s="52">
        <f t="shared" si="22"/>
        <v>417666</v>
      </c>
      <c r="I81" s="52">
        <f t="shared" si="22"/>
        <v>417666</v>
      </c>
      <c r="J81" s="52">
        <f t="shared" si="22"/>
        <v>417666</v>
      </c>
      <c r="K81" s="52">
        <f t="shared" si="22"/>
        <v>417666</v>
      </c>
      <c r="L81" s="52">
        <f t="shared" si="22"/>
        <v>417666</v>
      </c>
      <c r="M81" s="52">
        <f t="shared" si="22"/>
        <v>417666</v>
      </c>
      <c r="N81" s="52">
        <f t="shared" si="22"/>
        <v>417666</v>
      </c>
      <c r="O81" s="53">
        <f t="shared" si="22"/>
        <v>417666</v>
      </c>
      <c r="P81" s="54">
        <f t="shared" si="22"/>
        <v>417674</v>
      </c>
      <c r="Q81" s="55">
        <f>SUM(H81:P81)</f>
        <v>3759002</v>
      </c>
      <c r="R81" s="6"/>
      <c r="S81" s="6"/>
    </row>
    <row r="82" spans="1:19" s="14" customFormat="1" ht="36" customHeight="1" thickTop="1">
      <c r="A82" s="96" t="s">
        <v>137</v>
      </c>
      <c r="B82" s="97" t="s">
        <v>138</v>
      </c>
      <c r="C82" s="86"/>
      <c r="D82" s="60">
        <f>SUM(D83:D84)</f>
        <v>5006000</v>
      </c>
      <c r="E82" s="60">
        <f aca="true" t="shared" si="23" ref="E82:P82">SUM(E83:E84)</f>
        <v>417166</v>
      </c>
      <c r="F82" s="60">
        <f t="shared" si="23"/>
        <v>417166</v>
      </c>
      <c r="G82" s="60">
        <f t="shared" si="23"/>
        <v>417166</v>
      </c>
      <c r="H82" s="60">
        <f t="shared" si="23"/>
        <v>417166</v>
      </c>
      <c r="I82" s="60">
        <f t="shared" si="23"/>
        <v>417166</v>
      </c>
      <c r="J82" s="60">
        <f t="shared" si="23"/>
        <v>417166</v>
      </c>
      <c r="K82" s="60">
        <f t="shared" si="23"/>
        <v>417166</v>
      </c>
      <c r="L82" s="60">
        <f t="shared" si="23"/>
        <v>417166</v>
      </c>
      <c r="M82" s="60">
        <f t="shared" si="23"/>
        <v>417166</v>
      </c>
      <c r="N82" s="60">
        <f t="shared" si="23"/>
        <v>417166</v>
      </c>
      <c r="O82" s="61">
        <f t="shared" si="23"/>
        <v>417166</v>
      </c>
      <c r="P82" s="62">
        <f t="shared" si="23"/>
        <v>417174</v>
      </c>
      <c r="Q82" s="55">
        <f>SUM(H82:P82)</f>
        <v>3754502</v>
      </c>
      <c r="R82" s="6"/>
      <c r="S82" s="6"/>
    </row>
    <row r="83" spans="1:19" s="14" customFormat="1" ht="84">
      <c r="A83" s="80" t="s">
        <v>66</v>
      </c>
      <c r="B83" s="81" t="s">
        <v>67</v>
      </c>
      <c r="C83" s="82"/>
      <c r="D83" s="76">
        <v>4906000</v>
      </c>
      <c r="E83" s="76">
        <v>408833</v>
      </c>
      <c r="F83" s="76">
        <v>408833</v>
      </c>
      <c r="G83" s="76">
        <v>408833</v>
      </c>
      <c r="H83" s="76">
        <v>408833</v>
      </c>
      <c r="I83" s="76">
        <v>408833</v>
      </c>
      <c r="J83" s="76">
        <v>408833</v>
      </c>
      <c r="K83" s="76">
        <v>408833</v>
      </c>
      <c r="L83" s="76">
        <v>408833</v>
      </c>
      <c r="M83" s="76">
        <v>408833</v>
      </c>
      <c r="N83" s="76">
        <v>408833</v>
      </c>
      <c r="O83" s="83">
        <v>408833</v>
      </c>
      <c r="P83" s="68">
        <v>408837</v>
      </c>
      <c r="Q83" s="55">
        <f>SUM(H83:P83)</f>
        <v>3679501</v>
      </c>
      <c r="R83" s="6"/>
      <c r="S83" s="6"/>
    </row>
    <row r="84" spans="1:19" s="14" customFormat="1" ht="96">
      <c r="A84" s="84" t="s">
        <v>77</v>
      </c>
      <c r="B84" s="85" t="s">
        <v>78</v>
      </c>
      <c r="C84" s="86"/>
      <c r="D84" s="87">
        <v>100000</v>
      </c>
      <c r="E84" s="87">
        <v>8333</v>
      </c>
      <c r="F84" s="87">
        <v>8333</v>
      </c>
      <c r="G84" s="87">
        <v>8333</v>
      </c>
      <c r="H84" s="87">
        <v>8333</v>
      </c>
      <c r="I84" s="87">
        <v>8333</v>
      </c>
      <c r="J84" s="87">
        <v>8333</v>
      </c>
      <c r="K84" s="87">
        <v>8333</v>
      </c>
      <c r="L84" s="87">
        <v>8333</v>
      </c>
      <c r="M84" s="87">
        <v>8333</v>
      </c>
      <c r="N84" s="87">
        <v>8333</v>
      </c>
      <c r="O84" s="88">
        <v>8333</v>
      </c>
      <c r="P84" s="89">
        <v>8337</v>
      </c>
      <c r="Q84" s="55"/>
      <c r="R84" s="6"/>
      <c r="S84" s="6"/>
    </row>
    <row r="85" spans="1:19" s="14" customFormat="1" ht="12">
      <c r="A85" s="69" t="s">
        <v>139</v>
      </c>
      <c r="B85" s="70" t="s">
        <v>140</v>
      </c>
      <c r="C85" s="123"/>
      <c r="D85" s="72">
        <f>D86+D87</f>
        <v>6000</v>
      </c>
      <c r="E85" s="72">
        <f>E86+E87</f>
        <v>500</v>
      </c>
      <c r="F85" s="72">
        <f aca="true" t="shared" si="24" ref="F85:P85">F86+F87</f>
        <v>500</v>
      </c>
      <c r="G85" s="72">
        <f t="shared" si="24"/>
        <v>500</v>
      </c>
      <c r="H85" s="72">
        <f t="shared" si="24"/>
        <v>500</v>
      </c>
      <c r="I85" s="72">
        <f t="shared" si="24"/>
        <v>500</v>
      </c>
      <c r="J85" s="72">
        <f t="shared" si="24"/>
        <v>500</v>
      </c>
      <c r="K85" s="72">
        <f t="shared" si="24"/>
        <v>500</v>
      </c>
      <c r="L85" s="72">
        <f t="shared" si="24"/>
        <v>500</v>
      </c>
      <c r="M85" s="72">
        <f t="shared" si="24"/>
        <v>500</v>
      </c>
      <c r="N85" s="72">
        <f t="shared" si="24"/>
        <v>500</v>
      </c>
      <c r="O85" s="73">
        <f t="shared" si="24"/>
        <v>500</v>
      </c>
      <c r="P85" s="74">
        <f t="shared" si="24"/>
        <v>500</v>
      </c>
      <c r="Q85" s="55">
        <f>SUM(H85:P85)</f>
        <v>4500</v>
      </c>
      <c r="R85" s="6"/>
      <c r="S85" s="6"/>
    </row>
    <row r="86" spans="1:19" s="14" customFormat="1" ht="72.75" thickBot="1">
      <c r="A86" s="80" t="s">
        <v>94</v>
      </c>
      <c r="B86" s="81" t="s">
        <v>95</v>
      </c>
      <c r="C86" s="82"/>
      <c r="D86" s="76">
        <v>6000</v>
      </c>
      <c r="E86" s="76">
        <v>500</v>
      </c>
      <c r="F86" s="76">
        <v>500</v>
      </c>
      <c r="G86" s="76">
        <v>500</v>
      </c>
      <c r="H86" s="76">
        <v>500</v>
      </c>
      <c r="I86" s="76">
        <v>500</v>
      </c>
      <c r="J86" s="76">
        <v>500</v>
      </c>
      <c r="K86" s="76">
        <v>500</v>
      </c>
      <c r="L86" s="76">
        <v>500</v>
      </c>
      <c r="M86" s="76">
        <v>500</v>
      </c>
      <c r="N86" s="76">
        <v>500</v>
      </c>
      <c r="O86" s="83">
        <v>500</v>
      </c>
      <c r="P86" s="68">
        <v>500</v>
      </c>
      <c r="Q86" s="55">
        <f>SUM(H86:P86)</f>
        <v>4500</v>
      </c>
      <c r="R86" s="6"/>
      <c r="S86" s="6"/>
    </row>
    <row r="87" spans="1:19" s="14" customFormat="1" ht="96.75" hidden="1" thickBot="1">
      <c r="A87" s="63" t="s">
        <v>77</v>
      </c>
      <c r="B87" s="64" t="s">
        <v>78</v>
      </c>
      <c r="C87" s="65"/>
      <c r="D87" s="66">
        <v>0</v>
      </c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7"/>
      <c r="P87" s="77"/>
      <c r="Q87" s="55"/>
      <c r="R87" s="6"/>
      <c r="S87" s="6"/>
    </row>
    <row r="88" spans="1:19" s="14" customFormat="1" ht="85.5" thickBot="1" thickTop="1">
      <c r="A88" s="49" t="s">
        <v>141</v>
      </c>
      <c r="B88" s="50" t="s">
        <v>142</v>
      </c>
      <c r="C88" s="128"/>
      <c r="D88" s="52">
        <f>D89+D91+D98+D108+D113+D116+D119+D122</f>
        <v>108005003</v>
      </c>
      <c r="E88" s="52">
        <f aca="true" t="shared" si="25" ref="E88:P88">E89+E91+E98+E108+E113+E116+E119+E122</f>
        <v>9017581</v>
      </c>
      <c r="F88" s="52">
        <f t="shared" si="25"/>
        <v>8605014</v>
      </c>
      <c r="G88" s="52">
        <f t="shared" si="25"/>
        <v>10715614</v>
      </c>
      <c r="H88" s="52">
        <f t="shared" si="25"/>
        <v>8307514</v>
      </c>
      <c r="I88" s="52">
        <f t="shared" si="25"/>
        <v>8627114</v>
      </c>
      <c r="J88" s="52">
        <f t="shared" si="25"/>
        <v>10600414</v>
      </c>
      <c r="K88" s="52">
        <f t="shared" si="25"/>
        <v>8105514</v>
      </c>
      <c r="L88" s="52">
        <f t="shared" si="25"/>
        <v>8095514</v>
      </c>
      <c r="M88" s="52">
        <f t="shared" si="25"/>
        <v>11032614</v>
      </c>
      <c r="N88" s="52">
        <f t="shared" si="25"/>
        <v>8428514</v>
      </c>
      <c r="O88" s="53">
        <f t="shared" si="25"/>
        <v>8434514</v>
      </c>
      <c r="P88" s="54">
        <f t="shared" si="25"/>
        <v>8035082</v>
      </c>
      <c r="Q88" s="155" t="e">
        <f>SUM(Q89+Q91+Q108+Q116+Q119)</f>
        <v>#REF!</v>
      </c>
      <c r="R88" s="6"/>
      <c r="S88" s="6"/>
    </row>
    <row r="89" spans="1:19" s="14" customFormat="1" ht="37.5" customHeight="1" thickTop="1">
      <c r="A89" s="57" t="s">
        <v>143</v>
      </c>
      <c r="B89" s="58" t="s">
        <v>144</v>
      </c>
      <c r="C89" s="129" t="s">
        <v>145</v>
      </c>
      <c r="D89" s="98">
        <f>D90</f>
        <v>520000</v>
      </c>
      <c r="E89" s="98">
        <f aca="true" t="shared" si="26" ref="E89:P89">E90</f>
        <v>18000</v>
      </c>
      <c r="F89" s="98">
        <f t="shared" si="26"/>
        <v>43333</v>
      </c>
      <c r="G89" s="98">
        <f t="shared" si="26"/>
        <v>43333</v>
      </c>
      <c r="H89" s="98">
        <f t="shared" si="26"/>
        <v>43333</v>
      </c>
      <c r="I89" s="98">
        <f t="shared" si="26"/>
        <v>43333</v>
      </c>
      <c r="J89" s="98">
        <f t="shared" si="26"/>
        <v>43333</v>
      </c>
      <c r="K89" s="98">
        <f t="shared" si="26"/>
        <v>43333</v>
      </c>
      <c r="L89" s="98">
        <f t="shared" si="26"/>
        <v>43333</v>
      </c>
      <c r="M89" s="98">
        <f t="shared" si="26"/>
        <v>43333</v>
      </c>
      <c r="N89" s="98">
        <f t="shared" si="26"/>
        <v>43333</v>
      </c>
      <c r="O89" s="99">
        <f t="shared" si="26"/>
        <v>43333</v>
      </c>
      <c r="P89" s="100">
        <f t="shared" si="26"/>
        <v>68670</v>
      </c>
      <c r="Q89" s="55">
        <f>SUM(H89:P89)</f>
        <v>415334</v>
      </c>
      <c r="R89" s="6"/>
      <c r="S89" s="6"/>
    </row>
    <row r="90" spans="1:19" s="14" customFormat="1" ht="48">
      <c r="A90" s="135" t="s">
        <v>146</v>
      </c>
      <c r="B90" s="136" t="s">
        <v>147</v>
      </c>
      <c r="C90" s="123"/>
      <c r="D90" s="87">
        <v>520000</v>
      </c>
      <c r="E90" s="87">
        <v>18000</v>
      </c>
      <c r="F90" s="87">
        <v>43333</v>
      </c>
      <c r="G90" s="87">
        <v>43333</v>
      </c>
      <c r="H90" s="87">
        <v>43333</v>
      </c>
      <c r="I90" s="87">
        <v>43333</v>
      </c>
      <c r="J90" s="87">
        <v>43333</v>
      </c>
      <c r="K90" s="87">
        <v>43333</v>
      </c>
      <c r="L90" s="87">
        <v>43333</v>
      </c>
      <c r="M90" s="87">
        <v>43333</v>
      </c>
      <c r="N90" s="87">
        <v>43333</v>
      </c>
      <c r="O90" s="88">
        <v>43333</v>
      </c>
      <c r="P90" s="120">
        <f>86670-18000</f>
        <v>68670</v>
      </c>
      <c r="Q90" s="55">
        <f>SUM(H90:P90)</f>
        <v>415334</v>
      </c>
      <c r="R90" s="6"/>
      <c r="S90" s="6"/>
    </row>
    <row r="91" spans="1:19" s="14" customFormat="1" ht="72.75" customHeight="1">
      <c r="A91" s="69" t="s">
        <v>148</v>
      </c>
      <c r="B91" s="70" t="s">
        <v>149</v>
      </c>
      <c r="C91" s="123"/>
      <c r="D91" s="72">
        <f>SUM(D92:D97)</f>
        <v>25285000</v>
      </c>
      <c r="E91" s="72">
        <f aca="true" t="shared" si="27" ref="E91:P91">SUM(E92:E97)</f>
        <v>1635500</v>
      </c>
      <c r="F91" s="72">
        <f t="shared" si="27"/>
        <v>1680500</v>
      </c>
      <c r="G91" s="72">
        <f t="shared" si="27"/>
        <v>3257900</v>
      </c>
      <c r="H91" s="72">
        <f t="shared" si="27"/>
        <v>1822000</v>
      </c>
      <c r="I91" s="72">
        <f t="shared" si="27"/>
        <v>1697000</v>
      </c>
      <c r="J91" s="72">
        <f t="shared" si="27"/>
        <v>3823900</v>
      </c>
      <c r="K91" s="72">
        <f t="shared" si="27"/>
        <v>1525000</v>
      </c>
      <c r="L91" s="72">
        <f t="shared" si="27"/>
        <v>1525000</v>
      </c>
      <c r="M91" s="72">
        <f t="shared" si="27"/>
        <v>4005500</v>
      </c>
      <c r="N91" s="72">
        <f t="shared" si="27"/>
        <v>1530000</v>
      </c>
      <c r="O91" s="73">
        <f t="shared" si="27"/>
        <v>1446000</v>
      </c>
      <c r="P91" s="74">
        <f t="shared" si="27"/>
        <v>1336700</v>
      </c>
      <c r="Q91" s="156" t="e">
        <f>SUM(Q92+Q93+Q94+Q95+#REF!+Q97)</f>
        <v>#REF!</v>
      </c>
      <c r="R91" s="6"/>
      <c r="S91" s="6"/>
    </row>
    <row r="92" spans="1:19" s="14" customFormat="1" ht="12">
      <c r="A92" s="80" t="s">
        <v>150</v>
      </c>
      <c r="B92" s="81" t="s">
        <v>151</v>
      </c>
      <c r="C92" s="82" t="s">
        <v>152</v>
      </c>
      <c r="D92" s="66">
        <v>24096700</v>
      </c>
      <c r="E92" s="66">
        <v>1500000</v>
      </c>
      <c r="F92" s="66">
        <v>1500000</v>
      </c>
      <c r="G92" s="66">
        <v>3000000</v>
      </c>
      <c r="H92" s="76">
        <v>1800000</v>
      </c>
      <c r="I92" s="76">
        <v>1500000</v>
      </c>
      <c r="J92" s="76">
        <v>3800000</v>
      </c>
      <c r="K92" s="76">
        <v>1500000</v>
      </c>
      <c r="L92" s="76">
        <v>1500000</v>
      </c>
      <c r="M92" s="76">
        <v>3800000</v>
      </c>
      <c r="N92" s="76">
        <v>1500000</v>
      </c>
      <c r="O92" s="83">
        <v>1400000</v>
      </c>
      <c r="P92" s="68">
        <v>1296700</v>
      </c>
      <c r="Q92" s="55">
        <f>SUM(H92:P92)</f>
        <v>18096700</v>
      </c>
      <c r="R92" s="6"/>
      <c r="S92" s="6"/>
    </row>
    <row r="93" spans="1:19" s="14" customFormat="1" ht="12">
      <c r="A93" s="63" t="s">
        <v>153</v>
      </c>
      <c r="B93" s="64" t="s">
        <v>154</v>
      </c>
      <c r="C93" s="65" t="s">
        <v>53</v>
      </c>
      <c r="D93" s="66">
        <v>26400</v>
      </c>
      <c r="E93" s="66">
        <v>2500</v>
      </c>
      <c r="F93" s="66">
        <v>2500</v>
      </c>
      <c r="G93" s="66">
        <v>4400</v>
      </c>
      <c r="H93" s="66">
        <v>0</v>
      </c>
      <c r="I93" s="66">
        <v>5000</v>
      </c>
      <c r="J93" s="66">
        <v>0</v>
      </c>
      <c r="K93" s="66">
        <v>0</v>
      </c>
      <c r="L93" s="66">
        <v>0</v>
      </c>
      <c r="M93" s="66">
        <v>6000</v>
      </c>
      <c r="N93" s="103">
        <v>0</v>
      </c>
      <c r="O93" s="104">
        <v>6000</v>
      </c>
      <c r="P93" s="105">
        <v>0</v>
      </c>
      <c r="Q93" s="55">
        <f>SUM(H93:P93)</f>
        <v>17000</v>
      </c>
      <c r="R93" s="6"/>
      <c r="S93" s="6"/>
    </row>
    <row r="94" spans="1:19" s="14" customFormat="1" ht="12">
      <c r="A94" s="63" t="s">
        <v>155</v>
      </c>
      <c r="B94" s="64" t="s">
        <v>156</v>
      </c>
      <c r="C94" s="65" t="s">
        <v>53</v>
      </c>
      <c r="D94" s="66">
        <v>31000</v>
      </c>
      <c r="E94" s="66">
        <v>3000</v>
      </c>
      <c r="F94" s="66">
        <v>3000</v>
      </c>
      <c r="G94" s="66">
        <v>3500</v>
      </c>
      <c r="H94" s="66">
        <v>0</v>
      </c>
      <c r="I94" s="66">
        <v>7000</v>
      </c>
      <c r="J94" s="66">
        <v>0</v>
      </c>
      <c r="K94" s="66">
        <v>0</v>
      </c>
      <c r="L94" s="66">
        <v>0</v>
      </c>
      <c r="M94" s="66">
        <v>7500</v>
      </c>
      <c r="N94" s="66">
        <v>0</v>
      </c>
      <c r="O94" s="67">
        <v>7000</v>
      </c>
      <c r="P94" s="77"/>
      <c r="Q94" s="55">
        <f>SUM(H94:P94)</f>
        <v>21500</v>
      </c>
      <c r="R94" s="6"/>
      <c r="S94" s="6"/>
    </row>
    <row r="95" spans="1:19" s="14" customFormat="1" ht="24">
      <c r="A95" s="63" t="s">
        <v>157</v>
      </c>
      <c r="B95" s="64" t="s">
        <v>158</v>
      </c>
      <c r="C95" s="65" t="s">
        <v>53</v>
      </c>
      <c r="D95" s="66">
        <v>910900</v>
      </c>
      <c r="E95" s="66">
        <v>100000</v>
      </c>
      <c r="F95" s="66">
        <v>150000</v>
      </c>
      <c r="G95" s="66">
        <v>200000</v>
      </c>
      <c r="H95" s="66">
        <v>12000</v>
      </c>
      <c r="I95" s="66">
        <v>175000</v>
      </c>
      <c r="J95" s="66">
        <v>13900</v>
      </c>
      <c r="K95" s="66">
        <v>15000</v>
      </c>
      <c r="L95" s="66">
        <v>15000</v>
      </c>
      <c r="M95" s="66">
        <v>178000</v>
      </c>
      <c r="N95" s="66">
        <v>14000</v>
      </c>
      <c r="O95" s="67">
        <v>18000</v>
      </c>
      <c r="P95" s="77">
        <v>20000</v>
      </c>
      <c r="Q95" s="55">
        <f>SUM(H95:P95)</f>
        <v>460900</v>
      </c>
      <c r="R95" s="6"/>
      <c r="S95" s="6"/>
    </row>
    <row r="96" spans="1:19" s="14" customFormat="1" ht="24">
      <c r="A96" s="63" t="s">
        <v>159</v>
      </c>
      <c r="B96" s="64" t="s">
        <v>160</v>
      </c>
      <c r="C96" s="65"/>
      <c r="D96" s="66">
        <v>0</v>
      </c>
      <c r="E96" s="66"/>
      <c r="F96" s="66"/>
      <c r="G96" s="66"/>
      <c r="H96" s="157"/>
      <c r="I96" s="157"/>
      <c r="J96" s="157"/>
      <c r="K96" s="157"/>
      <c r="L96" s="157"/>
      <c r="M96" s="157"/>
      <c r="N96" s="157"/>
      <c r="O96" s="158"/>
      <c r="P96" s="77"/>
      <c r="Q96" s="55"/>
      <c r="R96" s="6"/>
      <c r="S96" s="6"/>
    </row>
    <row r="97" spans="1:19" s="14" customFormat="1" ht="23.25" customHeight="1">
      <c r="A97" s="84" t="s">
        <v>161</v>
      </c>
      <c r="B97" s="85" t="s">
        <v>162</v>
      </c>
      <c r="C97" s="86" t="s">
        <v>145</v>
      </c>
      <c r="D97" s="87">
        <v>220000</v>
      </c>
      <c r="E97" s="87">
        <v>30000</v>
      </c>
      <c r="F97" s="87">
        <v>25000</v>
      </c>
      <c r="G97" s="87">
        <v>50000</v>
      </c>
      <c r="H97" s="159">
        <v>10000</v>
      </c>
      <c r="I97" s="159">
        <v>10000</v>
      </c>
      <c r="J97" s="159">
        <v>10000</v>
      </c>
      <c r="K97" s="159">
        <v>10000</v>
      </c>
      <c r="L97" s="159">
        <v>10000</v>
      </c>
      <c r="M97" s="159">
        <v>14000</v>
      </c>
      <c r="N97" s="159">
        <v>16000</v>
      </c>
      <c r="O97" s="160">
        <v>15000</v>
      </c>
      <c r="P97" s="89">
        <v>20000</v>
      </c>
      <c r="Q97" s="55">
        <f>SUM(H97:P97)</f>
        <v>115000</v>
      </c>
      <c r="R97" s="6"/>
      <c r="S97" s="6"/>
    </row>
    <row r="98" spans="1:19" s="56" customFormat="1" ht="74.25" customHeight="1">
      <c r="A98" s="96" t="s">
        <v>163</v>
      </c>
      <c r="B98" s="161" t="s">
        <v>164</v>
      </c>
      <c r="C98" s="79"/>
      <c r="D98" s="98">
        <f>SUM(D99:D107)</f>
        <v>11074817</v>
      </c>
      <c r="E98" s="98">
        <f aca="true" t="shared" si="28" ref="E98:P98">SUM(E99:E107)</f>
        <v>941126</v>
      </c>
      <c r="F98" s="98">
        <f t="shared" si="28"/>
        <v>1051126</v>
      </c>
      <c r="G98" s="98">
        <f t="shared" si="28"/>
        <v>1584326</v>
      </c>
      <c r="H98" s="98">
        <f t="shared" si="28"/>
        <v>612126</v>
      </c>
      <c r="I98" s="98">
        <f t="shared" si="28"/>
        <v>771126</v>
      </c>
      <c r="J98" s="98">
        <f t="shared" si="28"/>
        <v>903126</v>
      </c>
      <c r="K98" s="98">
        <f t="shared" si="28"/>
        <v>707126</v>
      </c>
      <c r="L98" s="98">
        <f t="shared" si="28"/>
        <v>697126</v>
      </c>
      <c r="M98" s="98">
        <f t="shared" si="28"/>
        <v>868126</v>
      </c>
      <c r="N98" s="98">
        <f t="shared" si="28"/>
        <v>1025126</v>
      </c>
      <c r="O98" s="99">
        <f t="shared" si="28"/>
        <v>1115126</v>
      </c>
      <c r="P98" s="100">
        <f t="shared" si="28"/>
        <v>799231</v>
      </c>
      <c r="Q98" s="55"/>
      <c r="R98" s="6"/>
      <c r="S98" s="6"/>
    </row>
    <row r="99" spans="1:19" s="14" customFormat="1" ht="12">
      <c r="A99" s="80" t="s">
        <v>150</v>
      </c>
      <c r="B99" s="81" t="s">
        <v>151</v>
      </c>
      <c r="C99" s="82" t="s">
        <v>152</v>
      </c>
      <c r="D99" s="66">
        <v>6347100</v>
      </c>
      <c r="E99" s="66">
        <v>400000</v>
      </c>
      <c r="F99" s="66">
        <v>500000</v>
      </c>
      <c r="G99" s="66">
        <v>900000</v>
      </c>
      <c r="H99" s="66">
        <v>410000</v>
      </c>
      <c r="I99" s="66">
        <v>420000</v>
      </c>
      <c r="J99" s="66">
        <v>690000</v>
      </c>
      <c r="K99" s="66">
        <v>450000</v>
      </c>
      <c r="L99" s="66">
        <v>420000</v>
      </c>
      <c r="M99" s="66">
        <v>380000</v>
      </c>
      <c r="N99" s="66">
        <v>680000</v>
      </c>
      <c r="O99" s="67">
        <v>640000</v>
      </c>
      <c r="P99" s="77">
        <v>457100</v>
      </c>
      <c r="Q99" s="55"/>
      <c r="R99" s="6"/>
      <c r="S99" s="6"/>
    </row>
    <row r="100" spans="1:19" s="14" customFormat="1" ht="12">
      <c r="A100" s="63" t="s">
        <v>153</v>
      </c>
      <c r="B100" s="64" t="s">
        <v>154</v>
      </c>
      <c r="C100" s="65" t="s">
        <v>53</v>
      </c>
      <c r="D100" s="66">
        <v>333200</v>
      </c>
      <c r="E100" s="66">
        <v>20000</v>
      </c>
      <c r="F100" s="66">
        <v>20000</v>
      </c>
      <c r="G100" s="66">
        <v>33200</v>
      </c>
      <c r="H100" s="66">
        <v>0</v>
      </c>
      <c r="I100" s="66">
        <v>80000</v>
      </c>
      <c r="J100" s="66">
        <v>0</v>
      </c>
      <c r="K100" s="66">
        <v>0</v>
      </c>
      <c r="L100" s="66">
        <v>0</v>
      </c>
      <c r="M100" s="66">
        <v>90000</v>
      </c>
      <c r="N100" s="66">
        <v>0</v>
      </c>
      <c r="O100" s="67">
        <v>90000</v>
      </c>
      <c r="P100" s="77">
        <v>0</v>
      </c>
      <c r="Q100" s="55"/>
      <c r="R100" s="6"/>
      <c r="S100" s="6"/>
    </row>
    <row r="101" spans="1:19" s="14" customFormat="1" ht="12">
      <c r="A101" s="63" t="s">
        <v>155</v>
      </c>
      <c r="B101" s="64" t="s">
        <v>156</v>
      </c>
      <c r="C101" s="65" t="s">
        <v>53</v>
      </c>
      <c r="D101" s="66">
        <v>0</v>
      </c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7"/>
      <c r="P101" s="77"/>
      <c r="Q101" s="55"/>
      <c r="R101" s="6"/>
      <c r="S101" s="6"/>
    </row>
    <row r="102" spans="1:19" s="14" customFormat="1" ht="24">
      <c r="A102" s="63" t="s">
        <v>157</v>
      </c>
      <c r="B102" s="64" t="s">
        <v>158</v>
      </c>
      <c r="C102" s="65" t="s">
        <v>53</v>
      </c>
      <c r="D102" s="66">
        <v>601000</v>
      </c>
      <c r="E102" s="66">
        <v>100000</v>
      </c>
      <c r="F102" s="66">
        <v>100000</v>
      </c>
      <c r="G102" s="66">
        <v>100000</v>
      </c>
      <c r="H102" s="66">
        <v>16000</v>
      </c>
      <c r="I102" s="66">
        <v>70000</v>
      </c>
      <c r="J102" s="66">
        <v>15000</v>
      </c>
      <c r="K102" s="66">
        <v>15000</v>
      </c>
      <c r="L102" s="66">
        <v>15000</v>
      </c>
      <c r="M102" s="66">
        <v>70000</v>
      </c>
      <c r="N102" s="66">
        <v>15000</v>
      </c>
      <c r="O102" s="67">
        <v>70000</v>
      </c>
      <c r="P102" s="77">
        <v>15000</v>
      </c>
      <c r="Q102" s="55"/>
      <c r="R102" s="6"/>
      <c r="S102" s="6"/>
    </row>
    <row r="103" spans="1:19" s="14" customFormat="1" ht="24">
      <c r="A103" s="63" t="s">
        <v>165</v>
      </c>
      <c r="B103" s="64" t="s">
        <v>166</v>
      </c>
      <c r="C103" s="86"/>
      <c r="D103" s="66">
        <v>550000</v>
      </c>
      <c r="E103" s="66">
        <v>20000</v>
      </c>
      <c r="F103" s="66">
        <v>30000</v>
      </c>
      <c r="G103" s="66">
        <v>30000</v>
      </c>
      <c r="H103" s="66">
        <v>50000</v>
      </c>
      <c r="I103" s="66">
        <v>50000</v>
      </c>
      <c r="J103" s="66">
        <v>50000</v>
      </c>
      <c r="K103" s="66">
        <v>50000</v>
      </c>
      <c r="L103" s="66">
        <v>60000</v>
      </c>
      <c r="M103" s="66">
        <v>65000</v>
      </c>
      <c r="N103" s="66">
        <v>65000</v>
      </c>
      <c r="O103" s="67">
        <v>50000</v>
      </c>
      <c r="P103" s="77">
        <v>30000</v>
      </c>
      <c r="Q103" s="55"/>
      <c r="R103" s="6"/>
      <c r="S103" s="6"/>
    </row>
    <row r="104" spans="1:19" s="14" customFormat="1" ht="12">
      <c r="A104" s="63" t="s">
        <v>167</v>
      </c>
      <c r="B104" s="64" t="s">
        <v>168</v>
      </c>
      <c r="C104" s="86"/>
      <c r="D104" s="66">
        <v>520000</v>
      </c>
      <c r="E104" s="66">
        <v>50000</v>
      </c>
      <c r="F104" s="66">
        <v>50000</v>
      </c>
      <c r="G104" s="66">
        <v>70000</v>
      </c>
      <c r="H104" s="66">
        <v>30000</v>
      </c>
      <c r="I104" s="66">
        <v>35000</v>
      </c>
      <c r="J104" s="66">
        <v>35000</v>
      </c>
      <c r="K104" s="66">
        <v>50000</v>
      </c>
      <c r="L104" s="66">
        <v>40000</v>
      </c>
      <c r="M104" s="66">
        <v>40000</v>
      </c>
      <c r="N104" s="66">
        <v>40000</v>
      </c>
      <c r="O104" s="67">
        <v>40000</v>
      </c>
      <c r="P104" s="77">
        <v>40000</v>
      </c>
      <c r="Q104" s="55"/>
      <c r="R104" s="6"/>
      <c r="S104" s="6"/>
    </row>
    <row r="105" spans="1:19" s="14" customFormat="1" ht="24">
      <c r="A105" s="63" t="s">
        <v>161</v>
      </c>
      <c r="B105" s="64" t="s">
        <v>162</v>
      </c>
      <c r="C105" s="65"/>
      <c r="D105" s="66">
        <v>2350000</v>
      </c>
      <c r="E105" s="66">
        <v>300000</v>
      </c>
      <c r="F105" s="66">
        <v>300000</v>
      </c>
      <c r="G105" s="66">
        <v>400000</v>
      </c>
      <c r="H105" s="66">
        <v>80000</v>
      </c>
      <c r="I105" s="66">
        <v>90000</v>
      </c>
      <c r="J105" s="66">
        <v>90000</v>
      </c>
      <c r="K105" s="66">
        <v>120000</v>
      </c>
      <c r="L105" s="66">
        <v>140000</v>
      </c>
      <c r="M105" s="66">
        <v>200000</v>
      </c>
      <c r="N105" s="66">
        <v>200000</v>
      </c>
      <c r="O105" s="67">
        <v>200000</v>
      </c>
      <c r="P105" s="77">
        <v>230000</v>
      </c>
      <c r="Q105" s="55"/>
      <c r="R105" s="6"/>
      <c r="S105" s="6"/>
    </row>
    <row r="106" spans="1:19" s="14" customFormat="1" ht="24">
      <c r="A106" s="63" t="s">
        <v>169</v>
      </c>
      <c r="B106" s="64" t="s">
        <v>170</v>
      </c>
      <c r="C106" s="65"/>
      <c r="D106" s="66">
        <v>120000</v>
      </c>
      <c r="E106" s="66">
        <v>30000</v>
      </c>
      <c r="F106" s="66">
        <v>30000</v>
      </c>
      <c r="G106" s="66">
        <v>30000</v>
      </c>
      <c r="H106" s="66">
        <v>5000</v>
      </c>
      <c r="I106" s="66">
        <v>5000</v>
      </c>
      <c r="J106" s="66">
        <v>2000</v>
      </c>
      <c r="K106" s="66">
        <v>1000</v>
      </c>
      <c r="L106" s="66">
        <v>1000</v>
      </c>
      <c r="M106" s="66">
        <v>2000</v>
      </c>
      <c r="N106" s="66">
        <v>4000</v>
      </c>
      <c r="O106" s="67">
        <v>4000</v>
      </c>
      <c r="P106" s="77">
        <v>6000</v>
      </c>
      <c r="Q106" s="55"/>
      <c r="R106" s="6"/>
      <c r="S106" s="6"/>
    </row>
    <row r="107" spans="1:19" s="14" customFormat="1" ht="60">
      <c r="A107" s="84" t="s">
        <v>171</v>
      </c>
      <c r="B107" s="85" t="s">
        <v>172</v>
      </c>
      <c r="C107" s="86"/>
      <c r="D107" s="87">
        <v>253517</v>
      </c>
      <c r="E107" s="66">
        <v>21126</v>
      </c>
      <c r="F107" s="66">
        <v>21126</v>
      </c>
      <c r="G107" s="66">
        <v>21126</v>
      </c>
      <c r="H107" s="66">
        <v>21126</v>
      </c>
      <c r="I107" s="66">
        <v>21126</v>
      </c>
      <c r="J107" s="66">
        <v>21126</v>
      </c>
      <c r="K107" s="66">
        <v>21126</v>
      </c>
      <c r="L107" s="66">
        <v>21126</v>
      </c>
      <c r="M107" s="66">
        <v>21126</v>
      </c>
      <c r="N107" s="66">
        <v>21126</v>
      </c>
      <c r="O107" s="67">
        <v>21126</v>
      </c>
      <c r="P107" s="77">
        <v>21131</v>
      </c>
      <c r="Q107" s="55"/>
      <c r="R107" s="6"/>
      <c r="S107" s="6"/>
    </row>
    <row r="108" spans="1:19" s="56" customFormat="1" ht="60">
      <c r="A108" s="69" t="s">
        <v>173</v>
      </c>
      <c r="B108" s="70" t="s">
        <v>174</v>
      </c>
      <c r="C108" s="123"/>
      <c r="D108" s="72">
        <f>SUM(D109:D112)</f>
        <v>4053500</v>
      </c>
      <c r="E108" s="72">
        <f aca="true" t="shared" si="29" ref="E108:P108">SUM(E109:E112)</f>
        <v>833650</v>
      </c>
      <c r="F108" s="72">
        <f t="shared" si="29"/>
        <v>240750</v>
      </c>
      <c r="G108" s="72">
        <f t="shared" si="29"/>
        <v>240750</v>
      </c>
      <c r="H108" s="72">
        <f t="shared" si="29"/>
        <v>240750</v>
      </c>
      <c r="I108" s="72">
        <f t="shared" si="29"/>
        <v>526350</v>
      </c>
      <c r="J108" s="72">
        <f t="shared" si="29"/>
        <v>240750</v>
      </c>
      <c r="K108" s="72">
        <f t="shared" si="29"/>
        <v>240750</v>
      </c>
      <c r="L108" s="72">
        <f t="shared" si="29"/>
        <v>240750</v>
      </c>
      <c r="M108" s="72">
        <f t="shared" si="29"/>
        <v>526350</v>
      </c>
      <c r="N108" s="72">
        <f t="shared" si="29"/>
        <v>240750</v>
      </c>
      <c r="O108" s="73">
        <f t="shared" si="29"/>
        <v>240750</v>
      </c>
      <c r="P108" s="74">
        <f t="shared" si="29"/>
        <v>241150</v>
      </c>
      <c r="Q108" s="55">
        <f aca="true" t="shared" si="30" ref="Q108:Q131">SUM(H108:P108)</f>
        <v>2738350</v>
      </c>
      <c r="R108" s="6"/>
      <c r="S108" s="6"/>
    </row>
    <row r="109" spans="1:19" s="14" customFormat="1" ht="12">
      <c r="A109" s="80" t="s">
        <v>175</v>
      </c>
      <c r="B109" s="81" t="s">
        <v>176</v>
      </c>
      <c r="C109" s="82" t="s">
        <v>53</v>
      </c>
      <c r="D109" s="76">
        <v>2685000</v>
      </c>
      <c r="E109" s="76">
        <v>223750</v>
      </c>
      <c r="F109" s="76">
        <v>223750</v>
      </c>
      <c r="G109" s="76">
        <v>223750</v>
      </c>
      <c r="H109" s="76">
        <v>223750</v>
      </c>
      <c r="I109" s="76">
        <v>223750</v>
      </c>
      <c r="J109" s="76">
        <v>223750</v>
      </c>
      <c r="K109" s="76">
        <v>223750</v>
      </c>
      <c r="L109" s="76">
        <v>223750</v>
      </c>
      <c r="M109" s="76">
        <v>223750</v>
      </c>
      <c r="N109" s="76">
        <v>223750</v>
      </c>
      <c r="O109" s="83">
        <v>223750</v>
      </c>
      <c r="P109" s="68">
        <v>223750</v>
      </c>
      <c r="Q109" s="55">
        <f t="shared" si="30"/>
        <v>2013750</v>
      </c>
      <c r="R109" s="6"/>
      <c r="S109" s="6"/>
    </row>
    <row r="110" spans="1:19" s="14" customFormat="1" ht="36" hidden="1">
      <c r="A110" s="63" t="s">
        <v>177</v>
      </c>
      <c r="B110" s="64" t="s">
        <v>178</v>
      </c>
      <c r="C110" s="65"/>
      <c r="D110" s="66">
        <v>0</v>
      </c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7"/>
      <c r="P110" s="77"/>
      <c r="Q110" s="55"/>
      <c r="R110" s="6"/>
      <c r="S110" s="6"/>
    </row>
    <row r="111" spans="1:19" s="14" customFormat="1" ht="36">
      <c r="A111" s="63" t="s">
        <v>179</v>
      </c>
      <c r="B111" s="64" t="s">
        <v>180</v>
      </c>
      <c r="C111" s="65" t="s">
        <v>120</v>
      </c>
      <c r="D111" s="66">
        <v>1330000</v>
      </c>
      <c r="E111" s="66">
        <v>600000</v>
      </c>
      <c r="F111" s="66">
        <v>14400</v>
      </c>
      <c r="G111" s="66">
        <v>14400</v>
      </c>
      <c r="H111" s="66">
        <v>14400</v>
      </c>
      <c r="I111" s="66">
        <v>300000</v>
      </c>
      <c r="J111" s="66">
        <v>14400</v>
      </c>
      <c r="K111" s="66">
        <v>14400</v>
      </c>
      <c r="L111" s="66">
        <v>14400</v>
      </c>
      <c r="M111" s="66">
        <v>300000</v>
      </c>
      <c r="N111" s="66">
        <v>14400</v>
      </c>
      <c r="O111" s="67">
        <v>14400</v>
      </c>
      <c r="P111" s="77">
        <v>14800</v>
      </c>
      <c r="Q111" s="55">
        <f t="shared" si="30"/>
        <v>701200</v>
      </c>
      <c r="R111" s="6"/>
      <c r="S111" s="6"/>
    </row>
    <row r="112" spans="1:19" s="14" customFormat="1" ht="71.25">
      <c r="A112" s="63" t="s">
        <v>159</v>
      </c>
      <c r="B112" s="64" t="s">
        <v>181</v>
      </c>
      <c r="C112" s="65" t="s">
        <v>100</v>
      </c>
      <c r="D112" s="66">
        <v>38500</v>
      </c>
      <c r="E112" s="66">
        <f>2500+7400</f>
        <v>9900</v>
      </c>
      <c r="F112" s="66">
        <v>2600</v>
      </c>
      <c r="G112" s="66">
        <v>2600</v>
      </c>
      <c r="H112" s="66">
        <v>2600</v>
      </c>
      <c r="I112" s="66">
        <v>2600</v>
      </c>
      <c r="J112" s="66">
        <v>2600</v>
      </c>
      <c r="K112" s="66">
        <v>2600</v>
      </c>
      <c r="L112" s="66">
        <v>2600</v>
      </c>
      <c r="M112" s="66">
        <v>2600</v>
      </c>
      <c r="N112" s="66">
        <v>2600</v>
      </c>
      <c r="O112" s="67">
        <v>2600</v>
      </c>
      <c r="P112" s="77">
        <v>2600</v>
      </c>
      <c r="Q112" s="55">
        <f t="shared" si="30"/>
        <v>23400</v>
      </c>
      <c r="R112" s="6"/>
      <c r="S112" s="6"/>
    </row>
    <row r="113" spans="1:19" s="14" customFormat="1" ht="24" hidden="1">
      <c r="A113" s="124" t="s">
        <v>182</v>
      </c>
      <c r="B113" s="78" t="s">
        <v>183</v>
      </c>
      <c r="C113" s="162"/>
      <c r="D113" s="72">
        <v>0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3">
        <v>0</v>
      </c>
      <c r="P113" s="74">
        <v>0</v>
      </c>
      <c r="Q113" s="55"/>
      <c r="R113" s="6"/>
      <c r="S113" s="6"/>
    </row>
    <row r="114" spans="1:19" s="14" customFormat="1" ht="24" hidden="1">
      <c r="A114" s="126" t="s">
        <v>184</v>
      </c>
      <c r="B114" s="101" t="s">
        <v>185</v>
      </c>
      <c r="C114" s="158"/>
      <c r="D114" s="66">
        <v>0</v>
      </c>
      <c r="E114" s="66"/>
      <c r="F114" s="66"/>
      <c r="G114" s="66"/>
      <c r="H114" s="76"/>
      <c r="I114" s="76"/>
      <c r="J114" s="76"/>
      <c r="K114" s="76"/>
      <c r="L114" s="76"/>
      <c r="M114" s="76"/>
      <c r="N114" s="76"/>
      <c r="O114" s="83"/>
      <c r="P114" s="68"/>
      <c r="Q114" s="55"/>
      <c r="R114" s="6"/>
      <c r="S114" s="6"/>
    </row>
    <row r="115" spans="1:19" s="14" customFormat="1" ht="36" hidden="1">
      <c r="A115" s="163" t="s">
        <v>186</v>
      </c>
      <c r="B115" s="164" t="s">
        <v>187</v>
      </c>
      <c r="C115" s="160"/>
      <c r="D115" s="66">
        <v>0</v>
      </c>
      <c r="E115" s="66"/>
      <c r="F115" s="66"/>
      <c r="G115" s="66"/>
      <c r="H115" s="87"/>
      <c r="I115" s="87"/>
      <c r="J115" s="87"/>
      <c r="K115" s="87"/>
      <c r="L115" s="87"/>
      <c r="M115" s="87"/>
      <c r="N115" s="87"/>
      <c r="O115" s="88"/>
      <c r="P115" s="89"/>
      <c r="Q115" s="55"/>
      <c r="R115" s="6"/>
      <c r="S115" s="6"/>
    </row>
    <row r="116" spans="1:19" s="14" customFormat="1" ht="36.75" customHeight="1">
      <c r="A116" s="69" t="s">
        <v>188</v>
      </c>
      <c r="B116" s="70" t="s">
        <v>189</v>
      </c>
      <c r="C116" s="123" t="s">
        <v>68</v>
      </c>
      <c r="D116" s="72">
        <f>SUM(D117:D118)</f>
        <v>52214207</v>
      </c>
      <c r="E116" s="72">
        <f aca="true" t="shared" si="31" ref="E116:P116">SUM(E117:E118)</f>
        <v>4351183</v>
      </c>
      <c r="F116" s="72">
        <f t="shared" si="31"/>
        <v>4351183</v>
      </c>
      <c r="G116" s="72">
        <f t="shared" si="31"/>
        <v>4351183</v>
      </c>
      <c r="H116" s="72">
        <f t="shared" si="31"/>
        <v>4351183</v>
      </c>
      <c r="I116" s="72">
        <f t="shared" si="31"/>
        <v>4351183</v>
      </c>
      <c r="J116" s="72">
        <f t="shared" si="31"/>
        <v>4351183</v>
      </c>
      <c r="K116" s="72">
        <f t="shared" si="31"/>
        <v>4351183</v>
      </c>
      <c r="L116" s="72">
        <f t="shared" si="31"/>
        <v>4351183</v>
      </c>
      <c r="M116" s="72">
        <f t="shared" si="31"/>
        <v>4351183</v>
      </c>
      <c r="N116" s="72">
        <f t="shared" si="31"/>
        <v>4351183</v>
      </c>
      <c r="O116" s="73">
        <f t="shared" si="31"/>
        <v>4351183</v>
      </c>
      <c r="P116" s="74">
        <f t="shared" si="31"/>
        <v>4351194</v>
      </c>
      <c r="Q116" s="55">
        <f t="shared" si="30"/>
        <v>39160658</v>
      </c>
      <c r="R116" s="6"/>
      <c r="S116" s="6"/>
    </row>
    <row r="117" spans="1:19" s="14" customFormat="1" ht="24">
      <c r="A117" s="80" t="s">
        <v>190</v>
      </c>
      <c r="B117" s="81" t="s">
        <v>191</v>
      </c>
      <c r="C117" s="82"/>
      <c r="D117" s="76">
        <v>49984207</v>
      </c>
      <c r="E117" s="76">
        <v>4165350</v>
      </c>
      <c r="F117" s="76">
        <v>4165350</v>
      </c>
      <c r="G117" s="76">
        <v>4165350</v>
      </c>
      <c r="H117" s="76">
        <v>4165350</v>
      </c>
      <c r="I117" s="76">
        <v>4165350</v>
      </c>
      <c r="J117" s="76">
        <v>4165350</v>
      </c>
      <c r="K117" s="76">
        <v>4165350</v>
      </c>
      <c r="L117" s="76">
        <v>4165350</v>
      </c>
      <c r="M117" s="76">
        <v>4165350</v>
      </c>
      <c r="N117" s="76">
        <v>4165350</v>
      </c>
      <c r="O117" s="83">
        <v>4165350</v>
      </c>
      <c r="P117" s="68">
        <v>4165357</v>
      </c>
      <c r="Q117" s="55">
        <f t="shared" si="30"/>
        <v>37488157</v>
      </c>
      <c r="R117" s="6"/>
      <c r="S117" s="6"/>
    </row>
    <row r="118" spans="1:19" s="14" customFormat="1" ht="24">
      <c r="A118" s="84" t="s">
        <v>192</v>
      </c>
      <c r="B118" s="85" t="s">
        <v>193</v>
      </c>
      <c r="C118" s="86"/>
      <c r="D118" s="87">
        <v>2230000</v>
      </c>
      <c r="E118" s="87">
        <v>185833</v>
      </c>
      <c r="F118" s="87">
        <v>185833</v>
      </c>
      <c r="G118" s="87">
        <v>185833</v>
      </c>
      <c r="H118" s="87">
        <v>185833</v>
      </c>
      <c r="I118" s="87">
        <v>185833</v>
      </c>
      <c r="J118" s="87">
        <v>185833</v>
      </c>
      <c r="K118" s="87">
        <v>185833</v>
      </c>
      <c r="L118" s="87">
        <v>185833</v>
      </c>
      <c r="M118" s="87">
        <v>185833</v>
      </c>
      <c r="N118" s="87">
        <v>185833</v>
      </c>
      <c r="O118" s="88">
        <v>185833</v>
      </c>
      <c r="P118" s="89">
        <v>185837</v>
      </c>
      <c r="Q118" s="55">
        <f t="shared" si="30"/>
        <v>1672501</v>
      </c>
      <c r="R118" s="6"/>
      <c r="S118" s="6"/>
    </row>
    <row r="119" spans="1:19" s="56" customFormat="1" ht="36.75" customHeight="1">
      <c r="A119" s="69" t="s">
        <v>194</v>
      </c>
      <c r="B119" s="70" t="s">
        <v>195</v>
      </c>
      <c r="C119" s="118" t="s">
        <v>68</v>
      </c>
      <c r="D119" s="72">
        <f>SUM(D120:D121)</f>
        <v>14857479</v>
      </c>
      <c r="E119" s="72">
        <f aca="true" t="shared" si="32" ref="E119:P119">SUM(E120:E121)</f>
        <v>1238122</v>
      </c>
      <c r="F119" s="72">
        <f t="shared" si="32"/>
        <v>1238122</v>
      </c>
      <c r="G119" s="72">
        <f t="shared" si="32"/>
        <v>1238122</v>
      </c>
      <c r="H119" s="72">
        <f t="shared" si="32"/>
        <v>1238122</v>
      </c>
      <c r="I119" s="72">
        <f t="shared" si="32"/>
        <v>1238122</v>
      </c>
      <c r="J119" s="72">
        <f t="shared" si="32"/>
        <v>1238122</v>
      </c>
      <c r="K119" s="72">
        <f t="shared" si="32"/>
        <v>1238122</v>
      </c>
      <c r="L119" s="72">
        <f t="shared" si="32"/>
        <v>1238122</v>
      </c>
      <c r="M119" s="72">
        <f t="shared" si="32"/>
        <v>1238122</v>
      </c>
      <c r="N119" s="72">
        <f t="shared" si="32"/>
        <v>1238122</v>
      </c>
      <c r="O119" s="73">
        <f t="shared" si="32"/>
        <v>1238122</v>
      </c>
      <c r="P119" s="74">
        <f t="shared" si="32"/>
        <v>1238137</v>
      </c>
      <c r="Q119" s="55">
        <f t="shared" si="30"/>
        <v>11143113</v>
      </c>
      <c r="R119" s="6"/>
      <c r="S119" s="6"/>
    </row>
    <row r="120" spans="1:19" s="14" customFormat="1" ht="24">
      <c r="A120" s="80" t="s">
        <v>190</v>
      </c>
      <c r="B120" s="81" t="s">
        <v>191</v>
      </c>
      <c r="C120" s="82"/>
      <c r="D120" s="76">
        <v>14387479</v>
      </c>
      <c r="E120" s="76">
        <v>1198956</v>
      </c>
      <c r="F120" s="76">
        <v>1198956</v>
      </c>
      <c r="G120" s="76">
        <v>1198956</v>
      </c>
      <c r="H120" s="76">
        <v>1198956</v>
      </c>
      <c r="I120" s="76">
        <v>1198956</v>
      </c>
      <c r="J120" s="76">
        <v>1198956</v>
      </c>
      <c r="K120" s="76">
        <v>1198956</v>
      </c>
      <c r="L120" s="76">
        <v>1198956</v>
      </c>
      <c r="M120" s="76">
        <v>1198956</v>
      </c>
      <c r="N120" s="76">
        <v>1198956</v>
      </c>
      <c r="O120" s="83">
        <v>1198956</v>
      </c>
      <c r="P120" s="68">
        <v>1198963</v>
      </c>
      <c r="Q120" s="55">
        <f t="shared" si="30"/>
        <v>10790611</v>
      </c>
      <c r="R120" s="6"/>
      <c r="S120" s="6"/>
    </row>
    <row r="121" spans="1:19" s="14" customFormat="1" ht="24">
      <c r="A121" s="84" t="s">
        <v>192</v>
      </c>
      <c r="B121" s="64" t="s">
        <v>193</v>
      </c>
      <c r="C121" s="65"/>
      <c r="D121" s="66">
        <v>470000</v>
      </c>
      <c r="E121" s="66">
        <v>39166</v>
      </c>
      <c r="F121" s="66">
        <v>39166</v>
      </c>
      <c r="G121" s="66">
        <v>39166</v>
      </c>
      <c r="H121" s="66">
        <v>39166</v>
      </c>
      <c r="I121" s="66">
        <v>39166</v>
      </c>
      <c r="J121" s="66">
        <v>39166</v>
      </c>
      <c r="K121" s="66">
        <v>39166</v>
      </c>
      <c r="L121" s="66">
        <v>39166</v>
      </c>
      <c r="M121" s="66">
        <v>39166</v>
      </c>
      <c r="N121" s="66">
        <v>39166</v>
      </c>
      <c r="O121" s="67">
        <v>39166</v>
      </c>
      <c r="P121" s="77">
        <v>39174</v>
      </c>
      <c r="Q121" s="55"/>
      <c r="R121" s="6"/>
      <c r="S121" s="6"/>
    </row>
    <row r="122" spans="1:19" s="14" customFormat="1" ht="12">
      <c r="A122" s="124" t="s">
        <v>196</v>
      </c>
      <c r="B122" s="78" t="s">
        <v>197</v>
      </c>
      <c r="C122" s="115"/>
      <c r="D122" s="72">
        <v>0</v>
      </c>
      <c r="E122" s="72"/>
      <c r="F122" s="72"/>
      <c r="G122" s="72"/>
      <c r="H122" s="116"/>
      <c r="I122" s="116"/>
      <c r="J122" s="116"/>
      <c r="K122" s="116"/>
      <c r="L122" s="116"/>
      <c r="M122" s="116"/>
      <c r="N122" s="116"/>
      <c r="O122" s="119"/>
      <c r="P122" s="120"/>
      <c r="Q122" s="55"/>
      <c r="R122" s="6"/>
      <c r="S122" s="6"/>
    </row>
    <row r="123" spans="1:19" s="14" customFormat="1" ht="36.75" thickBot="1">
      <c r="A123" s="126" t="s">
        <v>198</v>
      </c>
      <c r="B123" s="165" t="s">
        <v>199</v>
      </c>
      <c r="C123" s="108"/>
      <c r="D123" s="66">
        <v>0</v>
      </c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7"/>
      <c r="P123" s="77"/>
      <c r="Q123" s="55"/>
      <c r="R123" s="6"/>
      <c r="S123" s="6"/>
    </row>
    <row r="124" spans="1:19" s="14" customFormat="1" ht="19.5" customHeight="1" thickBot="1" thickTop="1">
      <c r="A124" s="49" t="s">
        <v>200</v>
      </c>
      <c r="B124" s="50" t="s">
        <v>201</v>
      </c>
      <c r="C124" s="128"/>
      <c r="D124" s="52">
        <f>D125+D127+D129+D131</f>
        <v>71181167</v>
      </c>
      <c r="E124" s="52">
        <f aca="true" t="shared" si="33" ref="E124:P124">E125+E127+E129+E131</f>
        <v>5485019</v>
      </c>
      <c r="F124" s="52">
        <f t="shared" si="33"/>
        <v>10820644</v>
      </c>
      <c r="G124" s="52">
        <f t="shared" si="33"/>
        <v>5486019</v>
      </c>
      <c r="H124" s="52">
        <f t="shared" si="33"/>
        <v>5484719</v>
      </c>
      <c r="I124" s="52">
        <f t="shared" si="33"/>
        <v>5484719</v>
      </c>
      <c r="J124" s="52">
        <f t="shared" si="33"/>
        <v>5485619</v>
      </c>
      <c r="K124" s="52">
        <f t="shared" si="33"/>
        <v>5484619</v>
      </c>
      <c r="L124" s="52">
        <f t="shared" si="33"/>
        <v>5484619</v>
      </c>
      <c r="M124" s="52">
        <f t="shared" si="33"/>
        <v>5485619</v>
      </c>
      <c r="N124" s="52">
        <f t="shared" si="33"/>
        <v>5484619</v>
      </c>
      <c r="O124" s="53">
        <f t="shared" si="33"/>
        <v>5494719</v>
      </c>
      <c r="P124" s="54">
        <f t="shared" si="33"/>
        <v>5500233</v>
      </c>
      <c r="Q124" s="55">
        <f t="shared" si="30"/>
        <v>49389485</v>
      </c>
      <c r="R124" s="6"/>
      <c r="S124" s="6"/>
    </row>
    <row r="125" spans="1:19" s="14" customFormat="1" ht="24" customHeight="1" thickTop="1">
      <c r="A125" s="96" t="s">
        <v>202</v>
      </c>
      <c r="B125" s="97" t="s">
        <v>203</v>
      </c>
      <c r="C125" s="86" t="s">
        <v>68</v>
      </c>
      <c r="D125" s="110">
        <f>D126</f>
        <v>69365665</v>
      </c>
      <c r="E125" s="110">
        <f aca="true" t="shared" si="34" ref="E125:P125">E126</f>
        <v>5335820</v>
      </c>
      <c r="F125" s="110">
        <f t="shared" si="34"/>
        <v>10671645</v>
      </c>
      <c r="G125" s="110">
        <f t="shared" si="34"/>
        <v>5335820</v>
      </c>
      <c r="H125" s="110">
        <f t="shared" si="34"/>
        <v>5335820</v>
      </c>
      <c r="I125" s="110">
        <f t="shared" si="34"/>
        <v>5335820</v>
      </c>
      <c r="J125" s="110">
        <f t="shared" si="34"/>
        <v>5335820</v>
      </c>
      <c r="K125" s="110">
        <f t="shared" si="34"/>
        <v>5335820</v>
      </c>
      <c r="L125" s="110">
        <f t="shared" si="34"/>
        <v>5335820</v>
      </c>
      <c r="M125" s="110">
        <f t="shared" si="34"/>
        <v>5335820</v>
      </c>
      <c r="N125" s="110">
        <f t="shared" si="34"/>
        <v>5335820</v>
      </c>
      <c r="O125" s="111">
        <f t="shared" si="34"/>
        <v>5335820</v>
      </c>
      <c r="P125" s="112">
        <f t="shared" si="34"/>
        <v>5335820</v>
      </c>
      <c r="Q125" s="55">
        <f t="shared" si="30"/>
        <v>48022380</v>
      </c>
      <c r="R125" s="6"/>
      <c r="S125" s="6"/>
    </row>
    <row r="126" spans="1:19" s="14" customFormat="1" ht="24">
      <c r="A126" s="135" t="s">
        <v>204</v>
      </c>
      <c r="B126" s="136" t="s">
        <v>205</v>
      </c>
      <c r="C126" s="123"/>
      <c r="D126" s="116">
        <v>69365665</v>
      </c>
      <c r="E126" s="116">
        <v>5335820</v>
      </c>
      <c r="F126" s="116">
        <f>5335820+5335825</f>
        <v>10671645</v>
      </c>
      <c r="G126" s="116">
        <v>5335820</v>
      </c>
      <c r="H126" s="116">
        <v>5335820</v>
      </c>
      <c r="I126" s="116">
        <v>5335820</v>
      </c>
      <c r="J126" s="116">
        <v>5335820</v>
      </c>
      <c r="K126" s="116">
        <v>5335820</v>
      </c>
      <c r="L126" s="116">
        <v>5335820</v>
      </c>
      <c r="M126" s="116">
        <v>5335820</v>
      </c>
      <c r="N126" s="116">
        <v>5335820</v>
      </c>
      <c r="O126" s="119">
        <v>5335820</v>
      </c>
      <c r="P126" s="120">
        <v>5335820</v>
      </c>
      <c r="Q126" s="55">
        <f t="shared" si="30"/>
        <v>48022380</v>
      </c>
      <c r="R126" s="6"/>
      <c r="S126" s="6"/>
    </row>
    <row r="127" spans="1:19" s="56" customFormat="1" ht="21.75" customHeight="1">
      <c r="A127" s="69" t="s">
        <v>206</v>
      </c>
      <c r="B127" s="70" t="s">
        <v>207</v>
      </c>
      <c r="C127" s="118"/>
      <c r="D127" s="98">
        <f>D128</f>
        <v>445181</v>
      </c>
      <c r="E127" s="98">
        <f aca="true" t="shared" si="35" ref="E127:P127">E128</f>
        <v>37098</v>
      </c>
      <c r="F127" s="98">
        <f t="shared" si="35"/>
        <v>37098</v>
      </c>
      <c r="G127" s="98">
        <f t="shared" si="35"/>
        <v>37098</v>
      </c>
      <c r="H127" s="98">
        <f t="shared" si="35"/>
        <v>37098</v>
      </c>
      <c r="I127" s="98">
        <f t="shared" si="35"/>
        <v>37098</v>
      </c>
      <c r="J127" s="98">
        <f t="shared" si="35"/>
        <v>37098</v>
      </c>
      <c r="K127" s="98">
        <f t="shared" si="35"/>
        <v>37098</v>
      </c>
      <c r="L127" s="98">
        <f t="shared" si="35"/>
        <v>37098</v>
      </c>
      <c r="M127" s="98">
        <f t="shared" si="35"/>
        <v>37098</v>
      </c>
      <c r="N127" s="98">
        <f t="shared" si="35"/>
        <v>37098</v>
      </c>
      <c r="O127" s="99">
        <f t="shared" si="35"/>
        <v>37098</v>
      </c>
      <c r="P127" s="100">
        <f t="shared" si="35"/>
        <v>37103</v>
      </c>
      <c r="Q127" s="55"/>
      <c r="R127" s="6"/>
      <c r="S127" s="6"/>
    </row>
    <row r="128" spans="1:19" s="14" customFormat="1" ht="24">
      <c r="A128" s="135" t="s">
        <v>204</v>
      </c>
      <c r="B128" s="136" t="s">
        <v>205</v>
      </c>
      <c r="C128" s="123"/>
      <c r="D128" s="87">
        <v>445181</v>
      </c>
      <c r="E128" s="87">
        <v>37098</v>
      </c>
      <c r="F128" s="87">
        <v>37098</v>
      </c>
      <c r="G128" s="87">
        <v>37098</v>
      </c>
      <c r="H128" s="87">
        <v>37098</v>
      </c>
      <c r="I128" s="87">
        <v>37098</v>
      </c>
      <c r="J128" s="87">
        <v>37098</v>
      </c>
      <c r="K128" s="87">
        <v>37098</v>
      </c>
      <c r="L128" s="87">
        <v>37098</v>
      </c>
      <c r="M128" s="87">
        <v>37098</v>
      </c>
      <c r="N128" s="87">
        <v>37098</v>
      </c>
      <c r="O128" s="88">
        <v>37098</v>
      </c>
      <c r="P128" s="89">
        <v>37103</v>
      </c>
      <c r="Q128" s="55"/>
      <c r="R128" s="6"/>
      <c r="S128" s="6"/>
    </row>
    <row r="129" spans="1:19" s="56" customFormat="1" ht="36">
      <c r="A129" s="69" t="s">
        <v>208</v>
      </c>
      <c r="B129" s="70" t="s">
        <v>209</v>
      </c>
      <c r="C129" s="118"/>
      <c r="D129" s="98">
        <f>D130</f>
        <v>541221</v>
      </c>
      <c r="E129" s="98">
        <f aca="true" t="shared" si="36" ref="E129:P129">E130</f>
        <v>45101</v>
      </c>
      <c r="F129" s="98">
        <f t="shared" si="36"/>
        <v>45101</v>
      </c>
      <c r="G129" s="98">
        <f t="shared" si="36"/>
        <v>45101</v>
      </c>
      <c r="H129" s="98">
        <f t="shared" si="36"/>
        <v>45101</v>
      </c>
      <c r="I129" s="98">
        <f t="shared" si="36"/>
        <v>45101</v>
      </c>
      <c r="J129" s="98">
        <f t="shared" si="36"/>
        <v>45101</v>
      </c>
      <c r="K129" s="98">
        <f t="shared" si="36"/>
        <v>45101</v>
      </c>
      <c r="L129" s="98">
        <f t="shared" si="36"/>
        <v>45101</v>
      </c>
      <c r="M129" s="98">
        <f t="shared" si="36"/>
        <v>45101</v>
      </c>
      <c r="N129" s="98">
        <f t="shared" si="36"/>
        <v>45101</v>
      </c>
      <c r="O129" s="99">
        <f t="shared" si="36"/>
        <v>45101</v>
      </c>
      <c r="P129" s="100">
        <f t="shared" si="36"/>
        <v>45110</v>
      </c>
      <c r="Q129" s="55"/>
      <c r="R129" s="6"/>
      <c r="S129" s="6"/>
    </row>
    <row r="130" spans="1:19" s="14" customFormat="1" ht="24">
      <c r="A130" s="135" t="s">
        <v>204</v>
      </c>
      <c r="B130" s="136" t="s">
        <v>205</v>
      </c>
      <c r="C130" s="123"/>
      <c r="D130" s="87">
        <v>541221</v>
      </c>
      <c r="E130" s="87">
        <v>45101</v>
      </c>
      <c r="F130" s="87">
        <v>45101</v>
      </c>
      <c r="G130" s="87">
        <v>45101</v>
      </c>
      <c r="H130" s="87">
        <v>45101</v>
      </c>
      <c r="I130" s="87">
        <v>45101</v>
      </c>
      <c r="J130" s="87">
        <v>45101</v>
      </c>
      <c r="K130" s="87">
        <v>45101</v>
      </c>
      <c r="L130" s="87">
        <v>45101</v>
      </c>
      <c r="M130" s="87">
        <v>45101</v>
      </c>
      <c r="N130" s="87">
        <v>45101</v>
      </c>
      <c r="O130" s="88">
        <v>45101</v>
      </c>
      <c r="P130" s="89">
        <v>45110</v>
      </c>
      <c r="Q130" s="55"/>
      <c r="R130" s="6"/>
      <c r="S130" s="6"/>
    </row>
    <row r="131" spans="1:19" s="14" customFormat="1" ht="24">
      <c r="A131" s="69" t="s">
        <v>210</v>
      </c>
      <c r="B131" s="70" t="s">
        <v>211</v>
      </c>
      <c r="C131" s="123"/>
      <c r="D131" s="72">
        <f>SUM(D132:D138)</f>
        <v>829100</v>
      </c>
      <c r="E131" s="72">
        <f aca="true" t="shared" si="37" ref="E131:P131">SUM(E132:E138)</f>
        <v>67000</v>
      </c>
      <c r="F131" s="72">
        <f t="shared" si="37"/>
        <v>66800</v>
      </c>
      <c r="G131" s="72">
        <f t="shared" si="37"/>
        <v>68000</v>
      </c>
      <c r="H131" s="72">
        <f t="shared" si="37"/>
        <v>66700</v>
      </c>
      <c r="I131" s="72">
        <f t="shared" si="37"/>
        <v>66700</v>
      </c>
      <c r="J131" s="72">
        <f t="shared" si="37"/>
        <v>67600</v>
      </c>
      <c r="K131" s="72">
        <f t="shared" si="37"/>
        <v>66600</v>
      </c>
      <c r="L131" s="72">
        <f t="shared" si="37"/>
        <v>66600</v>
      </c>
      <c r="M131" s="72">
        <f t="shared" si="37"/>
        <v>67600</v>
      </c>
      <c r="N131" s="72">
        <f t="shared" si="37"/>
        <v>66600</v>
      </c>
      <c r="O131" s="73">
        <f t="shared" si="37"/>
        <v>76700</v>
      </c>
      <c r="P131" s="74">
        <f t="shared" si="37"/>
        <v>82200</v>
      </c>
      <c r="Q131" s="55">
        <f t="shared" si="30"/>
        <v>627300</v>
      </c>
      <c r="R131" s="6"/>
      <c r="S131" s="6"/>
    </row>
    <row r="132" spans="1:19" s="14" customFormat="1" ht="48" hidden="1">
      <c r="A132" s="126" t="s">
        <v>146</v>
      </c>
      <c r="B132" s="131" t="s">
        <v>212</v>
      </c>
      <c r="C132" s="158"/>
      <c r="D132" s="76">
        <v>0</v>
      </c>
      <c r="E132" s="66"/>
      <c r="F132" s="66"/>
      <c r="G132" s="66"/>
      <c r="H132" s="166"/>
      <c r="I132" s="167"/>
      <c r="J132" s="141"/>
      <c r="K132" s="141"/>
      <c r="L132" s="141"/>
      <c r="M132" s="141"/>
      <c r="N132" s="141"/>
      <c r="O132" s="168"/>
      <c r="P132" s="169"/>
      <c r="Q132" s="55"/>
      <c r="R132" s="6"/>
      <c r="S132" s="6"/>
    </row>
    <row r="133" spans="1:19" s="14" customFormat="1" ht="24" hidden="1">
      <c r="A133" s="126" t="s">
        <v>165</v>
      </c>
      <c r="B133" s="101" t="s">
        <v>166</v>
      </c>
      <c r="C133" s="158"/>
      <c r="D133" s="66">
        <v>0</v>
      </c>
      <c r="E133" s="66"/>
      <c r="F133" s="66"/>
      <c r="G133" s="66"/>
      <c r="H133" s="170"/>
      <c r="I133" s="171"/>
      <c r="J133" s="109"/>
      <c r="K133" s="109"/>
      <c r="L133" s="109"/>
      <c r="M133" s="109"/>
      <c r="N133" s="109"/>
      <c r="O133" s="133"/>
      <c r="P133" s="134"/>
      <c r="Q133" s="55"/>
      <c r="R133" s="6"/>
      <c r="S133" s="6"/>
    </row>
    <row r="134" spans="1:19" s="14" customFormat="1" ht="12" hidden="1">
      <c r="A134" s="126" t="s">
        <v>175</v>
      </c>
      <c r="B134" s="101" t="s">
        <v>176</v>
      </c>
      <c r="C134" s="158"/>
      <c r="D134" s="66">
        <v>0</v>
      </c>
      <c r="E134" s="66"/>
      <c r="F134" s="66"/>
      <c r="G134" s="66"/>
      <c r="H134" s="170"/>
      <c r="I134" s="171"/>
      <c r="J134" s="109"/>
      <c r="K134" s="109"/>
      <c r="L134" s="109"/>
      <c r="M134" s="109"/>
      <c r="N134" s="109"/>
      <c r="O134" s="133"/>
      <c r="P134" s="134"/>
      <c r="Q134" s="55"/>
      <c r="R134" s="6"/>
      <c r="S134" s="6"/>
    </row>
    <row r="135" spans="1:19" s="14" customFormat="1" ht="24" hidden="1">
      <c r="A135" s="126" t="s">
        <v>161</v>
      </c>
      <c r="B135" s="101" t="s">
        <v>213</v>
      </c>
      <c r="C135" s="158"/>
      <c r="D135" s="66">
        <v>0</v>
      </c>
      <c r="E135" s="66"/>
      <c r="F135" s="66"/>
      <c r="G135" s="66"/>
      <c r="H135" s="170"/>
      <c r="I135" s="171"/>
      <c r="J135" s="109"/>
      <c r="K135" s="109"/>
      <c r="L135" s="109"/>
      <c r="M135" s="109"/>
      <c r="N135" s="109"/>
      <c r="O135" s="133"/>
      <c r="P135" s="134"/>
      <c r="Q135" s="55"/>
      <c r="R135" s="6"/>
      <c r="S135" s="6"/>
    </row>
    <row r="136" spans="1:19" s="14" customFormat="1" ht="36">
      <c r="A136" s="63" t="s">
        <v>186</v>
      </c>
      <c r="B136" s="64" t="s">
        <v>214</v>
      </c>
      <c r="C136" s="65" t="s">
        <v>215</v>
      </c>
      <c r="D136" s="66">
        <v>500000</v>
      </c>
      <c r="E136" s="66">
        <v>40000</v>
      </c>
      <c r="F136" s="66">
        <v>40000</v>
      </c>
      <c r="G136" s="66">
        <v>40000</v>
      </c>
      <c r="H136" s="66">
        <v>40000</v>
      </c>
      <c r="I136" s="66">
        <v>40000</v>
      </c>
      <c r="J136" s="66">
        <v>40000</v>
      </c>
      <c r="K136" s="66">
        <v>40000</v>
      </c>
      <c r="L136" s="66">
        <v>40000</v>
      </c>
      <c r="M136" s="66">
        <v>40000</v>
      </c>
      <c r="N136" s="66">
        <v>40000</v>
      </c>
      <c r="O136" s="67">
        <v>50000</v>
      </c>
      <c r="P136" s="77">
        <v>50000</v>
      </c>
      <c r="Q136" s="55">
        <f aca="true" t="shared" si="38" ref="Q136:Q167">SUM(H136:P136)</f>
        <v>380000</v>
      </c>
      <c r="R136" s="6"/>
      <c r="S136" s="6"/>
    </row>
    <row r="137" spans="1:19" s="14" customFormat="1" ht="45.75">
      <c r="A137" s="63" t="s">
        <v>216</v>
      </c>
      <c r="B137" s="64" t="s">
        <v>217</v>
      </c>
      <c r="C137" s="65" t="s">
        <v>53</v>
      </c>
      <c r="D137" s="66">
        <v>320400</v>
      </c>
      <c r="E137" s="66">
        <v>26000</v>
      </c>
      <c r="F137" s="66">
        <v>26000</v>
      </c>
      <c r="G137" s="66">
        <v>27000</v>
      </c>
      <c r="H137" s="66">
        <v>26000</v>
      </c>
      <c r="I137" s="66">
        <v>26000</v>
      </c>
      <c r="J137" s="66">
        <v>27000</v>
      </c>
      <c r="K137" s="66">
        <v>26000</v>
      </c>
      <c r="L137" s="66">
        <v>26000</v>
      </c>
      <c r="M137" s="66">
        <v>27000</v>
      </c>
      <c r="N137" s="66">
        <v>26000</v>
      </c>
      <c r="O137" s="67">
        <v>26000</v>
      </c>
      <c r="P137" s="77">
        <v>31400</v>
      </c>
      <c r="Q137" s="55">
        <f t="shared" si="38"/>
        <v>241400</v>
      </c>
      <c r="R137" s="6"/>
      <c r="S137" s="6"/>
    </row>
    <row r="138" spans="1:19" s="14" customFormat="1" ht="34.5" thickBot="1">
      <c r="A138" s="415" t="s">
        <v>36</v>
      </c>
      <c r="B138" s="416" t="s">
        <v>218</v>
      </c>
      <c r="C138" s="417" t="s">
        <v>215</v>
      </c>
      <c r="D138" s="201">
        <v>8700</v>
      </c>
      <c r="E138" s="201">
        <v>1000</v>
      </c>
      <c r="F138" s="201">
        <v>800</v>
      </c>
      <c r="G138" s="201">
        <v>1000</v>
      </c>
      <c r="H138" s="201">
        <v>700</v>
      </c>
      <c r="I138" s="201">
        <v>700</v>
      </c>
      <c r="J138" s="201">
        <v>600</v>
      </c>
      <c r="K138" s="201">
        <v>600</v>
      </c>
      <c r="L138" s="201">
        <v>600</v>
      </c>
      <c r="M138" s="201">
        <v>600</v>
      </c>
      <c r="N138" s="201">
        <v>600</v>
      </c>
      <c r="O138" s="202">
        <v>700</v>
      </c>
      <c r="P138" s="203">
        <v>800</v>
      </c>
      <c r="Q138" s="55">
        <f t="shared" si="38"/>
        <v>5900</v>
      </c>
      <c r="R138" s="6"/>
      <c r="S138" s="6"/>
    </row>
    <row r="139" spans="1:19" s="14" customFormat="1" ht="25.5" thickBot="1" thickTop="1">
      <c r="A139" s="90" t="s">
        <v>219</v>
      </c>
      <c r="B139" s="91" t="s">
        <v>220</v>
      </c>
      <c r="C139" s="92" t="s">
        <v>215</v>
      </c>
      <c r="D139" s="93">
        <f>D140+D145+D147+D150+D157+D162+D164+D168</f>
        <v>641500</v>
      </c>
      <c r="E139" s="93">
        <f aca="true" t="shared" si="39" ref="E139:P139">E140+E145+E147+E150+E157+E162+E164+E168</f>
        <v>53907</v>
      </c>
      <c r="F139" s="93">
        <f t="shared" si="39"/>
        <v>52911</v>
      </c>
      <c r="G139" s="93">
        <f t="shared" si="39"/>
        <v>53307</v>
      </c>
      <c r="H139" s="93">
        <f t="shared" si="39"/>
        <v>52937</v>
      </c>
      <c r="I139" s="93">
        <f t="shared" si="39"/>
        <v>52947</v>
      </c>
      <c r="J139" s="93">
        <f t="shared" si="39"/>
        <v>53307</v>
      </c>
      <c r="K139" s="93">
        <f t="shared" si="39"/>
        <v>52457</v>
      </c>
      <c r="L139" s="93">
        <f t="shared" si="39"/>
        <v>52407</v>
      </c>
      <c r="M139" s="93">
        <f t="shared" si="39"/>
        <v>56237</v>
      </c>
      <c r="N139" s="93">
        <f t="shared" si="39"/>
        <v>53557</v>
      </c>
      <c r="O139" s="94">
        <f t="shared" si="39"/>
        <v>53307</v>
      </c>
      <c r="P139" s="95">
        <f t="shared" si="39"/>
        <v>54219</v>
      </c>
      <c r="Q139" s="55">
        <f t="shared" si="38"/>
        <v>481375</v>
      </c>
      <c r="R139" s="6"/>
      <c r="S139" s="6"/>
    </row>
    <row r="140" spans="1:19" s="14" customFormat="1" ht="12.75" thickTop="1">
      <c r="A140" s="57" t="s">
        <v>221</v>
      </c>
      <c r="B140" s="58" t="s">
        <v>222</v>
      </c>
      <c r="C140" s="129"/>
      <c r="D140" s="98">
        <f>SUM(D141:D144)</f>
        <v>257900</v>
      </c>
      <c r="E140" s="98">
        <f aca="true" t="shared" si="40" ref="E140:P140">SUM(E141:E144)</f>
        <v>21333</v>
      </c>
      <c r="F140" s="98">
        <f t="shared" si="40"/>
        <v>21333</v>
      </c>
      <c r="G140" s="98">
        <f t="shared" si="40"/>
        <v>21433</v>
      </c>
      <c r="H140" s="98">
        <f t="shared" si="40"/>
        <v>21433</v>
      </c>
      <c r="I140" s="98">
        <f t="shared" si="40"/>
        <v>21483</v>
      </c>
      <c r="J140" s="98">
        <f t="shared" si="40"/>
        <v>21483</v>
      </c>
      <c r="K140" s="98">
        <f t="shared" si="40"/>
        <v>21233</v>
      </c>
      <c r="L140" s="98">
        <f t="shared" si="40"/>
        <v>21233</v>
      </c>
      <c r="M140" s="98">
        <f t="shared" si="40"/>
        <v>22233</v>
      </c>
      <c r="N140" s="98">
        <f t="shared" si="40"/>
        <v>21533</v>
      </c>
      <c r="O140" s="99">
        <f t="shared" si="40"/>
        <v>21633</v>
      </c>
      <c r="P140" s="100">
        <f t="shared" si="40"/>
        <v>21537</v>
      </c>
      <c r="Q140" s="55">
        <f t="shared" si="38"/>
        <v>193801</v>
      </c>
      <c r="R140" s="6"/>
      <c r="S140" s="6"/>
    </row>
    <row r="141" spans="1:19" s="14" customFormat="1" ht="23.25">
      <c r="A141" s="80" t="s">
        <v>54</v>
      </c>
      <c r="B141" s="81" t="s">
        <v>223</v>
      </c>
      <c r="C141" s="82"/>
      <c r="D141" s="66">
        <v>3100</v>
      </c>
      <c r="E141" s="66">
        <v>100</v>
      </c>
      <c r="F141" s="66">
        <v>100</v>
      </c>
      <c r="G141" s="66">
        <v>200</v>
      </c>
      <c r="H141" s="76">
        <v>200</v>
      </c>
      <c r="I141" s="76">
        <v>250</v>
      </c>
      <c r="J141" s="76">
        <v>250</v>
      </c>
      <c r="K141" s="76">
        <v>0</v>
      </c>
      <c r="L141" s="76">
        <v>0</v>
      </c>
      <c r="M141" s="76">
        <v>1000</v>
      </c>
      <c r="N141" s="172">
        <v>300</v>
      </c>
      <c r="O141" s="173">
        <v>400</v>
      </c>
      <c r="P141" s="174">
        <v>300</v>
      </c>
      <c r="Q141" s="55">
        <f t="shared" si="38"/>
        <v>2700</v>
      </c>
      <c r="R141" s="6"/>
      <c r="S141" s="6"/>
    </row>
    <row r="142" spans="1:19" s="14" customFormat="1" ht="111.75" customHeight="1">
      <c r="A142" s="63" t="s">
        <v>57</v>
      </c>
      <c r="B142" s="64" t="s">
        <v>58</v>
      </c>
      <c r="C142" s="65"/>
      <c r="D142" s="66">
        <v>254800</v>
      </c>
      <c r="E142" s="66">
        <v>21233</v>
      </c>
      <c r="F142" s="66">
        <v>21233</v>
      </c>
      <c r="G142" s="66">
        <v>21233</v>
      </c>
      <c r="H142" s="66">
        <v>21233</v>
      </c>
      <c r="I142" s="66">
        <v>21233</v>
      </c>
      <c r="J142" s="66">
        <v>21233</v>
      </c>
      <c r="K142" s="66">
        <v>21233</v>
      </c>
      <c r="L142" s="66">
        <v>21233</v>
      </c>
      <c r="M142" s="66">
        <v>21233</v>
      </c>
      <c r="N142" s="66">
        <v>21233</v>
      </c>
      <c r="O142" s="67">
        <v>21233</v>
      </c>
      <c r="P142" s="77">
        <v>21237</v>
      </c>
      <c r="Q142" s="55">
        <f t="shared" si="38"/>
        <v>191101</v>
      </c>
      <c r="R142" s="6"/>
      <c r="S142" s="6"/>
    </row>
    <row r="143" spans="1:19" s="14" customFormat="1" ht="12" hidden="1">
      <c r="A143" s="63" t="s">
        <v>36</v>
      </c>
      <c r="B143" s="175" t="s">
        <v>37</v>
      </c>
      <c r="C143" s="65"/>
      <c r="D143" s="66">
        <v>0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103"/>
      <c r="O143" s="104"/>
      <c r="P143" s="105"/>
      <c r="Q143" s="55"/>
      <c r="R143" s="6"/>
      <c r="S143" s="6"/>
    </row>
    <row r="144" spans="1:19" s="14" customFormat="1" ht="45" hidden="1">
      <c r="A144" s="84" t="s">
        <v>224</v>
      </c>
      <c r="B144" s="176" t="s">
        <v>225</v>
      </c>
      <c r="C144" s="86"/>
      <c r="D144" s="87">
        <v>0</v>
      </c>
      <c r="E144" s="87"/>
      <c r="F144" s="87"/>
      <c r="G144" s="87"/>
      <c r="H144" s="87"/>
      <c r="I144" s="87"/>
      <c r="J144" s="87"/>
      <c r="K144" s="87"/>
      <c r="L144" s="87"/>
      <c r="M144" s="87"/>
      <c r="N144" s="177"/>
      <c r="O144" s="143"/>
      <c r="P144" s="144"/>
      <c r="Q144" s="55"/>
      <c r="R144" s="6"/>
      <c r="S144" s="6"/>
    </row>
    <row r="145" spans="1:19" s="56" customFormat="1" ht="24">
      <c r="A145" s="69" t="s">
        <v>226</v>
      </c>
      <c r="B145" s="70" t="s">
        <v>227</v>
      </c>
      <c r="C145" s="118"/>
      <c r="D145" s="72">
        <f>D146</f>
        <v>10000</v>
      </c>
      <c r="E145" s="72">
        <f aca="true" t="shared" si="41" ref="E145:P145">E146</f>
        <v>833</v>
      </c>
      <c r="F145" s="72">
        <f t="shared" si="41"/>
        <v>833</v>
      </c>
      <c r="G145" s="72">
        <f t="shared" si="41"/>
        <v>833</v>
      </c>
      <c r="H145" s="72">
        <f t="shared" si="41"/>
        <v>833</v>
      </c>
      <c r="I145" s="72">
        <f t="shared" si="41"/>
        <v>833</v>
      </c>
      <c r="J145" s="72">
        <f t="shared" si="41"/>
        <v>833</v>
      </c>
      <c r="K145" s="72">
        <f t="shared" si="41"/>
        <v>833</v>
      </c>
      <c r="L145" s="72">
        <f t="shared" si="41"/>
        <v>833</v>
      </c>
      <c r="M145" s="72">
        <f t="shared" si="41"/>
        <v>833</v>
      </c>
      <c r="N145" s="72">
        <f t="shared" si="41"/>
        <v>833</v>
      </c>
      <c r="O145" s="73">
        <f t="shared" si="41"/>
        <v>833</v>
      </c>
      <c r="P145" s="74">
        <f t="shared" si="41"/>
        <v>837</v>
      </c>
      <c r="Q145" s="55">
        <f t="shared" si="38"/>
        <v>7501</v>
      </c>
      <c r="R145" s="6"/>
      <c r="S145" s="6"/>
    </row>
    <row r="146" spans="1:19" s="14" customFormat="1" ht="67.5">
      <c r="A146" s="135" t="s">
        <v>57</v>
      </c>
      <c r="B146" s="175" t="s">
        <v>228</v>
      </c>
      <c r="C146" s="123"/>
      <c r="D146" s="116">
        <v>10000</v>
      </c>
      <c r="E146" s="116">
        <v>833</v>
      </c>
      <c r="F146" s="116">
        <v>833</v>
      </c>
      <c r="G146" s="116">
        <v>833</v>
      </c>
      <c r="H146" s="116">
        <v>833</v>
      </c>
      <c r="I146" s="116">
        <v>833</v>
      </c>
      <c r="J146" s="116">
        <v>833</v>
      </c>
      <c r="K146" s="116">
        <v>833</v>
      </c>
      <c r="L146" s="116">
        <v>833</v>
      </c>
      <c r="M146" s="116">
        <v>833</v>
      </c>
      <c r="N146" s="116">
        <v>833</v>
      </c>
      <c r="O146" s="119">
        <v>833</v>
      </c>
      <c r="P146" s="120">
        <v>837</v>
      </c>
      <c r="Q146" s="55">
        <f t="shared" si="38"/>
        <v>7501</v>
      </c>
      <c r="R146" s="6"/>
      <c r="S146" s="6"/>
    </row>
    <row r="147" spans="1:19" s="14" customFormat="1" ht="12">
      <c r="A147" s="69" t="s">
        <v>229</v>
      </c>
      <c r="B147" s="70" t="s">
        <v>230</v>
      </c>
      <c r="C147" s="123"/>
      <c r="D147" s="72">
        <f>SUM(D148:D149)</f>
        <v>61400</v>
      </c>
      <c r="E147" s="72">
        <f>SUM(E148:E149)</f>
        <v>5058</v>
      </c>
      <c r="F147" s="72">
        <f aca="true" t="shared" si="42" ref="F147:P147">SUM(F148:F149)</f>
        <v>5062</v>
      </c>
      <c r="G147" s="72">
        <f t="shared" si="42"/>
        <v>5028</v>
      </c>
      <c r="H147" s="72">
        <f t="shared" si="42"/>
        <v>5028</v>
      </c>
      <c r="I147" s="72">
        <f t="shared" si="42"/>
        <v>5038</v>
      </c>
      <c r="J147" s="72">
        <f t="shared" si="42"/>
        <v>5108</v>
      </c>
      <c r="K147" s="72">
        <f t="shared" si="42"/>
        <v>5008</v>
      </c>
      <c r="L147" s="72">
        <f t="shared" si="42"/>
        <v>5008</v>
      </c>
      <c r="M147" s="72">
        <f t="shared" si="42"/>
        <v>5708</v>
      </c>
      <c r="N147" s="72">
        <f t="shared" si="42"/>
        <v>5138</v>
      </c>
      <c r="O147" s="73">
        <f t="shared" si="42"/>
        <v>5108</v>
      </c>
      <c r="P147" s="74">
        <f t="shared" si="42"/>
        <v>5108</v>
      </c>
      <c r="Q147" s="55">
        <f t="shared" si="38"/>
        <v>46252</v>
      </c>
      <c r="R147" s="6"/>
      <c r="S147" s="6"/>
    </row>
    <row r="148" spans="1:19" s="14" customFormat="1" ht="24">
      <c r="A148" s="80" t="s">
        <v>54</v>
      </c>
      <c r="B148" s="81" t="s">
        <v>231</v>
      </c>
      <c r="C148" s="82"/>
      <c r="D148" s="76">
        <v>1300</v>
      </c>
      <c r="E148" s="76">
        <v>50</v>
      </c>
      <c r="F148" s="76">
        <v>50</v>
      </c>
      <c r="G148" s="76">
        <v>20</v>
      </c>
      <c r="H148" s="76">
        <v>20</v>
      </c>
      <c r="I148" s="76">
        <v>30</v>
      </c>
      <c r="J148" s="76">
        <v>100</v>
      </c>
      <c r="K148" s="76">
        <v>0</v>
      </c>
      <c r="L148" s="76">
        <v>0</v>
      </c>
      <c r="M148" s="76">
        <v>700</v>
      </c>
      <c r="N148" s="172">
        <v>130</v>
      </c>
      <c r="O148" s="173">
        <v>100</v>
      </c>
      <c r="P148" s="174">
        <v>100</v>
      </c>
      <c r="Q148" s="55">
        <f t="shared" si="38"/>
        <v>1180</v>
      </c>
      <c r="R148" s="6"/>
      <c r="S148" s="6"/>
    </row>
    <row r="149" spans="1:19" s="14" customFormat="1" ht="107.25" customHeight="1">
      <c r="A149" s="84" t="s">
        <v>57</v>
      </c>
      <c r="B149" s="85" t="s">
        <v>58</v>
      </c>
      <c r="C149" s="86"/>
      <c r="D149" s="87">
        <v>60100</v>
      </c>
      <c r="E149" s="87">
        <v>5008</v>
      </c>
      <c r="F149" s="87">
        <v>5012</v>
      </c>
      <c r="G149" s="87">
        <v>5008</v>
      </c>
      <c r="H149" s="87">
        <v>5008</v>
      </c>
      <c r="I149" s="87">
        <v>5008</v>
      </c>
      <c r="J149" s="87">
        <v>5008</v>
      </c>
      <c r="K149" s="87">
        <v>5008</v>
      </c>
      <c r="L149" s="87">
        <v>5008</v>
      </c>
      <c r="M149" s="87">
        <v>5008</v>
      </c>
      <c r="N149" s="87">
        <v>5008</v>
      </c>
      <c r="O149" s="88">
        <v>5008</v>
      </c>
      <c r="P149" s="89">
        <v>5008</v>
      </c>
      <c r="Q149" s="55">
        <f t="shared" si="38"/>
        <v>45072</v>
      </c>
      <c r="R149" s="6"/>
      <c r="S149" s="6"/>
    </row>
    <row r="150" spans="1:19" s="14" customFormat="1" ht="12">
      <c r="A150" s="69" t="s">
        <v>232</v>
      </c>
      <c r="B150" s="70" t="s">
        <v>233</v>
      </c>
      <c r="C150" s="123"/>
      <c r="D150" s="72">
        <f>SUM(D151:D156)</f>
        <v>70700</v>
      </c>
      <c r="E150" s="72">
        <f aca="true" t="shared" si="43" ref="E150:P150">SUM(E151:E156)</f>
        <v>5575</v>
      </c>
      <c r="F150" s="72">
        <f t="shared" si="43"/>
        <v>5575</v>
      </c>
      <c r="G150" s="72">
        <f t="shared" si="43"/>
        <v>5875</v>
      </c>
      <c r="H150" s="72">
        <f t="shared" si="43"/>
        <v>5775</v>
      </c>
      <c r="I150" s="72">
        <f t="shared" si="43"/>
        <v>5675</v>
      </c>
      <c r="J150" s="72">
        <f t="shared" si="43"/>
        <v>5925</v>
      </c>
      <c r="K150" s="72">
        <f t="shared" si="43"/>
        <v>5725</v>
      </c>
      <c r="L150" s="72">
        <f t="shared" si="43"/>
        <v>5675</v>
      </c>
      <c r="M150" s="72">
        <f t="shared" si="43"/>
        <v>6875</v>
      </c>
      <c r="N150" s="72">
        <f t="shared" si="43"/>
        <v>6175</v>
      </c>
      <c r="O150" s="73">
        <f t="shared" si="43"/>
        <v>5875</v>
      </c>
      <c r="P150" s="74">
        <f t="shared" si="43"/>
        <v>5975</v>
      </c>
      <c r="Q150" s="55">
        <f t="shared" si="38"/>
        <v>53675</v>
      </c>
      <c r="R150" s="6"/>
      <c r="S150" s="6"/>
    </row>
    <row r="151" spans="1:19" s="14" customFormat="1" ht="24">
      <c r="A151" s="80" t="s">
        <v>54</v>
      </c>
      <c r="B151" s="81" t="s">
        <v>234</v>
      </c>
      <c r="C151" s="82"/>
      <c r="D151" s="76">
        <v>2400</v>
      </c>
      <c r="E151" s="76">
        <v>50</v>
      </c>
      <c r="F151" s="76">
        <v>50</v>
      </c>
      <c r="G151" s="76">
        <v>50</v>
      </c>
      <c r="H151" s="76">
        <v>50</v>
      </c>
      <c r="I151" s="76">
        <v>50</v>
      </c>
      <c r="J151" s="76">
        <v>200</v>
      </c>
      <c r="K151" s="76">
        <v>0</v>
      </c>
      <c r="L151" s="76">
        <v>0</v>
      </c>
      <c r="M151" s="76">
        <v>1200</v>
      </c>
      <c r="N151" s="172">
        <v>500</v>
      </c>
      <c r="O151" s="173">
        <v>200</v>
      </c>
      <c r="P151" s="174">
        <v>50</v>
      </c>
      <c r="Q151" s="55">
        <f t="shared" si="38"/>
        <v>2250</v>
      </c>
      <c r="R151" s="6"/>
      <c r="S151" s="6"/>
    </row>
    <row r="152" spans="1:19" s="14" customFormat="1" ht="112.5" customHeight="1">
      <c r="A152" s="63" t="s">
        <v>57</v>
      </c>
      <c r="B152" s="64" t="s">
        <v>58</v>
      </c>
      <c r="C152" s="65"/>
      <c r="D152" s="66">
        <v>60300</v>
      </c>
      <c r="E152" s="66">
        <v>5025</v>
      </c>
      <c r="F152" s="66">
        <v>5025</v>
      </c>
      <c r="G152" s="66">
        <v>5025</v>
      </c>
      <c r="H152" s="66">
        <v>5025</v>
      </c>
      <c r="I152" s="66">
        <v>5025</v>
      </c>
      <c r="J152" s="66">
        <v>5025</v>
      </c>
      <c r="K152" s="66">
        <v>5025</v>
      </c>
      <c r="L152" s="66">
        <v>5025</v>
      </c>
      <c r="M152" s="66">
        <v>5025</v>
      </c>
      <c r="N152" s="66">
        <v>5025</v>
      </c>
      <c r="O152" s="67">
        <v>5025</v>
      </c>
      <c r="P152" s="77">
        <v>5025</v>
      </c>
      <c r="Q152" s="55">
        <f t="shared" si="38"/>
        <v>45225</v>
      </c>
      <c r="R152" s="6"/>
      <c r="S152" s="6"/>
    </row>
    <row r="153" spans="1:19" s="56" customFormat="1" ht="12">
      <c r="A153" s="63" t="s">
        <v>235</v>
      </c>
      <c r="B153" s="64" t="s">
        <v>236</v>
      </c>
      <c r="C153" s="65"/>
      <c r="D153" s="66">
        <v>6000</v>
      </c>
      <c r="E153" s="66">
        <v>500</v>
      </c>
      <c r="F153" s="66">
        <v>500</v>
      </c>
      <c r="G153" s="66">
        <v>700</v>
      </c>
      <c r="H153" s="66">
        <v>500</v>
      </c>
      <c r="I153" s="66">
        <v>500</v>
      </c>
      <c r="J153" s="66">
        <v>500</v>
      </c>
      <c r="K153" s="66">
        <v>500</v>
      </c>
      <c r="L153" s="66">
        <v>450</v>
      </c>
      <c r="M153" s="66">
        <v>450</v>
      </c>
      <c r="N153" s="103">
        <v>450</v>
      </c>
      <c r="O153" s="104">
        <v>450</v>
      </c>
      <c r="P153" s="105">
        <v>500</v>
      </c>
      <c r="Q153" s="55">
        <f t="shared" si="38"/>
        <v>4300</v>
      </c>
      <c r="R153" s="6"/>
      <c r="S153" s="6"/>
    </row>
    <row r="154" spans="1:19" s="56" customFormat="1" ht="12">
      <c r="A154" s="63" t="s">
        <v>216</v>
      </c>
      <c r="B154" s="64" t="s">
        <v>237</v>
      </c>
      <c r="C154" s="65"/>
      <c r="D154" s="66">
        <v>0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103"/>
      <c r="O154" s="104"/>
      <c r="P154" s="105"/>
      <c r="Q154" s="55"/>
      <c r="R154" s="6"/>
      <c r="S154" s="6"/>
    </row>
    <row r="155" spans="1:19" s="56" customFormat="1" ht="12">
      <c r="A155" s="63" t="s">
        <v>36</v>
      </c>
      <c r="B155" s="178" t="s">
        <v>37</v>
      </c>
      <c r="C155" s="108"/>
      <c r="D155" s="66">
        <v>2000</v>
      </c>
      <c r="E155" s="66">
        <v>0</v>
      </c>
      <c r="F155" s="66">
        <v>0</v>
      </c>
      <c r="G155" s="66">
        <v>100</v>
      </c>
      <c r="H155" s="66">
        <v>200</v>
      </c>
      <c r="I155" s="66">
        <v>100</v>
      </c>
      <c r="J155" s="66">
        <v>200</v>
      </c>
      <c r="K155" s="66">
        <v>200</v>
      </c>
      <c r="L155" s="66">
        <v>200</v>
      </c>
      <c r="M155" s="66">
        <v>200</v>
      </c>
      <c r="N155" s="103">
        <v>200</v>
      </c>
      <c r="O155" s="104">
        <v>200</v>
      </c>
      <c r="P155" s="105">
        <v>400</v>
      </c>
      <c r="Q155" s="55"/>
      <c r="R155" s="6"/>
      <c r="S155" s="6"/>
    </row>
    <row r="156" spans="1:19" s="56" customFormat="1" ht="60" hidden="1">
      <c r="A156" s="84" t="s">
        <v>238</v>
      </c>
      <c r="B156" s="85" t="s">
        <v>239</v>
      </c>
      <c r="C156" s="86"/>
      <c r="D156" s="66">
        <v>0</v>
      </c>
      <c r="E156" s="66"/>
      <c r="F156" s="66"/>
      <c r="G156" s="66"/>
      <c r="H156" s="87"/>
      <c r="I156" s="87"/>
      <c r="J156" s="87"/>
      <c r="K156" s="87"/>
      <c r="L156" s="87"/>
      <c r="M156" s="87"/>
      <c r="N156" s="87"/>
      <c r="O156" s="88"/>
      <c r="P156" s="89"/>
      <c r="Q156" s="55"/>
      <c r="R156" s="6"/>
      <c r="S156" s="6"/>
    </row>
    <row r="157" spans="1:19" s="14" customFormat="1" ht="15.75" customHeight="1">
      <c r="A157" s="69" t="s">
        <v>240</v>
      </c>
      <c r="B157" s="70" t="s">
        <v>241</v>
      </c>
      <c r="C157" s="123"/>
      <c r="D157" s="141">
        <f>SUM(D158:D161)</f>
        <v>198800</v>
      </c>
      <c r="E157" s="141">
        <f aca="true" t="shared" si="44" ref="E157:P157">SUM(E158:E161)</f>
        <v>16708</v>
      </c>
      <c r="F157" s="141">
        <f t="shared" si="44"/>
        <v>16708</v>
      </c>
      <c r="G157" s="141">
        <f t="shared" si="44"/>
        <v>16758</v>
      </c>
      <c r="H157" s="141">
        <f t="shared" si="44"/>
        <v>16508</v>
      </c>
      <c r="I157" s="141">
        <f t="shared" si="44"/>
        <v>16508</v>
      </c>
      <c r="J157" s="141">
        <f t="shared" si="44"/>
        <v>16508</v>
      </c>
      <c r="K157" s="141">
        <f t="shared" si="44"/>
        <v>16408</v>
      </c>
      <c r="L157" s="141">
        <f t="shared" si="44"/>
        <v>16408</v>
      </c>
      <c r="M157" s="141">
        <f t="shared" si="44"/>
        <v>16808</v>
      </c>
      <c r="N157" s="141">
        <f t="shared" si="44"/>
        <v>16508</v>
      </c>
      <c r="O157" s="168">
        <f t="shared" si="44"/>
        <v>16508</v>
      </c>
      <c r="P157" s="169">
        <f t="shared" si="44"/>
        <v>16462</v>
      </c>
      <c r="Q157" s="55">
        <f t="shared" si="38"/>
        <v>148626</v>
      </c>
      <c r="R157" s="6"/>
      <c r="S157" s="6"/>
    </row>
    <row r="158" spans="1:19" ht="24">
      <c r="A158" s="80" t="s">
        <v>54</v>
      </c>
      <c r="B158" s="131" t="s">
        <v>231</v>
      </c>
      <c r="C158" s="179"/>
      <c r="D158" s="76">
        <v>1900</v>
      </c>
      <c r="E158" s="76">
        <v>300</v>
      </c>
      <c r="F158" s="76">
        <v>300</v>
      </c>
      <c r="G158" s="76">
        <v>350</v>
      </c>
      <c r="H158" s="76">
        <v>100</v>
      </c>
      <c r="I158" s="76">
        <v>100</v>
      </c>
      <c r="J158" s="76">
        <v>100</v>
      </c>
      <c r="K158" s="76">
        <v>0</v>
      </c>
      <c r="L158" s="76">
        <v>0</v>
      </c>
      <c r="M158" s="76">
        <v>400</v>
      </c>
      <c r="N158" s="172">
        <v>100</v>
      </c>
      <c r="O158" s="173">
        <v>100</v>
      </c>
      <c r="P158" s="174">
        <v>50</v>
      </c>
      <c r="Q158" s="55">
        <f t="shared" si="38"/>
        <v>950</v>
      </c>
      <c r="R158" s="6"/>
      <c r="S158" s="6"/>
    </row>
    <row r="159" spans="1:19" ht="108.75" customHeight="1">
      <c r="A159" s="63" t="s">
        <v>57</v>
      </c>
      <c r="B159" s="64" t="s">
        <v>58</v>
      </c>
      <c r="C159" s="108"/>
      <c r="D159" s="66">
        <v>190900</v>
      </c>
      <c r="E159" s="66">
        <v>15908</v>
      </c>
      <c r="F159" s="66">
        <v>15908</v>
      </c>
      <c r="G159" s="66">
        <v>15908</v>
      </c>
      <c r="H159" s="66">
        <v>15908</v>
      </c>
      <c r="I159" s="66">
        <v>15908</v>
      </c>
      <c r="J159" s="66">
        <v>15908</v>
      </c>
      <c r="K159" s="66">
        <v>15908</v>
      </c>
      <c r="L159" s="66">
        <v>15908</v>
      </c>
      <c r="M159" s="66">
        <v>15908</v>
      </c>
      <c r="N159" s="66">
        <v>15908</v>
      </c>
      <c r="O159" s="67">
        <v>15908</v>
      </c>
      <c r="P159" s="77">
        <v>15912</v>
      </c>
      <c r="Q159" s="55">
        <f t="shared" si="38"/>
        <v>143176</v>
      </c>
      <c r="R159" s="6"/>
      <c r="S159" s="6"/>
    </row>
    <row r="160" spans="1:19" ht="12">
      <c r="A160" s="84" t="s">
        <v>235</v>
      </c>
      <c r="B160" s="164" t="s">
        <v>236</v>
      </c>
      <c r="C160" s="122"/>
      <c r="D160" s="87">
        <v>6000</v>
      </c>
      <c r="E160" s="87">
        <v>500</v>
      </c>
      <c r="F160" s="87">
        <v>500</v>
      </c>
      <c r="G160" s="87">
        <v>500</v>
      </c>
      <c r="H160" s="87">
        <v>500</v>
      </c>
      <c r="I160" s="87">
        <v>500</v>
      </c>
      <c r="J160" s="87">
        <v>500</v>
      </c>
      <c r="K160" s="87">
        <v>500</v>
      </c>
      <c r="L160" s="87">
        <v>500</v>
      </c>
      <c r="M160" s="87">
        <v>500</v>
      </c>
      <c r="N160" s="87">
        <v>500</v>
      </c>
      <c r="O160" s="88">
        <v>500</v>
      </c>
      <c r="P160" s="89">
        <v>500</v>
      </c>
      <c r="Q160" s="55"/>
      <c r="R160" s="6"/>
      <c r="S160" s="6"/>
    </row>
    <row r="161" spans="1:19" ht="24">
      <c r="A161" s="84" t="s">
        <v>36</v>
      </c>
      <c r="B161" s="164" t="s">
        <v>37</v>
      </c>
      <c r="C161" s="180"/>
      <c r="D161" s="87">
        <v>0</v>
      </c>
      <c r="E161" s="87"/>
      <c r="F161" s="87"/>
      <c r="G161" s="87"/>
      <c r="H161" s="87"/>
      <c r="I161" s="87"/>
      <c r="J161" s="87"/>
      <c r="K161" s="87"/>
      <c r="L161" s="87"/>
      <c r="M161" s="87"/>
      <c r="N161" s="177"/>
      <c r="O161" s="143"/>
      <c r="P161" s="144"/>
      <c r="Q161" s="55"/>
      <c r="R161" s="6"/>
      <c r="S161" s="6"/>
    </row>
    <row r="162" spans="1:19" ht="12">
      <c r="A162" s="124" t="s">
        <v>242</v>
      </c>
      <c r="B162" s="78" t="s">
        <v>243</v>
      </c>
      <c r="C162" s="122"/>
      <c r="D162" s="98">
        <f>D163</f>
        <v>200</v>
      </c>
      <c r="E162" s="98">
        <f aca="true" t="shared" si="45" ref="E162:P162">E163</f>
        <v>50</v>
      </c>
      <c r="F162" s="98">
        <f t="shared" si="45"/>
        <v>50</v>
      </c>
      <c r="G162" s="98">
        <f t="shared" si="45"/>
        <v>30</v>
      </c>
      <c r="H162" s="98">
        <f t="shared" si="45"/>
        <v>10</v>
      </c>
      <c r="I162" s="98">
        <f t="shared" si="45"/>
        <v>10</v>
      </c>
      <c r="J162" s="98">
        <f t="shared" si="45"/>
        <v>0</v>
      </c>
      <c r="K162" s="98">
        <f t="shared" si="45"/>
        <v>0</v>
      </c>
      <c r="L162" s="98">
        <f t="shared" si="45"/>
        <v>0</v>
      </c>
      <c r="M162" s="98">
        <f t="shared" si="45"/>
        <v>30</v>
      </c>
      <c r="N162" s="98">
        <f t="shared" si="45"/>
        <v>20</v>
      </c>
      <c r="O162" s="99">
        <f t="shared" si="45"/>
        <v>0</v>
      </c>
      <c r="P162" s="100">
        <f t="shared" si="45"/>
        <v>0</v>
      </c>
      <c r="Q162" s="55"/>
      <c r="R162" s="6"/>
      <c r="S162" s="6"/>
    </row>
    <row r="163" spans="1:19" ht="24">
      <c r="A163" s="113" t="s">
        <v>36</v>
      </c>
      <c r="B163" s="114" t="s">
        <v>37</v>
      </c>
      <c r="C163" s="122"/>
      <c r="D163" s="116">
        <v>200</v>
      </c>
      <c r="E163" s="116">
        <v>50</v>
      </c>
      <c r="F163" s="116">
        <v>50</v>
      </c>
      <c r="G163" s="116">
        <v>30</v>
      </c>
      <c r="H163" s="87">
        <v>10</v>
      </c>
      <c r="I163" s="87">
        <v>10</v>
      </c>
      <c r="J163" s="87">
        <v>0</v>
      </c>
      <c r="K163" s="87">
        <v>0</v>
      </c>
      <c r="L163" s="87">
        <v>0</v>
      </c>
      <c r="M163" s="87">
        <v>30</v>
      </c>
      <c r="N163" s="177">
        <v>20</v>
      </c>
      <c r="O163" s="143">
        <v>0</v>
      </c>
      <c r="P163" s="144">
        <v>0</v>
      </c>
      <c r="Q163" s="55"/>
      <c r="R163" s="6"/>
      <c r="S163" s="6"/>
    </row>
    <row r="164" spans="1:19" ht="24">
      <c r="A164" s="69" t="s">
        <v>244</v>
      </c>
      <c r="B164" s="78" t="s">
        <v>245</v>
      </c>
      <c r="C164" s="115"/>
      <c r="D164" s="109">
        <f>SUM(D165:D167)</f>
        <v>28500</v>
      </c>
      <c r="E164" s="109">
        <f aca="true" t="shared" si="46" ref="E164:P164">SUM(E165:E167)</f>
        <v>2350</v>
      </c>
      <c r="F164" s="109">
        <f t="shared" si="46"/>
        <v>2350</v>
      </c>
      <c r="G164" s="109">
        <f t="shared" si="46"/>
        <v>2350</v>
      </c>
      <c r="H164" s="109">
        <f t="shared" si="46"/>
        <v>2350</v>
      </c>
      <c r="I164" s="109">
        <f t="shared" si="46"/>
        <v>2400</v>
      </c>
      <c r="J164" s="109">
        <f t="shared" si="46"/>
        <v>2450</v>
      </c>
      <c r="K164" s="109">
        <f t="shared" si="46"/>
        <v>2250</v>
      </c>
      <c r="L164" s="109">
        <f t="shared" si="46"/>
        <v>2250</v>
      </c>
      <c r="M164" s="109">
        <f t="shared" si="46"/>
        <v>2750</v>
      </c>
      <c r="N164" s="109">
        <f t="shared" si="46"/>
        <v>2350</v>
      </c>
      <c r="O164" s="133">
        <f t="shared" si="46"/>
        <v>2350</v>
      </c>
      <c r="P164" s="134">
        <f t="shared" si="46"/>
        <v>2300</v>
      </c>
      <c r="Q164" s="55">
        <f t="shared" si="38"/>
        <v>21450</v>
      </c>
      <c r="R164" s="6"/>
      <c r="S164" s="6"/>
    </row>
    <row r="165" spans="1:19" ht="24">
      <c r="A165" s="80" t="s">
        <v>54</v>
      </c>
      <c r="B165" s="131" t="s">
        <v>231</v>
      </c>
      <c r="C165" s="179"/>
      <c r="D165" s="76">
        <v>1500</v>
      </c>
      <c r="E165" s="76">
        <v>100</v>
      </c>
      <c r="F165" s="76">
        <v>100</v>
      </c>
      <c r="G165" s="76">
        <v>100</v>
      </c>
      <c r="H165" s="76">
        <v>100</v>
      </c>
      <c r="I165" s="76">
        <v>150</v>
      </c>
      <c r="J165" s="76">
        <v>200</v>
      </c>
      <c r="K165" s="76">
        <v>0</v>
      </c>
      <c r="L165" s="76">
        <v>0</v>
      </c>
      <c r="M165" s="76">
        <v>500</v>
      </c>
      <c r="N165" s="76">
        <v>100</v>
      </c>
      <c r="O165" s="83">
        <v>100</v>
      </c>
      <c r="P165" s="174">
        <v>50</v>
      </c>
      <c r="Q165" s="55">
        <f t="shared" si="38"/>
        <v>1200</v>
      </c>
      <c r="R165" s="6"/>
      <c r="S165" s="6"/>
    </row>
    <row r="166" spans="1:19" ht="90" customHeight="1">
      <c r="A166" s="63" t="s">
        <v>57</v>
      </c>
      <c r="B166" s="181" t="s">
        <v>58</v>
      </c>
      <c r="C166" s="65"/>
      <c r="D166" s="66">
        <v>27000</v>
      </c>
      <c r="E166" s="66">
        <v>2250</v>
      </c>
      <c r="F166" s="66">
        <v>2250</v>
      </c>
      <c r="G166" s="66">
        <v>2250</v>
      </c>
      <c r="H166" s="66">
        <v>2250</v>
      </c>
      <c r="I166" s="66">
        <v>2250</v>
      </c>
      <c r="J166" s="66">
        <v>2250</v>
      </c>
      <c r="K166" s="66">
        <v>2250</v>
      </c>
      <c r="L166" s="66">
        <v>2250</v>
      </c>
      <c r="M166" s="66">
        <v>2250</v>
      </c>
      <c r="N166" s="66">
        <v>2250</v>
      </c>
      <c r="O166" s="67">
        <v>2250</v>
      </c>
      <c r="P166" s="77">
        <v>2250</v>
      </c>
      <c r="Q166" s="55">
        <f t="shared" si="38"/>
        <v>20250</v>
      </c>
      <c r="R166" s="6"/>
      <c r="S166" s="6"/>
    </row>
    <row r="167" spans="1:19" ht="12" hidden="1">
      <c r="A167" s="84" t="s">
        <v>216</v>
      </c>
      <c r="B167" s="85" t="s">
        <v>237</v>
      </c>
      <c r="C167" s="86"/>
      <c r="D167" s="87">
        <v>0</v>
      </c>
      <c r="E167" s="87"/>
      <c r="F167" s="87"/>
      <c r="G167" s="87"/>
      <c r="H167" s="87"/>
      <c r="I167" s="87"/>
      <c r="J167" s="87"/>
      <c r="K167" s="87"/>
      <c r="L167" s="87"/>
      <c r="M167" s="87"/>
      <c r="N167" s="177"/>
      <c r="O167" s="143"/>
      <c r="P167" s="144"/>
      <c r="Q167" s="55">
        <f t="shared" si="38"/>
        <v>0</v>
      </c>
      <c r="R167" s="6"/>
      <c r="S167" s="6"/>
    </row>
    <row r="168" spans="1:19" ht="12">
      <c r="A168" s="124" t="s">
        <v>246</v>
      </c>
      <c r="B168" s="78" t="s">
        <v>86</v>
      </c>
      <c r="C168" s="115"/>
      <c r="D168" s="72">
        <f>SUM(D169:D170)</f>
        <v>14000</v>
      </c>
      <c r="E168" s="72">
        <f aca="true" t="shared" si="47" ref="E168:P168">SUM(E169:E170)</f>
        <v>2000</v>
      </c>
      <c r="F168" s="72">
        <f t="shared" si="47"/>
        <v>1000</v>
      </c>
      <c r="G168" s="72">
        <f t="shared" si="47"/>
        <v>1000</v>
      </c>
      <c r="H168" s="72">
        <f t="shared" si="47"/>
        <v>1000</v>
      </c>
      <c r="I168" s="72">
        <f t="shared" si="47"/>
        <v>1000</v>
      </c>
      <c r="J168" s="72">
        <f t="shared" si="47"/>
        <v>1000</v>
      </c>
      <c r="K168" s="72">
        <f t="shared" si="47"/>
        <v>1000</v>
      </c>
      <c r="L168" s="72">
        <f t="shared" si="47"/>
        <v>1000</v>
      </c>
      <c r="M168" s="72">
        <f t="shared" si="47"/>
        <v>1000</v>
      </c>
      <c r="N168" s="72">
        <f t="shared" si="47"/>
        <v>1000</v>
      </c>
      <c r="O168" s="73">
        <f t="shared" si="47"/>
        <v>1000</v>
      </c>
      <c r="P168" s="74">
        <f t="shared" si="47"/>
        <v>2000</v>
      </c>
      <c r="Q168" s="55"/>
      <c r="R168" s="6"/>
      <c r="S168" s="6"/>
    </row>
    <row r="169" spans="1:19" ht="12.75" thickBot="1">
      <c r="A169" s="182" t="s">
        <v>235</v>
      </c>
      <c r="B169" s="131" t="s">
        <v>247</v>
      </c>
      <c r="C169" s="179"/>
      <c r="D169" s="76">
        <v>14000</v>
      </c>
      <c r="E169" s="76">
        <v>2000</v>
      </c>
      <c r="F169" s="76">
        <v>1000</v>
      </c>
      <c r="G169" s="76">
        <v>1000</v>
      </c>
      <c r="H169" s="76">
        <v>1000</v>
      </c>
      <c r="I169" s="76">
        <v>1000</v>
      </c>
      <c r="J169" s="76">
        <v>1000</v>
      </c>
      <c r="K169" s="76">
        <v>1000</v>
      </c>
      <c r="L169" s="76">
        <v>1000</v>
      </c>
      <c r="M169" s="76">
        <v>1000</v>
      </c>
      <c r="N169" s="76">
        <v>1000</v>
      </c>
      <c r="O169" s="83">
        <v>1000</v>
      </c>
      <c r="P169" s="68">
        <v>2000</v>
      </c>
      <c r="Q169" s="55"/>
      <c r="R169" s="6"/>
      <c r="S169" s="6"/>
    </row>
    <row r="170" spans="1:19" ht="72.75" hidden="1" thickBot="1">
      <c r="A170" s="126" t="s">
        <v>83</v>
      </c>
      <c r="B170" s="64" t="s">
        <v>84</v>
      </c>
      <c r="C170" s="108"/>
      <c r="D170" s="66">
        <v>0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103"/>
      <c r="O170" s="104"/>
      <c r="P170" s="105"/>
      <c r="Q170" s="55"/>
      <c r="R170" s="6"/>
      <c r="S170" s="6"/>
    </row>
    <row r="171" spans="1:19" ht="21.75" customHeight="1" thickBot="1" thickTop="1">
      <c r="A171" s="145" t="s">
        <v>248</v>
      </c>
      <c r="B171" s="50" t="s">
        <v>249</v>
      </c>
      <c r="C171" s="146"/>
      <c r="D171" s="52">
        <f>D172</f>
        <v>62500</v>
      </c>
      <c r="E171" s="52">
        <f aca="true" t="shared" si="48" ref="E171:P172">E172</f>
        <v>10416</v>
      </c>
      <c r="F171" s="52">
        <f t="shared" si="48"/>
        <v>10416</v>
      </c>
      <c r="G171" s="52">
        <f t="shared" si="48"/>
        <v>10416</v>
      </c>
      <c r="H171" s="52">
        <f t="shared" si="48"/>
        <v>10416</v>
      </c>
      <c r="I171" s="52">
        <f t="shared" si="48"/>
        <v>10416</v>
      </c>
      <c r="J171" s="52">
        <f t="shared" si="48"/>
        <v>10420</v>
      </c>
      <c r="K171" s="52">
        <f t="shared" si="48"/>
        <v>0</v>
      </c>
      <c r="L171" s="52">
        <f t="shared" si="48"/>
        <v>0</v>
      </c>
      <c r="M171" s="52">
        <f t="shared" si="48"/>
        <v>0</v>
      </c>
      <c r="N171" s="52">
        <f t="shared" si="48"/>
        <v>0</v>
      </c>
      <c r="O171" s="53">
        <f t="shared" si="48"/>
        <v>0</v>
      </c>
      <c r="P171" s="54">
        <f t="shared" si="48"/>
        <v>0</v>
      </c>
      <c r="Q171" s="55"/>
      <c r="R171" s="6"/>
      <c r="S171" s="6"/>
    </row>
    <row r="172" spans="1:19" s="183" customFormat="1" ht="22.5" customHeight="1" thickTop="1">
      <c r="A172" s="150" t="s">
        <v>250</v>
      </c>
      <c r="B172" s="58" t="s">
        <v>251</v>
      </c>
      <c r="C172" s="151"/>
      <c r="D172" s="60">
        <f>D173</f>
        <v>62500</v>
      </c>
      <c r="E172" s="60">
        <f t="shared" si="48"/>
        <v>10416</v>
      </c>
      <c r="F172" s="60">
        <f t="shared" si="48"/>
        <v>10416</v>
      </c>
      <c r="G172" s="60">
        <f t="shared" si="48"/>
        <v>10416</v>
      </c>
      <c r="H172" s="60">
        <f t="shared" si="48"/>
        <v>10416</v>
      </c>
      <c r="I172" s="60">
        <f t="shared" si="48"/>
        <v>10416</v>
      </c>
      <c r="J172" s="60">
        <f t="shared" si="48"/>
        <v>10420</v>
      </c>
      <c r="K172" s="60">
        <f t="shared" si="48"/>
        <v>0</v>
      </c>
      <c r="L172" s="60">
        <f t="shared" si="48"/>
        <v>0</v>
      </c>
      <c r="M172" s="60">
        <f t="shared" si="48"/>
        <v>0</v>
      </c>
      <c r="N172" s="60">
        <f t="shared" si="48"/>
        <v>0</v>
      </c>
      <c r="O172" s="61">
        <f t="shared" si="48"/>
        <v>0</v>
      </c>
      <c r="P172" s="62">
        <f t="shared" si="48"/>
        <v>0</v>
      </c>
      <c r="Q172" s="55"/>
      <c r="R172" s="6"/>
      <c r="S172" s="6"/>
    </row>
    <row r="173" spans="1:19" ht="75" customHeight="1" thickBot="1">
      <c r="A173" s="126" t="s">
        <v>252</v>
      </c>
      <c r="B173" s="64" t="s">
        <v>253</v>
      </c>
      <c r="C173" s="108"/>
      <c r="D173" s="66">
        <v>62500</v>
      </c>
      <c r="E173" s="66">
        <v>10416</v>
      </c>
      <c r="F173" s="66">
        <v>10416</v>
      </c>
      <c r="G173" s="66">
        <v>10416</v>
      </c>
      <c r="H173" s="66">
        <v>10416</v>
      </c>
      <c r="I173" s="66">
        <v>10416</v>
      </c>
      <c r="J173" s="66">
        <v>10420</v>
      </c>
      <c r="K173" s="66">
        <v>0</v>
      </c>
      <c r="L173" s="66">
        <v>0</v>
      </c>
      <c r="M173" s="66">
        <v>0</v>
      </c>
      <c r="N173" s="66">
        <v>0</v>
      </c>
      <c r="O173" s="67">
        <v>0</v>
      </c>
      <c r="P173" s="77">
        <v>0</v>
      </c>
      <c r="Q173" s="55"/>
      <c r="R173" s="6"/>
      <c r="S173" s="6"/>
    </row>
    <row r="174" spans="1:19" ht="21" customHeight="1" thickBot="1" thickTop="1">
      <c r="A174" s="49" t="s">
        <v>254</v>
      </c>
      <c r="B174" s="50" t="s">
        <v>255</v>
      </c>
      <c r="C174" s="128"/>
      <c r="D174" s="52">
        <f>D175</f>
        <v>9000</v>
      </c>
      <c r="E174" s="52">
        <f aca="true" t="shared" si="49" ref="E174:P174">E175</f>
        <v>750</v>
      </c>
      <c r="F174" s="52">
        <f t="shared" si="49"/>
        <v>750</v>
      </c>
      <c r="G174" s="52">
        <f t="shared" si="49"/>
        <v>750</v>
      </c>
      <c r="H174" s="52">
        <f t="shared" si="49"/>
        <v>750</v>
      </c>
      <c r="I174" s="52">
        <f t="shared" si="49"/>
        <v>750</v>
      </c>
      <c r="J174" s="52">
        <f t="shared" si="49"/>
        <v>750</v>
      </c>
      <c r="K174" s="52">
        <f t="shared" si="49"/>
        <v>750</v>
      </c>
      <c r="L174" s="52">
        <f t="shared" si="49"/>
        <v>750</v>
      </c>
      <c r="M174" s="52">
        <f t="shared" si="49"/>
        <v>750</v>
      </c>
      <c r="N174" s="52">
        <f t="shared" si="49"/>
        <v>750</v>
      </c>
      <c r="O174" s="53">
        <f t="shared" si="49"/>
        <v>750</v>
      </c>
      <c r="P174" s="54">
        <f t="shared" si="49"/>
        <v>750</v>
      </c>
      <c r="Q174" s="55">
        <f>SUM(H174:P174)</f>
        <v>6750</v>
      </c>
      <c r="R174" s="6"/>
      <c r="S174" s="6"/>
    </row>
    <row r="175" spans="1:19" s="183" customFormat="1" ht="62.25" customHeight="1" thickTop="1">
      <c r="A175" s="96" t="s">
        <v>256</v>
      </c>
      <c r="B175" s="97" t="s">
        <v>257</v>
      </c>
      <c r="C175" s="117" t="s">
        <v>68</v>
      </c>
      <c r="D175" s="66">
        <f>D176</f>
        <v>9000</v>
      </c>
      <c r="E175" s="66">
        <v>750</v>
      </c>
      <c r="F175" s="66">
        <v>750</v>
      </c>
      <c r="G175" s="66">
        <v>750</v>
      </c>
      <c r="H175" s="66">
        <v>750</v>
      </c>
      <c r="I175" s="66">
        <v>750</v>
      </c>
      <c r="J175" s="66">
        <v>750</v>
      </c>
      <c r="K175" s="66">
        <v>750</v>
      </c>
      <c r="L175" s="66">
        <v>750</v>
      </c>
      <c r="M175" s="66">
        <v>750</v>
      </c>
      <c r="N175" s="66">
        <v>750</v>
      </c>
      <c r="O175" s="67">
        <v>750</v>
      </c>
      <c r="P175" s="77">
        <v>750</v>
      </c>
      <c r="Q175" s="55">
        <f>SUM(H175:P175)</f>
        <v>6750</v>
      </c>
      <c r="R175" s="6"/>
      <c r="S175" s="6"/>
    </row>
    <row r="176" spans="1:19" ht="84.75" thickBot="1">
      <c r="A176" s="135" t="s">
        <v>66</v>
      </c>
      <c r="B176" s="136" t="s">
        <v>67</v>
      </c>
      <c r="C176" s="123"/>
      <c r="D176" s="76">
        <v>9000</v>
      </c>
      <c r="E176" s="76">
        <v>750</v>
      </c>
      <c r="F176" s="76">
        <v>750</v>
      </c>
      <c r="G176" s="76">
        <v>750</v>
      </c>
      <c r="H176" s="76">
        <v>750</v>
      </c>
      <c r="I176" s="76">
        <v>750</v>
      </c>
      <c r="J176" s="76">
        <v>750</v>
      </c>
      <c r="K176" s="76">
        <v>750</v>
      </c>
      <c r="L176" s="76">
        <v>750</v>
      </c>
      <c r="M176" s="76">
        <v>750</v>
      </c>
      <c r="N176" s="76">
        <v>750</v>
      </c>
      <c r="O176" s="83">
        <v>750</v>
      </c>
      <c r="P176" s="68">
        <v>750</v>
      </c>
      <c r="Q176" s="55">
        <f>SUM(H176:P176)</f>
        <v>6750</v>
      </c>
      <c r="R176" s="6"/>
      <c r="S176" s="6"/>
    </row>
    <row r="177" spans="1:19" ht="17.25" customHeight="1" thickBot="1" thickTop="1">
      <c r="A177" s="49" t="s">
        <v>258</v>
      </c>
      <c r="B177" s="50" t="s">
        <v>259</v>
      </c>
      <c r="C177" s="128"/>
      <c r="D177" s="52">
        <f>D178+D180+D184+D186+D190+D193+D199+D201+D207+D210+D213+D215</f>
        <v>21079200</v>
      </c>
      <c r="E177" s="52">
        <f aca="true" t="shared" si="50" ref="E177:P177">E178+E180+E184+E186+E190+E193+E199+E201+E207+E210+E213+E215</f>
        <v>1757130</v>
      </c>
      <c r="F177" s="52">
        <f t="shared" si="50"/>
        <v>1757090</v>
      </c>
      <c r="G177" s="52">
        <f t="shared" si="50"/>
        <v>1757227</v>
      </c>
      <c r="H177" s="52">
        <f t="shared" si="50"/>
        <v>1757570</v>
      </c>
      <c r="I177" s="52">
        <f t="shared" si="50"/>
        <v>1756565</v>
      </c>
      <c r="J177" s="52">
        <f t="shared" si="50"/>
        <v>1756117</v>
      </c>
      <c r="K177" s="52">
        <f t="shared" si="50"/>
        <v>1756065</v>
      </c>
      <c r="L177" s="52">
        <f t="shared" si="50"/>
        <v>1756065</v>
      </c>
      <c r="M177" s="52">
        <f t="shared" si="50"/>
        <v>1756121</v>
      </c>
      <c r="N177" s="52">
        <f t="shared" si="50"/>
        <v>1756060</v>
      </c>
      <c r="O177" s="53">
        <f t="shared" si="50"/>
        <v>1756064</v>
      </c>
      <c r="P177" s="54">
        <f t="shared" si="50"/>
        <v>1757126</v>
      </c>
      <c r="Q177" s="55">
        <f aca="true" t="shared" si="51" ref="Q177:Q221">SUM(H177:P177)</f>
        <v>15807753</v>
      </c>
      <c r="R177" s="6"/>
      <c r="S177" s="6"/>
    </row>
    <row r="178" spans="1:19" ht="6.75" customHeight="1" hidden="1">
      <c r="A178" s="57" t="s">
        <v>260</v>
      </c>
      <c r="B178" s="58" t="s">
        <v>261</v>
      </c>
      <c r="C178" s="129" t="s">
        <v>68</v>
      </c>
      <c r="D178" s="60">
        <f>D179</f>
        <v>0</v>
      </c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/>
      <c r="P178" s="62"/>
      <c r="Q178" s="55">
        <f t="shared" si="51"/>
        <v>0</v>
      </c>
      <c r="R178" s="6"/>
      <c r="S178" s="6"/>
    </row>
    <row r="179" spans="1:19" ht="12.75" customHeight="1" hidden="1">
      <c r="A179" s="135" t="s">
        <v>262</v>
      </c>
      <c r="B179" s="136" t="s">
        <v>263</v>
      </c>
      <c r="C179" s="123"/>
      <c r="D179" s="116">
        <v>0</v>
      </c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9"/>
      <c r="P179" s="120"/>
      <c r="Q179" s="55">
        <f t="shared" si="51"/>
        <v>0</v>
      </c>
      <c r="R179" s="6"/>
      <c r="S179" s="6"/>
    </row>
    <row r="180" spans="1:19" ht="15" customHeight="1" thickTop="1">
      <c r="A180" s="69" t="s">
        <v>264</v>
      </c>
      <c r="B180" s="70" t="s">
        <v>265</v>
      </c>
      <c r="C180" s="123"/>
      <c r="D180" s="72">
        <f>SUM(D181:D182)</f>
        <v>450200</v>
      </c>
      <c r="E180" s="72">
        <f aca="true" t="shared" si="52" ref="E180:P180">SUM(E181:E182)</f>
        <v>37550</v>
      </c>
      <c r="F180" s="72">
        <f t="shared" si="52"/>
        <v>37510</v>
      </c>
      <c r="G180" s="72">
        <f t="shared" si="52"/>
        <v>37510</v>
      </c>
      <c r="H180" s="72">
        <f t="shared" si="52"/>
        <v>37510</v>
      </c>
      <c r="I180" s="72">
        <f t="shared" si="52"/>
        <v>37510</v>
      </c>
      <c r="J180" s="72">
        <f t="shared" si="52"/>
        <v>37510</v>
      </c>
      <c r="K180" s="72">
        <f t="shared" si="52"/>
        <v>37510</v>
      </c>
      <c r="L180" s="72">
        <f t="shared" si="52"/>
        <v>37510</v>
      </c>
      <c r="M180" s="72">
        <f t="shared" si="52"/>
        <v>37510</v>
      </c>
      <c r="N180" s="72">
        <f t="shared" si="52"/>
        <v>37510</v>
      </c>
      <c r="O180" s="73">
        <f t="shared" si="52"/>
        <v>37510</v>
      </c>
      <c r="P180" s="74">
        <f t="shared" si="52"/>
        <v>37550</v>
      </c>
      <c r="Q180" s="55">
        <f t="shared" si="51"/>
        <v>337630</v>
      </c>
      <c r="R180" s="6"/>
      <c r="S180" s="6"/>
    </row>
    <row r="181" spans="1:19" ht="24">
      <c r="A181" s="80" t="s">
        <v>235</v>
      </c>
      <c r="B181" s="81" t="s">
        <v>266</v>
      </c>
      <c r="C181" s="82" t="s">
        <v>267</v>
      </c>
      <c r="D181" s="76">
        <v>200</v>
      </c>
      <c r="E181" s="76">
        <v>50</v>
      </c>
      <c r="F181" s="76">
        <v>10</v>
      </c>
      <c r="G181" s="76">
        <v>10</v>
      </c>
      <c r="H181" s="76">
        <v>10</v>
      </c>
      <c r="I181" s="76">
        <v>10</v>
      </c>
      <c r="J181" s="76">
        <v>10</v>
      </c>
      <c r="K181" s="76">
        <v>10</v>
      </c>
      <c r="L181" s="76">
        <v>10</v>
      </c>
      <c r="M181" s="76">
        <v>10</v>
      </c>
      <c r="N181" s="76">
        <v>10</v>
      </c>
      <c r="O181" s="83">
        <v>10</v>
      </c>
      <c r="P181" s="68">
        <v>50</v>
      </c>
      <c r="Q181" s="55">
        <f t="shared" si="51"/>
        <v>130</v>
      </c>
      <c r="R181" s="6"/>
      <c r="S181" s="6"/>
    </row>
    <row r="182" spans="1:19" ht="72">
      <c r="A182" s="63" t="s">
        <v>94</v>
      </c>
      <c r="B182" s="64" t="s">
        <v>95</v>
      </c>
      <c r="C182" s="65" t="s">
        <v>68</v>
      </c>
      <c r="D182" s="66">
        <v>450000</v>
      </c>
      <c r="E182" s="66">
        <v>37500</v>
      </c>
      <c r="F182" s="66">
        <v>37500</v>
      </c>
      <c r="G182" s="66">
        <v>37500</v>
      </c>
      <c r="H182" s="66">
        <v>37500</v>
      </c>
      <c r="I182" s="66">
        <v>37500</v>
      </c>
      <c r="J182" s="66">
        <v>37500</v>
      </c>
      <c r="K182" s="66">
        <v>37500</v>
      </c>
      <c r="L182" s="66">
        <v>37500</v>
      </c>
      <c r="M182" s="66">
        <v>37500</v>
      </c>
      <c r="N182" s="66">
        <v>37500</v>
      </c>
      <c r="O182" s="67">
        <v>37500</v>
      </c>
      <c r="P182" s="77">
        <v>37500</v>
      </c>
      <c r="Q182" s="55">
        <f t="shared" si="51"/>
        <v>337500</v>
      </c>
      <c r="R182" s="6"/>
      <c r="S182" s="6"/>
    </row>
    <row r="183" spans="1:19" ht="36" hidden="1">
      <c r="A183" s="84" t="s">
        <v>268</v>
      </c>
      <c r="B183" s="85" t="s">
        <v>269</v>
      </c>
      <c r="C183" s="86"/>
      <c r="D183" s="66">
        <v>0</v>
      </c>
      <c r="E183" s="66"/>
      <c r="F183" s="66"/>
      <c r="G183" s="66">
        <v>0</v>
      </c>
      <c r="H183" s="87"/>
      <c r="I183" s="87"/>
      <c r="J183" s="87"/>
      <c r="K183" s="87"/>
      <c r="L183" s="87"/>
      <c r="M183" s="87"/>
      <c r="N183" s="87"/>
      <c r="O183" s="88"/>
      <c r="P183" s="89"/>
      <c r="Q183" s="55"/>
      <c r="R183" s="6"/>
      <c r="S183" s="6"/>
    </row>
    <row r="184" spans="1:19" ht="12" hidden="1">
      <c r="A184" s="96" t="s">
        <v>270</v>
      </c>
      <c r="B184" s="97" t="s">
        <v>271</v>
      </c>
      <c r="C184" s="86"/>
      <c r="D184" s="72">
        <v>0</v>
      </c>
      <c r="E184" s="72"/>
      <c r="F184" s="72"/>
      <c r="G184" s="72"/>
      <c r="H184" s="87"/>
      <c r="I184" s="87"/>
      <c r="J184" s="87"/>
      <c r="K184" s="87"/>
      <c r="L184" s="87"/>
      <c r="M184" s="87"/>
      <c r="N184" s="87"/>
      <c r="O184" s="88"/>
      <c r="P184" s="89"/>
      <c r="Q184" s="55"/>
      <c r="R184" s="6"/>
      <c r="S184" s="6"/>
    </row>
    <row r="185" spans="1:19" ht="24" hidden="1">
      <c r="A185" s="84" t="s">
        <v>272</v>
      </c>
      <c r="B185" s="85" t="s">
        <v>37</v>
      </c>
      <c r="C185" s="86"/>
      <c r="D185" s="66">
        <v>0</v>
      </c>
      <c r="E185" s="66"/>
      <c r="F185" s="66"/>
      <c r="G185" s="87"/>
      <c r="H185" s="87"/>
      <c r="I185" s="87"/>
      <c r="J185" s="87"/>
      <c r="K185" s="87"/>
      <c r="L185" s="87"/>
      <c r="M185" s="87"/>
      <c r="N185" s="87"/>
      <c r="O185" s="88"/>
      <c r="P185" s="89"/>
      <c r="Q185" s="55"/>
      <c r="R185" s="6"/>
      <c r="S185" s="6"/>
    </row>
    <row r="186" spans="1:19" ht="48">
      <c r="A186" s="69" t="s">
        <v>273</v>
      </c>
      <c r="B186" s="78" t="s">
        <v>274</v>
      </c>
      <c r="C186" s="122"/>
      <c r="D186" s="72">
        <f>SUM(D187:D189)</f>
        <v>17182000</v>
      </c>
      <c r="E186" s="72">
        <f aca="true" t="shared" si="53" ref="E186:P186">SUM(E187:E189)</f>
        <v>1431832</v>
      </c>
      <c r="F186" s="72">
        <f t="shared" si="53"/>
        <v>1431832</v>
      </c>
      <c r="G186" s="72">
        <f t="shared" si="53"/>
        <v>1431834</v>
      </c>
      <c r="H186" s="72">
        <f t="shared" si="53"/>
        <v>1431832</v>
      </c>
      <c r="I186" s="72">
        <f t="shared" si="53"/>
        <v>1431832</v>
      </c>
      <c r="J186" s="72">
        <f t="shared" si="53"/>
        <v>1431834</v>
      </c>
      <c r="K186" s="72">
        <f t="shared" si="53"/>
        <v>1431832</v>
      </c>
      <c r="L186" s="72">
        <f t="shared" si="53"/>
        <v>1431832</v>
      </c>
      <c r="M186" s="72">
        <f t="shared" si="53"/>
        <v>1431834</v>
      </c>
      <c r="N186" s="72">
        <f t="shared" si="53"/>
        <v>1431832</v>
      </c>
      <c r="O186" s="73">
        <f t="shared" si="53"/>
        <v>1431836</v>
      </c>
      <c r="P186" s="74">
        <f t="shared" si="53"/>
        <v>1431838</v>
      </c>
      <c r="Q186" s="55"/>
      <c r="R186" s="6"/>
      <c r="S186" s="6"/>
    </row>
    <row r="187" spans="1:19" ht="72">
      <c r="A187" s="63" t="s">
        <v>94</v>
      </c>
      <c r="B187" s="64" t="s">
        <v>95</v>
      </c>
      <c r="C187" s="108"/>
      <c r="D187" s="66">
        <v>17168000</v>
      </c>
      <c r="E187" s="66">
        <v>1430666</v>
      </c>
      <c r="F187" s="66">
        <v>1430666</v>
      </c>
      <c r="G187" s="66">
        <v>1430666</v>
      </c>
      <c r="H187" s="66">
        <v>1430666</v>
      </c>
      <c r="I187" s="66">
        <v>1430666</v>
      </c>
      <c r="J187" s="66">
        <v>1430666</v>
      </c>
      <c r="K187" s="66">
        <v>1430666</v>
      </c>
      <c r="L187" s="66">
        <v>1430666</v>
      </c>
      <c r="M187" s="66">
        <v>1430666</v>
      </c>
      <c r="N187" s="66">
        <v>1430666</v>
      </c>
      <c r="O187" s="67">
        <v>1430670</v>
      </c>
      <c r="P187" s="77">
        <v>1430670</v>
      </c>
      <c r="Q187" s="6"/>
      <c r="R187" s="6"/>
      <c r="S187" s="6"/>
    </row>
    <row r="188" spans="1:19" ht="84">
      <c r="A188" s="63" t="s">
        <v>66</v>
      </c>
      <c r="B188" s="64" t="s">
        <v>67</v>
      </c>
      <c r="C188" s="108"/>
      <c r="D188" s="66">
        <v>14000</v>
      </c>
      <c r="E188" s="66">
        <v>1166</v>
      </c>
      <c r="F188" s="66">
        <v>1166</v>
      </c>
      <c r="G188" s="66">
        <v>1168</v>
      </c>
      <c r="H188" s="66">
        <v>1166</v>
      </c>
      <c r="I188" s="66">
        <v>1166</v>
      </c>
      <c r="J188" s="66">
        <v>1168</v>
      </c>
      <c r="K188" s="66">
        <v>1166</v>
      </c>
      <c r="L188" s="66">
        <v>1166</v>
      </c>
      <c r="M188" s="66">
        <v>1168</v>
      </c>
      <c r="N188" s="66">
        <v>1166</v>
      </c>
      <c r="O188" s="67">
        <v>1166</v>
      </c>
      <c r="P188" s="77">
        <v>1168</v>
      </c>
      <c r="Q188" s="6"/>
      <c r="R188" s="6"/>
      <c r="S188" s="6"/>
    </row>
    <row r="189" spans="1:19" ht="84" hidden="1">
      <c r="A189" s="84" t="s">
        <v>268</v>
      </c>
      <c r="B189" s="164" t="s">
        <v>275</v>
      </c>
      <c r="C189" s="122"/>
      <c r="D189" s="66">
        <v>0</v>
      </c>
      <c r="E189" s="66"/>
      <c r="F189" s="66"/>
      <c r="G189" s="66"/>
      <c r="H189" s="87"/>
      <c r="I189" s="87"/>
      <c r="J189" s="87"/>
      <c r="K189" s="87"/>
      <c r="L189" s="87"/>
      <c r="M189" s="87"/>
      <c r="N189" s="87"/>
      <c r="O189" s="88"/>
      <c r="P189" s="89"/>
      <c r="Q189" s="55"/>
      <c r="R189" s="6"/>
      <c r="S189" s="6"/>
    </row>
    <row r="190" spans="1:19" s="56" customFormat="1" ht="60">
      <c r="A190" s="69" t="s">
        <v>276</v>
      </c>
      <c r="B190" s="70" t="s">
        <v>277</v>
      </c>
      <c r="C190" s="123"/>
      <c r="D190" s="72">
        <f>D191</f>
        <v>197000</v>
      </c>
      <c r="E190" s="72">
        <f aca="true" t="shared" si="54" ref="E190:P190">E191</f>
        <v>16416</v>
      </c>
      <c r="F190" s="72">
        <f t="shared" si="54"/>
        <v>16416</v>
      </c>
      <c r="G190" s="72">
        <f t="shared" si="54"/>
        <v>16416</v>
      </c>
      <c r="H190" s="72">
        <f t="shared" si="54"/>
        <v>16416</v>
      </c>
      <c r="I190" s="72">
        <f t="shared" si="54"/>
        <v>16416</v>
      </c>
      <c r="J190" s="72">
        <f t="shared" si="54"/>
        <v>16416</v>
      </c>
      <c r="K190" s="72">
        <f t="shared" si="54"/>
        <v>16416</v>
      </c>
      <c r="L190" s="72">
        <f t="shared" si="54"/>
        <v>16416</v>
      </c>
      <c r="M190" s="72">
        <f t="shared" si="54"/>
        <v>16420</v>
      </c>
      <c r="N190" s="72">
        <f t="shared" si="54"/>
        <v>16416</v>
      </c>
      <c r="O190" s="73">
        <f t="shared" si="54"/>
        <v>16416</v>
      </c>
      <c r="P190" s="74">
        <f t="shared" si="54"/>
        <v>16420</v>
      </c>
      <c r="Q190" s="55">
        <f t="shared" si="51"/>
        <v>147752</v>
      </c>
      <c r="R190" s="6"/>
      <c r="S190" s="6"/>
    </row>
    <row r="191" spans="1:19" ht="72">
      <c r="A191" s="80" t="s">
        <v>94</v>
      </c>
      <c r="B191" s="81" t="s">
        <v>95</v>
      </c>
      <c r="C191" s="82" t="s">
        <v>68</v>
      </c>
      <c r="D191" s="66">
        <v>197000</v>
      </c>
      <c r="E191" s="66">
        <v>16416</v>
      </c>
      <c r="F191" s="66">
        <v>16416</v>
      </c>
      <c r="G191" s="66">
        <v>16416</v>
      </c>
      <c r="H191" s="66">
        <v>16416</v>
      </c>
      <c r="I191" s="66">
        <v>16416</v>
      </c>
      <c r="J191" s="66">
        <v>16416</v>
      </c>
      <c r="K191" s="66">
        <v>16416</v>
      </c>
      <c r="L191" s="66">
        <v>16416</v>
      </c>
      <c r="M191" s="66">
        <v>16420</v>
      </c>
      <c r="N191" s="66">
        <v>16416</v>
      </c>
      <c r="O191" s="67">
        <v>16416</v>
      </c>
      <c r="P191" s="77">
        <v>16420</v>
      </c>
      <c r="Q191" s="55"/>
      <c r="R191" s="6"/>
      <c r="S191" s="6"/>
    </row>
    <row r="192" spans="1:19" ht="60" hidden="1">
      <c r="A192" s="84" t="s">
        <v>278</v>
      </c>
      <c r="B192" s="85" t="s">
        <v>279</v>
      </c>
      <c r="C192" s="86"/>
      <c r="D192" s="87">
        <v>0</v>
      </c>
      <c r="E192" s="87"/>
      <c r="F192" s="87"/>
      <c r="G192" s="87">
        <v>0</v>
      </c>
      <c r="H192" s="87"/>
      <c r="I192" s="87"/>
      <c r="J192" s="87"/>
      <c r="K192" s="87"/>
      <c r="L192" s="87"/>
      <c r="M192" s="87"/>
      <c r="N192" s="87"/>
      <c r="O192" s="88"/>
      <c r="P192" s="89"/>
      <c r="Q192" s="55"/>
      <c r="R192" s="6"/>
      <c r="S192" s="6"/>
    </row>
    <row r="193" spans="1:19" ht="48">
      <c r="A193" s="69" t="s">
        <v>280</v>
      </c>
      <c r="B193" s="70" t="s">
        <v>281</v>
      </c>
      <c r="C193" s="123"/>
      <c r="D193" s="72">
        <f>SUM(D194:D198)</f>
        <v>1974000</v>
      </c>
      <c r="E193" s="72">
        <f aca="true" t="shared" si="55" ref="E193:P193">SUM(E194:E198)</f>
        <v>164499</v>
      </c>
      <c r="F193" s="72">
        <f t="shared" si="55"/>
        <v>164499</v>
      </c>
      <c r="G193" s="72">
        <f t="shared" si="55"/>
        <v>164499</v>
      </c>
      <c r="H193" s="72">
        <f t="shared" si="55"/>
        <v>164499</v>
      </c>
      <c r="I193" s="72">
        <f t="shared" si="55"/>
        <v>164499</v>
      </c>
      <c r="J193" s="72">
        <f t="shared" si="55"/>
        <v>164499</v>
      </c>
      <c r="K193" s="72">
        <f t="shared" si="55"/>
        <v>164499</v>
      </c>
      <c r="L193" s="72">
        <f t="shared" si="55"/>
        <v>164499</v>
      </c>
      <c r="M193" s="72">
        <f t="shared" si="55"/>
        <v>164499</v>
      </c>
      <c r="N193" s="72">
        <f t="shared" si="55"/>
        <v>164499</v>
      </c>
      <c r="O193" s="73">
        <f t="shared" si="55"/>
        <v>164499</v>
      </c>
      <c r="P193" s="74">
        <f t="shared" si="55"/>
        <v>164511</v>
      </c>
      <c r="Q193" s="55">
        <f t="shared" si="51"/>
        <v>1480503</v>
      </c>
      <c r="R193" s="6"/>
      <c r="S193" s="6"/>
    </row>
    <row r="194" spans="1:19" s="14" customFormat="1" ht="34.5" hidden="1">
      <c r="A194" s="80" t="s">
        <v>216</v>
      </c>
      <c r="B194" s="81" t="s">
        <v>282</v>
      </c>
      <c r="C194" s="82" t="s">
        <v>267</v>
      </c>
      <c r="D194" s="76">
        <v>0</v>
      </c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83"/>
      <c r="P194" s="68"/>
      <c r="Q194" s="55">
        <f t="shared" si="51"/>
        <v>0</v>
      </c>
      <c r="R194" s="6"/>
      <c r="S194" s="6"/>
    </row>
    <row r="195" spans="1:19" ht="35.25">
      <c r="A195" s="63" t="s">
        <v>36</v>
      </c>
      <c r="B195" s="64" t="s">
        <v>283</v>
      </c>
      <c r="C195" s="65" t="s">
        <v>267</v>
      </c>
      <c r="D195" s="66">
        <v>5000</v>
      </c>
      <c r="E195" s="66">
        <v>416</v>
      </c>
      <c r="F195" s="66">
        <v>416</v>
      </c>
      <c r="G195" s="66">
        <v>416</v>
      </c>
      <c r="H195" s="66">
        <v>416</v>
      </c>
      <c r="I195" s="66">
        <v>416</v>
      </c>
      <c r="J195" s="66">
        <v>416</v>
      </c>
      <c r="K195" s="66">
        <v>416</v>
      </c>
      <c r="L195" s="66">
        <v>416</v>
      </c>
      <c r="M195" s="66">
        <v>416</v>
      </c>
      <c r="N195" s="66">
        <v>416</v>
      </c>
      <c r="O195" s="67">
        <v>416</v>
      </c>
      <c r="P195" s="77">
        <v>424</v>
      </c>
      <c r="Q195" s="55">
        <f t="shared" si="51"/>
        <v>3752</v>
      </c>
      <c r="R195" s="6"/>
      <c r="S195" s="6"/>
    </row>
    <row r="196" spans="1:19" ht="72">
      <c r="A196" s="63" t="s">
        <v>94</v>
      </c>
      <c r="B196" s="64" t="s">
        <v>95</v>
      </c>
      <c r="C196" s="65" t="s">
        <v>68</v>
      </c>
      <c r="D196" s="66">
        <v>1092000</v>
      </c>
      <c r="E196" s="66">
        <v>91000</v>
      </c>
      <c r="F196" s="66">
        <v>91000</v>
      </c>
      <c r="G196" s="66">
        <v>91000</v>
      </c>
      <c r="H196" s="66">
        <v>91000</v>
      </c>
      <c r="I196" s="66">
        <v>91000</v>
      </c>
      <c r="J196" s="66">
        <v>91000</v>
      </c>
      <c r="K196" s="66">
        <v>91000</v>
      </c>
      <c r="L196" s="66">
        <v>91000</v>
      </c>
      <c r="M196" s="66">
        <v>91000</v>
      </c>
      <c r="N196" s="66">
        <v>91000</v>
      </c>
      <c r="O196" s="67">
        <v>91000</v>
      </c>
      <c r="P196" s="77">
        <v>91000</v>
      </c>
      <c r="Q196" s="55">
        <f t="shared" si="51"/>
        <v>819000</v>
      </c>
      <c r="R196" s="6"/>
      <c r="S196" s="6"/>
    </row>
    <row r="197" spans="1:19" ht="48">
      <c r="A197" s="63" t="s">
        <v>224</v>
      </c>
      <c r="B197" s="101" t="s">
        <v>225</v>
      </c>
      <c r="C197" s="108"/>
      <c r="D197" s="66">
        <v>877000</v>
      </c>
      <c r="E197" s="66">
        <v>73083</v>
      </c>
      <c r="F197" s="66">
        <v>73083</v>
      </c>
      <c r="G197" s="66">
        <v>73083</v>
      </c>
      <c r="H197" s="66">
        <v>73083</v>
      </c>
      <c r="I197" s="66">
        <v>73083</v>
      </c>
      <c r="J197" s="66">
        <v>73083</v>
      </c>
      <c r="K197" s="66">
        <v>73083</v>
      </c>
      <c r="L197" s="66">
        <v>73083</v>
      </c>
      <c r="M197" s="66">
        <v>73083</v>
      </c>
      <c r="N197" s="66">
        <v>73083</v>
      </c>
      <c r="O197" s="67">
        <v>73083</v>
      </c>
      <c r="P197" s="77">
        <v>73087</v>
      </c>
      <c r="Q197" s="55"/>
      <c r="R197" s="6"/>
      <c r="S197" s="6"/>
    </row>
    <row r="198" spans="1:19" ht="60" hidden="1">
      <c r="A198" s="84" t="s">
        <v>278</v>
      </c>
      <c r="B198" s="85" t="s">
        <v>279</v>
      </c>
      <c r="C198" s="86"/>
      <c r="D198" s="66"/>
      <c r="E198" s="66"/>
      <c r="F198" s="66"/>
      <c r="G198" s="66"/>
      <c r="H198" s="87"/>
      <c r="I198" s="87"/>
      <c r="J198" s="87"/>
      <c r="K198" s="87"/>
      <c r="L198" s="87"/>
      <c r="M198" s="87"/>
      <c r="N198" s="87"/>
      <c r="O198" s="88"/>
      <c r="P198" s="89"/>
      <c r="Q198" s="55"/>
      <c r="R198" s="6"/>
      <c r="S198" s="6"/>
    </row>
    <row r="199" spans="1:19" ht="16.5" customHeight="1">
      <c r="A199" s="69" t="s">
        <v>284</v>
      </c>
      <c r="B199" s="70" t="s">
        <v>285</v>
      </c>
      <c r="C199" s="123"/>
      <c r="D199" s="72">
        <f>D200</f>
        <v>30000</v>
      </c>
      <c r="E199" s="72">
        <f>E200</f>
        <v>4000</v>
      </c>
      <c r="F199" s="72">
        <f>F200</f>
        <v>4000</v>
      </c>
      <c r="G199" s="72">
        <f>G200</f>
        <v>3000</v>
      </c>
      <c r="H199" s="72">
        <f>H200</f>
        <v>3000</v>
      </c>
      <c r="I199" s="72">
        <f aca="true" t="shared" si="56" ref="I199:P199">SUM(I200:I200)</f>
        <v>2000</v>
      </c>
      <c r="J199" s="72">
        <f t="shared" si="56"/>
        <v>2000</v>
      </c>
      <c r="K199" s="72">
        <f t="shared" si="56"/>
        <v>2000</v>
      </c>
      <c r="L199" s="72">
        <f t="shared" si="56"/>
        <v>2000</v>
      </c>
      <c r="M199" s="72">
        <f t="shared" si="56"/>
        <v>2000</v>
      </c>
      <c r="N199" s="72">
        <f t="shared" si="56"/>
        <v>2000</v>
      </c>
      <c r="O199" s="73">
        <f t="shared" si="56"/>
        <v>2000</v>
      </c>
      <c r="P199" s="74">
        <f t="shared" si="56"/>
        <v>2000</v>
      </c>
      <c r="Q199" s="55">
        <f t="shared" si="51"/>
        <v>19000</v>
      </c>
      <c r="R199" s="6"/>
      <c r="S199" s="6"/>
    </row>
    <row r="200" spans="1:19" ht="35.25">
      <c r="A200" s="135" t="s">
        <v>36</v>
      </c>
      <c r="B200" s="136" t="s">
        <v>286</v>
      </c>
      <c r="C200" s="123" t="s">
        <v>267</v>
      </c>
      <c r="D200" s="116">
        <v>30000</v>
      </c>
      <c r="E200" s="116">
        <v>4000</v>
      </c>
      <c r="F200" s="116">
        <v>4000</v>
      </c>
      <c r="G200" s="116">
        <v>3000</v>
      </c>
      <c r="H200" s="116">
        <v>3000</v>
      </c>
      <c r="I200" s="116">
        <v>2000</v>
      </c>
      <c r="J200" s="116">
        <v>2000</v>
      </c>
      <c r="K200" s="116">
        <v>2000</v>
      </c>
      <c r="L200" s="116">
        <v>2000</v>
      </c>
      <c r="M200" s="116">
        <v>2000</v>
      </c>
      <c r="N200" s="116">
        <v>2000</v>
      </c>
      <c r="O200" s="119">
        <v>2000</v>
      </c>
      <c r="P200" s="120">
        <v>2000</v>
      </c>
      <c r="Q200" s="55">
        <f t="shared" si="51"/>
        <v>19000</v>
      </c>
      <c r="R200" s="6"/>
      <c r="S200" s="6"/>
    </row>
    <row r="201" spans="1:19" s="183" customFormat="1" ht="48" hidden="1">
      <c r="A201" s="69" t="s">
        <v>287</v>
      </c>
      <c r="B201" s="70" t="s">
        <v>288</v>
      </c>
      <c r="C201" s="123" t="s">
        <v>68</v>
      </c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3"/>
      <c r="P201" s="74"/>
      <c r="Q201" s="55">
        <f t="shared" si="51"/>
        <v>0</v>
      </c>
      <c r="R201" s="6"/>
      <c r="S201" s="6"/>
    </row>
    <row r="202" spans="1:19" ht="72" hidden="1">
      <c r="A202" s="80" t="s">
        <v>94</v>
      </c>
      <c r="B202" s="81" t="s">
        <v>95</v>
      </c>
      <c r="C202" s="82"/>
      <c r="D202" s="76">
        <v>0</v>
      </c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83"/>
      <c r="P202" s="68"/>
      <c r="Q202" s="55">
        <f t="shared" si="51"/>
        <v>0</v>
      </c>
      <c r="R202" s="6"/>
      <c r="S202" s="6"/>
    </row>
    <row r="203" spans="1:19" ht="84" hidden="1">
      <c r="A203" s="63" t="s">
        <v>66</v>
      </c>
      <c r="B203" s="64" t="s">
        <v>67</v>
      </c>
      <c r="C203" s="65"/>
      <c r="D203" s="66">
        <v>0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7"/>
      <c r="P203" s="77"/>
      <c r="Q203" s="55">
        <f t="shared" si="51"/>
        <v>0</v>
      </c>
      <c r="R203" s="6"/>
      <c r="S203" s="6"/>
    </row>
    <row r="204" spans="1:19" s="189" customFormat="1" ht="12" hidden="1">
      <c r="A204" s="184"/>
      <c r="B204" s="85" t="s">
        <v>289</v>
      </c>
      <c r="C204" s="1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186">
        <v>2667</v>
      </c>
      <c r="O204" s="187">
        <v>2667</v>
      </c>
      <c r="P204" s="188">
        <v>2667</v>
      </c>
      <c r="Q204" s="55">
        <f t="shared" si="51"/>
        <v>8001</v>
      </c>
      <c r="R204" s="6"/>
      <c r="S204" s="6"/>
    </row>
    <row r="205" spans="1:19" s="189" customFormat="1" ht="24" hidden="1">
      <c r="A205" s="190"/>
      <c r="B205" s="81" t="s">
        <v>138</v>
      </c>
      <c r="C205" s="191"/>
      <c r="D205" s="141"/>
      <c r="E205" s="141"/>
      <c r="F205" s="141"/>
      <c r="G205" s="141"/>
      <c r="H205" s="76"/>
      <c r="I205" s="76"/>
      <c r="J205" s="76"/>
      <c r="K205" s="76"/>
      <c r="L205" s="76"/>
      <c r="M205" s="76"/>
      <c r="N205" s="192">
        <v>3333</v>
      </c>
      <c r="O205" s="193">
        <v>3333</v>
      </c>
      <c r="P205" s="194">
        <v>3333</v>
      </c>
      <c r="Q205" s="55">
        <f t="shared" si="51"/>
        <v>9999</v>
      </c>
      <c r="R205" s="6"/>
      <c r="S205" s="6"/>
    </row>
    <row r="206" spans="1:19" s="189" customFormat="1" ht="60" hidden="1">
      <c r="A206" s="84" t="s">
        <v>278</v>
      </c>
      <c r="B206" s="85" t="s">
        <v>279</v>
      </c>
      <c r="C206" s="1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186"/>
      <c r="O206" s="187"/>
      <c r="P206" s="188"/>
      <c r="Q206" s="55"/>
      <c r="R206" s="6"/>
      <c r="S206" s="6"/>
    </row>
    <row r="207" spans="1:19" ht="16.5" customHeight="1">
      <c r="A207" s="69" t="s">
        <v>290</v>
      </c>
      <c r="B207" s="70" t="s">
        <v>291</v>
      </c>
      <c r="C207" s="123"/>
      <c r="D207" s="72">
        <f>D208+D209</f>
        <v>1181000</v>
      </c>
      <c r="E207" s="72">
        <f aca="true" t="shared" si="57" ref="E207:P207">E208+E209</f>
        <v>98433</v>
      </c>
      <c r="F207" s="72">
        <f t="shared" si="57"/>
        <v>98433</v>
      </c>
      <c r="G207" s="72">
        <f t="shared" si="57"/>
        <v>98468</v>
      </c>
      <c r="H207" s="72">
        <f t="shared" si="57"/>
        <v>98413</v>
      </c>
      <c r="I207" s="72">
        <f t="shared" si="57"/>
        <v>98408</v>
      </c>
      <c r="J207" s="72">
        <f t="shared" si="57"/>
        <v>98408</v>
      </c>
      <c r="K207" s="72">
        <f t="shared" si="57"/>
        <v>98408</v>
      </c>
      <c r="L207" s="72">
        <f t="shared" si="57"/>
        <v>98408</v>
      </c>
      <c r="M207" s="72">
        <f t="shared" si="57"/>
        <v>98408</v>
      </c>
      <c r="N207" s="72">
        <f t="shared" si="57"/>
        <v>98403</v>
      </c>
      <c r="O207" s="73">
        <f t="shared" si="57"/>
        <v>98403</v>
      </c>
      <c r="P207" s="74">
        <f t="shared" si="57"/>
        <v>98407</v>
      </c>
      <c r="Q207" s="55">
        <f t="shared" si="51"/>
        <v>885666</v>
      </c>
      <c r="R207" s="6"/>
      <c r="S207" s="6"/>
    </row>
    <row r="208" spans="1:19" ht="24">
      <c r="A208" s="80" t="s">
        <v>36</v>
      </c>
      <c r="B208" s="81" t="s">
        <v>292</v>
      </c>
      <c r="C208" s="82" t="s">
        <v>267</v>
      </c>
      <c r="D208" s="76">
        <v>1000</v>
      </c>
      <c r="E208" s="76">
        <v>100</v>
      </c>
      <c r="F208" s="76">
        <v>100</v>
      </c>
      <c r="G208" s="76">
        <v>135</v>
      </c>
      <c r="H208" s="76">
        <v>80</v>
      </c>
      <c r="I208" s="76">
        <v>75</v>
      </c>
      <c r="J208" s="76">
        <v>75</v>
      </c>
      <c r="K208" s="76">
        <v>75</v>
      </c>
      <c r="L208" s="76">
        <v>75</v>
      </c>
      <c r="M208" s="76">
        <v>75</v>
      </c>
      <c r="N208" s="76">
        <v>70</v>
      </c>
      <c r="O208" s="83">
        <v>70</v>
      </c>
      <c r="P208" s="68">
        <v>70</v>
      </c>
      <c r="Q208" s="55">
        <f t="shared" si="51"/>
        <v>665</v>
      </c>
      <c r="R208" s="6"/>
      <c r="S208" s="6"/>
    </row>
    <row r="209" spans="1:19" ht="72">
      <c r="A209" s="84" t="s">
        <v>224</v>
      </c>
      <c r="B209" s="85" t="s">
        <v>293</v>
      </c>
      <c r="C209" s="86" t="s">
        <v>68</v>
      </c>
      <c r="D209" s="87">
        <v>1180000</v>
      </c>
      <c r="E209" s="87">
        <v>98333</v>
      </c>
      <c r="F209" s="87">
        <v>98333</v>
      </c>
      <c r="G209" s="87">
        <v>98333</v>
      </c>
      <c r="H209" s="87">
        <v>98333</v>
      </c>
      <c r="I209" s="87">
        <v>98333</v>
      </c>
      <c r="J209" s="87">
        <v>98333</v>
      </c>
      <c r="K209" s="87">
        <v>98333</v>
      </c>
      <c r="L209" s="87">
        <v>98333</v>
      </c>
      <c r="M209" s="87">
        <v>98333</v>
      </c>
      <c r="N209" s="87">
        <v>98333</v>
      </c>
      <c r="O209" s="88">
        <v>98333</v>
      </c>
      <c r="P209" s="89">
        <v>98337</v>
      </c>
      <c r="Q209" s="55">
        <f t="shared" si="51"/>
        <v>885001</v>
      </c>
      <c r="R209" s="6"/>
      <c r="S209" s="6"/>
    </row>
    <row r="210" spans="1:19" ht="24" hidden="1">
      <c r="A210" s="96" t="s">
        <v>294</v>
      </c>
      <c r="B210" s="97" t="s">
        <v>295</v>
      </c>
      <c r="C210" s="86"/>
      <c r="D210" s="109">
        <v>0</v>
      </c>
      <c r="E210" s="109"/>
      <c r="F210" s="109"/>
      <c r="G210" s="109"/>
      <c r="H210" s="87"/>
      <c r="I210" s="87"/>
      <c r="J210" s="87"/>
      <c r="K210" s="87"/>
      <c r="L210" s="87"/>
      <c r="M210" s="87"/>
      <c r="N210" s="87"/>
      <c r="O210" s="88"/>
      <c r="P210" s="89"/>
      <c r="Q210" s="55"/>
      <c r="R210" s="6"/>
      <c r="S210" s="6"/>
    </row>
    <row r="211" spans="1:19" ht="13.5" customHeight="1" hidden="1">
      <c r="A211" s="80" t="s">
        <v>216</v>
      </c>
      <c r="B211" s="81" t="s">
        <v>237</v>
      </c>
      <c r="C211" s="82"/>
      <c r="D211" s="141">
        <v>0</v>
      </c>
      <c r="E211" s="141"/>
      <c r="F211" s="141"/>
      <c r="G211" s="141"/>
      <c r="H211" s="76"/>
      <c r="I211" s="76"/>
      <c r="J211" s="76"/>
      <c r="K211" s="76"/>
      <c r="L211" s="76"/>
      <c r="M211" s="76"/>
      <c r="N211" s="76"/>
      <c r="O211" s="83"/>
      <c r="P211" s="68"/>
      <c r="Q211" s="55"/>
      <c r="R211" s="6"/>
      <c r="S211" s="6"/>
    </row>
    <row r="212" spans="1:19" ht="24" hidden="1">
      <c r="A212" s="84" t="s">
        <v>36</v>
      </c>
      <c r="B212" s="85" t="s">
        <v>37</v>
      </c>
      <c r="C212" s="86"/>
      <c r="D212" s="66">
        <v>0</v>
      </c>
      <c r="E212" s="66"/>
      <c r="F212" s="66"/>
      <c r="G212" s="66"/>
      <c r="H212" s="87"/>
      <c r="I212" s="87"/>
      <c r="J212" s="87"/>
      <c r="K212" s="87"/>
      <c r="L212" s="87"/>
      <c r="M212" s="87"/>
      <c r="N212" s="87"/>
      <c r="O212" s="88"/>
      <c r="P212" s="89"/>
      <c r="Q212" s="55"/>
      <c r="R212" s="6"/>
      <c r="S212" s="6"/>
    </row>
    <row r="213" spans="1:19" s="183" customFormat="1" ht="36">
      <c r="A213" s="69" t="s">
        <v>296</v>
      </c>
      <c r="B213" s="70" t="s">
        <v>297</v>
      </c>
      <c r="C213" s="123"/>
      <c r="D213" s="72">
        <f>D214</f>
        <v>60000</v>
      </c>
      <c r="E213" s="72">
        <f>E214</f>
        <v>4000</v>
      </c>
      <c r="F213" s="72">
        <f>F214</f>
        <v>4000</v>
      </c>
      <c r="G213" s="72">
        <f>G214</f>
        <v>5000</v>
      </c>
      <c r="H213" s="72">
        <f>H214</f>
        <v>5500</v>
      </c>
      <c r="I213" s="72">
        <f aca="true" t="shared" si="58" ref="I213:P213">SUM(I214)</f>
        <v>5500</v>
      </c>
      <c r="J213" s="72">
        <f t="shared" si="58"/>
        <v>5000</v>
      </c>
      <c r="K213" s="72">
        <f t="shared" si="58"/>
        <v>5000</v>
      </c>
      <c r="L213" s="72">
        <f t="shared" si="58"/>
        <v>5000</v>
      </c>
      <c r="M213" s="72">
        <f t="shared" si="58"/>
        <v>5000</v>
      </c>
      <c r="N213" s="72">
        <f t="shared" si="58"/>
        <v>5000</v>
      </c>
      <c r="O213" s="73">
        <f t="shared" si="58"/>
        <v>5000</v>
      </c>
      <c r="P213" s="74">
        <f t="shared" si="58"/>
        <v>6000</v>
      </c>
      <c r="Q213" s="55">
        <f>SUM(H213:P213)</f>
        <v>47000</v>
      </c>
      <c r="R213" s="6"/>
      <c r="S213" s="6"/>
    </row>
    <row r="214" spans="1:19" ht="24">
      <c r="A214" s="135" t="s">
        <v>235</v>
      </c>
      <c r="B214" s="136" t="s">
        <v>298</v>
      </c>
      <c r="C214" s="123" t="s">
        <v>267</v>
      </c>
      <c r="D214" s="87">
        <v>60000</v>
      </c>
      <c r="E214" s="87">
        <v>4000</v>
      </c>
      <c r="F214" s="87">
        <v>4000</v>
      </c>
      <c r="G214" s="87">
        <v>5000</v>
      </c>
      <c r="H214" s="116">
        <v>5500</v>
      </c>
      <c r="I214" s="116">
        <v>5500</v>
      </c>
      <c r="J214" s="116">
        <v>5000</v>
      </c>
      <c r="K214" s="116">
        <v>5000</v>
      </c>
      <c r="L214" s="116">
        <v>5000</v>
      </c>
      <c r="M214" s="116">
        <v>5000</v>
      </c>
      <c r="N214" s="116">
        <v>5000</v>
      </c>
      <c r="O214" s="119">
        <v>5000</v>
      </c>
      <c r="P214" s="120">
        <v>6000</v>
      </c>
      <c r="Q214" s="195">
        <f>5500+302</f>
        <v>5802</v>
      </c>
      <c r="R214" s="6"/>
      <c r="S214" s="6"/>
    </row>
    <row r="215" spans="1:19" s="183" customFormat="1" ht="12">
      <c r="A215" s="69" t="s">
        <v>299</v>
      </c>
      <c r="B215" s="78" t="s">
        <v>86</v>
      </c>
      <c r="C215" s="115"/>
      <c r="D215" s="72">
        <f>D216</f>
        <v>5000</v>
      </c>
      <c r="E215" s="72">
        <f>SUM(E216:E216)</f>
        <v>400</v>
      </c>
      <c r="F215" s="72">
        <f>SUM(F216:F216)</f>
        <v>400</v>
      </c>
      <c r="G215" s="72">
        <f>SUM(G216:G216)</f>
        <v>500</v>
      </c>
      <c r="H215" s="72">
        <f aca="true" t="shared" si="59" ref="H215:P215">SUM(H216:H216)</f>
        <v>400</v>
      </c>
      <c r="I215" s="72">
        <f t="shared" si="59"/>
        <v>400</v>
      </c>
      <c r="J215" s="72">
        <f t="shared" si="59"/>
        <v>450</v>
      </c>
      <c r="K215" s="72">
        <f t="shared" si="59"/>
        <v>400</v>
      </c>
      <c r="L215" s="72">
        <f t="shared" si="59"/>
        <v>400</v>
      </c>
      <c r="M215" s="72">
        <f t="shared" si="59"/>
        <v>450</v>
      </c>
      <c r="N215" s="72">
        <f t="shared" si="59"/>
        <v>400</v>
      </c>
      <c r="O215" s="73">
        <f t="shared" si="59"/>
        <v>400</v>
      </c>
      <c r="P215" s="74">
        <f t="shared" si="59"/>
        <v>400</v>
      </c>
      <c r="Q215" s="55">
        <f>SUM(H215:P215)</f>
        <v>3700</v>
      </c>
      <c r="R215" s="6"/>
      <c r="S215" s="6"/>
    </row>
    <row r="216" spans="1:19" ht="24.75" thickBot="1">
      <c r="A216" s="80" t="s">
        <v>235</v>
      </c>
      <c r="B216" s="81" t="s">
        <v>300</v>
      </c>
      <c r="C216" s="82" t="s">
        <v>267</v>
      </c>
      <c r="D216" s="76">
        <v>5000</v>
      </c>
      <c r="E216" s="76">
        <v>400</v>
      </c>
      <c r="F216" s="76">
        <v>400</v>
      </c>
      <c r="G216" s="76">
        <v>500</v>
      </c>
      <c r="H216" s="76">
        <v>400</v>
      </c>
      <c r="I216" s="76">
        <v>400</v>
      </c>
      <c r="J216" s="76">
        <v>450</v>
      </c>
      <c r="K216" s="76">
        <v>400</v>
      </c>
      <c r="L216" s="76">
        <v>400</v>
      </c>
      <c r="M216" s="76">
        <v>450</v>
      </c>
      <c r="N216" s="76">
        <v>400</v>
      </c>
      <c r="O216" s="83">
        <v>400</v>
      </c>
      <c r="P216" s="68">
        <v>400</v>
      </c>
      <c r="Q216" s="195">
        <f>583+85</f>
        <v>668</v>
      </c>
      <c r="R216" s="6"/>
      <c r="S216" s="6"/>
    </row>
    <row r="217" spans="1:19" ht="48.75" hidden="1" thickBot="1">
      <c r="A217" s="63" t="s">
        <v>224</v>
      </c>
      <c r="B217" s="101" t="s">
        <v>225</v>
      </c>
      <c r="C217" s="65"/>
      <c r="D217" s="66">
        <v>0</v>
      </c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77"/>
      <c r="Q217" s="158"/>
      <c r="R217" s="6"/>
      <c r="S217" s="6"/>
    </row>
    <row r="218" spans="1:19" ht="37.5" thickBot="1" thickTop="1">
      <c r="A218" s="49" t="s">
        <v>301</v>
      </c>
      <c r="B218" s="50" t="s">
        <v>302</v>
      </c>
      <c r="C218" s="128"/>
      <c r="D218" s="52">
        <f>D219+D221</f>
        <v>178600</v>
      </c>
      <c r="E218" s="52">
        <f aca="true" t="shared" si="60" ref="E218:P218">E219+E221</f>
        <v>8833</v>
      </c>
      <c r="F218" s="52">
        <f t="shared" si="60"/>
        <v>8833</v>
      </c>
      <c r="G218" s="52">
        <f t="shared" si="60"/>
        <v>8833</v>
      </c>
      <c r="H218" s="52">
        <f t="shared" si="60"/>
        <v>16899</v>
      </c>
      <c r="I218" s="52">
        <f t="shared" si="60"/>
        <v>16899</v>
      </c>
      <c r="J218" s="52">
        <f t="shared" si="60"/>
        <v>16899</v>
      </c>
      <c r="K218" s="52">
        <f t="shared" si="60"/>
        <v>16899</v>
      </c>
      <c r="L218" s="52">
        <f t="shared" si="60"/>
        <v>16899</v>
      </c>
      <c r="M218" s="52">
        <f t="shared" si="60"/>
        <v>16899</v>
      </c>
      <c r="N218" s="52">
        <f t="shared" si="60"/>
        <v>16899</v>
      </c>
      <c r="O218" s="53">
        <f t="shared" si="60"/>
        <v>16899</v>
      </c>
      <c r="P218" s="54">
        <f t="shared" si="60"/>
        <v>16909</v>
      </c>
      <c r="Q218" s="158"/>
      <c r="R218" s="6"/>
      <c r="S218" s="6"/>
    </row>
    <row r="219" spans="1:19" s="183" customFormat="1" ht="27" customHeight="1" thickTop="1">
      <c r="A219" s="96" t="s">
        <v>303</v>
      </c>
      <c r="B219" s="97" t="s">
        <v>304</v>
      </c>
      <c r="C219" s="117" t="s">
        <v>305</v>
      </c>
      <c r="D219" s="98">
        <f>D220</f>
        <v>106000</v>
      </c>
      <c r="E219" s="98">
        <f aca="true" t="shared" si="61" ref="E219:P219">E220</f>
        <v>8833</v>
      </c>
      <c r="F219" s="98">
        <f t="shared" si="61"/>
        <v>8833</v>
      </c>
      <c r="G219" s="98">
        <f t="shared" si="61"/>
        <v>8833</v>
      </c>
      <c r="H219" s="98">
        <f t="shared" si="61"/>
        <v>8833</v>
      </c>
      <c r="I219" s="98">
        <f t="shared" si="61"/>
        <v>8833</v>
      </c>
      <c r="J219" s="98">
        <f t="shared" si="61"/>
        <v>8833</v>
      </c>
      <c r="K219" s="98">
        <f t="shared" si="61"/>
        <v>8833</v>
      </c>
      <c r="L219" s="98">
        <f t="shared" si="61"/>
        <v>8833</v>
      </c>
      <c r="M219" s="98">
        <f t="shared" si="61"/>
        <v>8833</v>
      </c>
      <c r="N219" s="98">
        <f t="shared" si="61"/>
        <v>8833</v>
      </c>
      <c r="O219" s="99">
        <f t="shared" si="61"/>
        <v>8833</v>
      </c>
      <c r="P219" s="100">
        <f t="shared" si="61"/>
        <v>8837</v>
      </c>
      <c r="Q219" s="55">
        <f t="shared" si="51"/>
        <v>79501</v>
      </c>
      <c r="R219" s="6"/>
      <c r="S219" s="6"/>
    </row>
    <row r="220" spans="1:19" ht="84">
      <c r="A220" s="135" t="s">
        <v>66</v>
      </c>
      <c r="B220" s="136" t="s">
        <v>67</v>
      </c>
      <c r="C220" s="123"/>
      <c r="D220" s="76">
        <v>106000</v>
      </c>
      <c r="E220" s="66">
        <v>8833</v>
      </c>
      <c r="F220" s="66">
        <v>8833</v>
      </c>
      <c r="G220" s="66">
        <v>8833</v>
      </c>
      <c r="H220" s="66">
        <v>8833</v>
      </c>
      <c r="I220" s="66">
        <v>8833</v>
      </c>
      <c r="J220" s="66">
        <v>8833</v>
      </c>
      <c r="K220" s="66">
        <v>8833</v>
      </c>
      <c r="L220" s="66">
        <v>8833</v>
      </c>
      <c r="M220" s="66">
        <v>8833</v>
      </c>
      <c r="N220" s="66">
        <v>8833</v>
      </c>
      <c r="O220" s="67">
        <v>8833</v>
      </c>
      <c r="P220" s="89">
        <v>8837</v>
      </c>
      <c r="Q220" s="55">
        <f t="shared" si="51"/>
        <v>79501</v>
      </c>
      <c r="R220" s="6"/>
      <c r="S220" s="6"/>
    </row>
    <row r="221" spans="1:19" s="183" customFormat="1" ht="36">
      <c r="A221" s="69" t="s">
        <v>306</v>
      </c>
      <c r="B221" s="70" t="s">
        <v>307</v>
      </c>
      <c r="C221" s="118"/>
      <c r="D221" s="72">
        <f>D222</f>
        <v>72600</v>
      </c>
      <c r="E221" s="72">
        <f>SUM(E222)</f>
        <v>0</v>
      </c>
      <c r="F221" s="72">
        <f>SUM(F222)</f>
        <v>0</v>
      </c>
      <c r="G221" s="72">
        <f>SUM(G222)</f>
        <v>0</v>
      </c>
      <c r="H221" s="72">
        <f>SUM(H222)</f>
        <v>8066</v>
      </c>
      <c r="I221" s="72">
        <f aca="true" t="shared" si="62" ref="I221:P221">SUM(I222)</f>
        <v>8066</v>
      </c>
      <c r="J221" s="72">
        <f t="shared" si="62"/>
        <v>8066</v>
      </c>
      <c r="K221" s="72">
        <f t="shared" si="62"/>
        <v>8066</v>
      </c>
      <c r="L221" s="72">
        <f t="shared" si="62"/>
        <v>8066</v>
      </c>
      <c r="M221" s="72">
        <f t="shared" si="62"/>
        <v>8066</v>
      </c>
      <c r="N221" s="72">
        <f t="shared" si="62"/>
        <v>8066</v>
      </c>
      <c r="O221" s="73">
        <f t="shared" si="62"/>
        <v>8066</v>
      </c>
      <c r="P221" s="74">
        <f t="shared" si="62"/>
        <v>8072</v>
      </c>
      <c r="Q221" s="55">
        <f t="shared" si="51"/>
        <v>72600</v>
      </c>
      <c r="R221" s="6"/>
      <c r="S221" s="6"/>
    </row>
    <row r="222" spans="1:19" ht="24.75" thickBot="1">
      <c r="A222" s="80" t="s">
        <v>36</v>
      </c>
      <c r="B222" s="81" t="s">
        <v>308</v>
      </c>
      <c r="C222" s="82" t="s">
        <v>267</v>
      </c>
      <c r="D222" s="66">
        <v>72600</v>
      </c>
      <c r="E222" s="66">
        <v>0</v>
      </c>
      <c r="F222" s="66">
        <v>0</v>
      </c>
      <c r="G222" s="66">
        <v>0</v>
      </c>
      <c r="H222" s="76">
        <v>8066</v>
      </c>
      <c r="I222" s="76">
        <v>8066</v>
      </c>
      <c r="J222" s="76">
        <v>8066</v>
      </c>
      <c r="K222" s="76">
        <v>8066</v>
      </c>
      <c r="L222" s="76">
        <v>8066</v>
      </c>
      <c r="M222" s="76">
        <v>8066</v>
      </c>
      <c r="N222" s="76">
        <v>8066</v>
      </c>
      <c r="O222" s="83">
        <v>8066</v>
      </c>
      <c r="P222" s="196">
        <v>8072</v>
      </c>
      <c r="Q222" s="195">
        <f>5500+302</f>
        <v>5802</v>
      </c>
      <c r="R222" s="6"/>
      <c r="S222" s="6"/>
    </row>
    <row r="223" spans="1:19" ht="25.5" thickBot="1" thickTop="1">
      <c r="A223" s="49" t="s">
        <v>309</v>
      </c>
      <c r="B223" s="50" t="s">
        <v>310</v>
      </c>
      <c r="C223" s="128" t="s">
        <v>215</v>
      </c>
      <c r="D223" s="52">
        <f>D224+D229+D232+D235+D237+D239</f>
        <v>1152300</v>
      </c>
      <c r="E223" s="52">
        <f aca="true" t="shared" si="63" ref="E223:P223">E224+E229+E232+E235+E237+E239</f>
        <v>169690</v>
      </c>
      <c r="F223" s="52">
        <f t="shared" si="63"/>
        <v>169990</v>
      </c>
      <c r="G223" s="52">
        <f t="shared" si="63"/>
        <v>169990</v>
      </c>
      <c r="H223" s="52">
        <f t="shared" si="63"/>
        <v>169990</v>
      </c>
      <c r="I223" s="52">
        <f t="shared" si="63"/>
        <v>170090</v>
      </c>
      <c r="J223" s="52">
        <f t="shared" si="63"/>
        <v>170094</v>
      </c>
      <c r="K223" s="52">
        <f t="shared" si="63"/>
        <v>22024</v>
      </c>
      <c r="L223" s="52">
        <f t="shared" si="63"/>
        <v>22024</v>
      </c>
      <c r="M223" s="52">
        <f t="shared" si="63"/>
        <v>22024</v>
      </c>
      <c r="N223" s="52">
        <f t="shared" si="63"/>
        <v>22224</v>
      </c>
      <c r="O223" s="53">
        <f t="shared" si="63"/>
        <v>22228</v>
      </c>
      <c r="P223" s="54">
        <f t="shared" si="63"/>
        <v>21932</v>
      </c>
      <c r="Q223" s="55">
        <f aca="true" t="shared" si="64" ref="Q223:Q230">SUM(H223:P223)</f>
        <v>642630</v>
      </c>
      <c r="R223" s="6"/>
      <c r="S223" s="6"/>
    </row>
    <row r="224" spans="1:19" s="183" customFormat="1" ht="24.75" thickTop="1">
      <c r="A224" s="137" t="s">
        <v>311</v>
      </c>
      <c r="B224" s="197" t="s">
        <v>312</v>
      </c>
      <c r="C224" s="75"/>
      <c r="D224" s="109">
        <f>SUM(D225:D228)</f>
        <v>31000</v>
      </c>
      <c r="E224" s="109">
        <f aca="true" t="shared" si="65" ref="E224:P224">SUM(E225:E228)</f>
        <v>2300</v>
      </c>
      <c r="F224" s="109">
        <f t="shared" si="65"/>
        <v>2500</v>
      </c>
      <c r="G224" s="109">
        <f t="shared" si="65"/>
        <v>2500</v>
      </c>
      <c r="H224" s="109">
        <f t="shared" si="65"/>
        <v>2500</v>
      </c>
      <c r="I224" s="109">
        <f t="shared" si="65"/>
        <v>2600</v>
      </c>
      <c r="J224" s="109">
        <f t="shared" si="65"/>
        <v>2600</v>
      </c>
      <c r="K224" s="109">
        <f t="shared" si="65"/>
        <v>2600</v>
      </c>
      <c r="L224" s="109">
        <f t="shared" si="65"/>
        <v>2600</v>
      </c>
      <c r="M224" s="109">
        <f t="shared" si="65"/>
        <v>2600</v>
      </c>
      <c r="N224" s="109">
        <f t="shared" si="65"/>
        <v>2800</v>
      </c>
      <c r="O224" s="133">
        <f t="shared" si="65"/>
        <v>2800</v>
      </c>
      <c r="P224" s="134">
        <f t="shared" si="65"/>
        <v>2600</v>
      </c>
      <c r="Q224" s="55">
        <f t="shared" si="64"/>
        <v>23700</v>
      </c>
      <c r="R224" s="6"/>
      <c r="S224" s="6"/>
    </row>
    <row r="225" spans="1:19" ht="12">
      <c r="A225" s="80" t="s">
        <v>54</v>
      </c>
      <c r="B225" s="81" t="s">
        <v>93</v>
      </c>
      <c r="C225" s="82"/>
      <c r="D225" s="76">
        <v>25000</v>
      </c>
      <c r="E225" s="76">
        <v>1800</v>
      </c>
      <c r="F225" s="76">
        <v>2000</v>
      </c>
      <c r="G225" s="76">
        <v>2000</v>
      </c>
      <c r="H225" s="76">
        <v>2000</v>
      </c>
      <c r="I225" s="76">
        <v>2100</v>
      </c>
      <c r="J225" s="76">
        <v>2100</v>
      </c>
      <c r="K225" s="76">
        <v>2100</v>
      </c>
      <c r="L225" s="76">
        <v>2100</v>
      </c>
      <c r="M225" s="76">
        <v>2100</v>
      </c>
      <c r="N225" s="76">
        <v>2300</v>
      </c>
      <c r="O225" s="83">
        <v>2300</v>
      </c>
      <c r="P225" s="68">
        <v>2100</v>
      </c>
      <c r="Q225" s="6"/>
      <c r="R225" s="6"/>
      <c r="S225" s="6"/>
    </row>
    <row r="226" spans="1:19" s="14" customFormat="1" ht="87.75" customHeight="1">
      <c r="A226" s="63" t="s">
        <v>57</v>
      </c>
      <c r="B226" s="181" t="s">
        <v>58</v>
      </c>
      <c r="C226" s="65"/>
      <c r="D226" s="66">
        <v>6000</v>
      </c>
      <c r="E226" s="66">
        <v>500</v>
      </c>
      <c r="F226" s="66">
        <v>500</v>
      </c>
      <c r="G226" s="66">
        <v>500</v>
      </c>
      <c r="H226" s="66">
        <v>500</v>
      </c>
      <c r="I226" s="66">
        <v>500</v>
      </c>
      <c r="J226" s="66">
        <v>500</v>
      </c>
      <c r="K226" s="66">
        <v>500</v>
      </c>
      <c r="L226" s="66">
        <v>500</v>
      </c>
      <c r="M226" s="66">
        <v>500</v>
      </c>
      <c r="N226" s="66">
        <v>500</v>
      </c>
      <c r="O226" s="67">
        <v>500</v>
      </c>
      <c r="P226" s="105">
        <v>500</v>
      </c>
      <c r="Q226" s="6">
        <f t="shared" si="64"/>
        <v>4500</v>
      </c>
      <c r="R226" s="6"/>
      <c r="S226" s="6"/>
    </row>
    <row r="227" spans="1:19" s="14" customFormat="1" ht="12" hidden="1">
      <c r="A227" s="63" t="s">
        <v>216</v>
      </c>
      <c r="B227" s="64" t="s">
        <v>237</v>
      </c>
      <c r="C227" s="65"/>
      <c r="D227" s="66">
        <v>0</v>
      </c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7"/>
      <c r="P227" s="77"/>
      <c r="Q227" s="55">
        <f t="shared" si="64"/>
        <v>0</v>
      </c>
      <c r="R227" s="6"/>
      <c r="S227" s="6"/>
    </row>
    <row r="228" spans="1:19" s="14" customFormat="1" ht="96" hidden="1">
      <c r="A228" s="84" t="s">
        <v>313</v>
      </c>
      <c r="B228" s="85" t="s">
        <v>314</v>
      </c>
      <c r="C228" s="86"/>
      <c r="D228" s="87">
        <v>0</v>
      </c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8"/>
      <c r="P228" s="89"/>
      <c r="Q228" s="6"/>
      <c r="R228" s="6"/>
      <c r="S228" s="6"/>
    </row>
    <row r="229" spans="1:19" ht="24">
      <c r="A229" s="69" t="s">
        <v>315</v>
      </c>
      <c r="B229" s="70" t="s">
        <v>316</v>
      </c>
      <c r="C229" s="123"/>
      <c r="D229" s="72">
        <f>D230</f>
        <v>3000</v>
      </c>
      <c r="E229" s="72">
        <f>E230</f>
        <v>250</v>
      </c>
      <c r="F229" s="72">
        <f>F230</f>
        <v>250</v>
      </c>
      <c r="G229" s="72">
        <f>G230</f>
        <v>250</v>
      </c>
      <c r="H229" s="72">
        <f>H230</f>
        <v>250</v>
      </c>
      <c r="I229" s="72">
        <f aca="true" t="shared" si="66" ref="I229:P229">SUM(I230:I231)</f>
        <v>250</v>
      </c>
      <c r="J229" s="72">
        <f t="shared" si="66"/>
        <v>250</v>
      </c>
      <c r="K229" s="72">
        <f t="shared" si="66"/>
        <v>250</v>
      </c>
      <c r="L229" s="72">
        <f t="shared" si="66"/>
        <v>250</v>
      </c>
      <c r="M229" s="72">
        <f t="shared" si="66"/>
        <v>250</v>
      </c>
      <c r="N229" s="72">
        <f t="shared" si="66"/>
        <v>250</v>
      </c>
      <c r="O229" s="73">
        <f t="shared" si="66"/>
        <v>250</v>
      </c>
      <c r="P229" s="74">
        <f t="shared" si="66"/>
        <v>250</v>
      </c>
      <c r="Q229" s="55">
        <f t="shared" si="64"/>
        <v>2250</v>
      </c>
      <c r="R229" s="6"/>
      <c r="S229" s="6"/>
    </row>
    <row r="230" spans="1:19" ht="87" customHeight="1">
      <c r="A230" s="63" t="s">
        <v>57</v>
      </c>
      <c r="B230" s="181" t="s">
        <v>58</v>
      </c>
      <c r="C230" s="82"/>
      <c r="D230" s="76">
        <v>3000</v>
      </c>
      <c r="E230" s="76">
        <v>250</v>
      </c>
      <c r="F230" s="76">
        <v>250</v>
      </c>
      <c r="G230" s="76">
        <v>250</v>
      </c>
      <c r="H230" s="76">
        <v>250</v>
      </c>
      <c r="I230" s="76">
        <v>250</v>
      </c>
      <c r="J230" s="76">
        <v>250</v>
      </c>
      <c r="K230" s="76">
        <v>250</v>
      </c>
      <c r="L230" s="76">
        <v>250</v>
      </c>
      <c r="M230" s="76">
        <v>250</v>
      </c>
      <c r="N230" s="76">
        <v>250</v>
      </c>
      <c r="O230" s="83">
        <v>250</v>
      </c>
      <c r="P230" s="68">
        <v>250</v>
      </c>
      <c r="Q230" s="55">
        <f t="shared" si="64"/>
        <v>2250</v>
      </c>
      <c r="R230" s="6"/>
      <c r="S230" s="6"/>
    </row>
    <row r="231" spans="1:19" ht="12">
      <c r="A231" s="84" t="s">
        <v>36</v>
      </c>
      <c r="B231" s="176" t="s">
        <v>37</v>
      </c>
      <c r="C231" s="122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8"/>
      <c r="P231" s="89"/>
      <c r="Q231" s="55"/>
      <c r="R231" s="6"/>
      <c r="S231" s="6"/>
    </row>
    <row r="232" spans="1:19" ht="25.5" customHeight="1">
      <c r="A232" s="69" t="s">
        <v>317</v>
      </c>
      <c r="B232" s="78" t="s">
        <v>318</v>
      </c>
      <c r="C232" s="115"/>
      <c r="D232" s="109">
        <f>D233+D234</f>
        <v>9500</v>
      </c>
      <c r="E232" s="109">
        <f>E233+E234</f>
        <v>708</v>
      </c>
      <c r="F232" s="109">
        <f>F233+F234</f>
        <v>808</v>
      </c>
      <c r="G232" s="109">
        <f>G233+G234</f>
        <v>808</v>
      </c>
      <c r="H232" s="109">
        <f>H233+H234</f>
        <v>808</v>
      </c>
      <c r="I232" s="72">
        <f aca="true" t="shared" si="67" ref="I232:P232">SUM(I233:I234)</f>
        <v>808</v>
      </c>
      <c r="J232" s="72">
        <f t="shared" si="67"/>
        <v>808</v>
      </c>
      <c r="K232" s="72">
        <f t="shared" si="67"/>
        <v>808</v>
      </c>
      <c r="L232" s="72">
        <f t="shared" si="67"/>
        <v>808</v>
      </c>
      <c r="M232" s="72">
        <f t="shared" si="67"/>
        <v>808</v>
      </c>
      <c r="N232" s="72">
        <f t="shared" si="67"/>
        <v>808</v>
      </c>
      <c r="O232" s="73">
        <f t="shared" si="67"/>
        <v>808</v>
      </c>
      <c r="P232" s="74">
        <f t="shared" si="67"/>
        <v>712</v>
      </c>
      <c r="Q232" s="55"/>
      <c r="R232" s="6"/>
      <c r="S232" s="6"/>
    </row>
    <row r="233" spans="1:19" ht="85.5" customHeight="1">
      <c r="A233" s="63" t="s">
        <v>57</v>
      </c>
      <c r="B233" s="181" t="s">
        <v>58</v>
      </c>
      <c r="C233" s="123"/>
      <c r="D233" s="76">
        <v>2500</v>
      </c>
      <c r="E233" s="76">
        <v>208</v>
      </c>
      <c r="F233" s="76">
        <v>208</v>
      </c>
      <c r="G233" s="76">
        <v>208</v>
      </c>
      <c r="H233" s="76">
        <v>208</v>
      </c>
      <c r="I233" s="76">
        <v>208</v>
      </c>
      <c r="J233" s="76">
        <v>208</v>
      </c>
      <c r="K233" s="76">
        <v>208</v>
      </c>
      <c r="L233" s="76">
        <v>208</v>
      </c>
      <c r="M233" s="76">
        <v>208</v>
      </c>
      <c r="N233" s="76">
        <v>208</v>
      </c>
      <c r="O233" s="83">
        <v>208</v>
      </c>
      <c r="P233" s="68">
        <v>212</v>
      </c>
      <c r="Q233" s="55"/>
      <c r="R233" s="6"/>
      <c r="S233" s="6"/>
    </row>
    <row r="234" spans="1:19" ht="12">
      <c r="A234" s="63" t="s">
        <v>235</v>
      </c>
      <c r="B234" s="64" t="s">
        <v>247</v>
      </c>
      <c r="C234" s="123"/>
      <c r="D234" s="87">
        <v>7000</v>
      </c>
      <c r="E234" s="66">
        <v>500</v>
      </c>
      <c r="F234" s="66">
        <v>600</v>
      </c>
      <c r="G234" s="66">
        <v>600</v>
      </c>
      <c r="H234" s="87">
        <v>600</v>
      </c>
      <c r="I234" s="87">
        <v>600</v>
      </c>
      <c r="J234" s="87">
        <v>600</v>
      </c>
      <c r="K234" s="87">
        <v>600</v>
      </c>
      <c r="L234" s="87">
        <v>600</v>
      </c>
      <c r="M234" s="87">
        <v>600</v>
      </c>
      <c r="N234" s="87">
        <v>600</v>
      </c>
      <c r="O234" s="88">
        <v>600</v>
      </c>
      <c r="P234" s="89">
        <v>500</v>
      </c>
      <c r="Q234" s="55"/>
      <c r="R234" s="6"/>
      <c r="S234" s="6"/>
    </row>
    <row r="235" spans="1:19" ht="12">
      <c r="A235" s="69" t="s">
        <v>319</v>
      </c>
      <c r="B235" s="70" t="s">
        <v>320</v>
      </c>
      <c r="C235" s="123"/>
      <c r="D235" s="98">
        <f>D236</f>
        <v>137400</v>
      </c>
      <c r="E235" s="141">
        <v>11450</v>
      </c>
      <c r="F235" s="141">
        <v>11450</v>
      </c>
      <c r="G235" s="141">
        <v>11450</v>
      </c>
      <c r="H235" s="141">
        <v>11450</v>
      </c>
      <c r="I235" s="141">
        <v>11450</v>
      </c>
      <c r="J235" s="141">
        <v>11450</v>
      </c>
      <c r="K235" s="141">
        <v>11450</v>
      </c>
      <c r="L235" s="141">
        <v>11450</v>
      </c>
      <c r="M235" s="141">
        <v>11450</v>
      </c>
      <c r="N235" s="141">
        <v>11450</v>
      </c>
      <c r="O235" s="168">
        <v>11450</v>
      </c>
      <c r="P235" s="169">
        <v>11450</v>
      </c>
      <c r="Q235" s="55">
        <f aca="true" t="shared" si="68" ref="Q235:Q251">SUM(H235:P235)</f>
        <v>103050</v>
      </c>
      <c r="R235" s="6"/>
      <c r="S235" s="6"/>
    </row>
    <row r="236" spans="1:19" ht="87.75" customHeight="1">
      <c r="A236" s="135" t="s">
        <v>57</v>
      </c>
      <c r="B236" s="198" t="s">
        <v>58</v>
      </c>
      <c r="C236" s="123"/>
      <c r="D236" s="116">
        <v>137400</v>
      </c>
      <c r="E236" s="116">
        <v>11450</v>
      </c>
      <c r="F236" s="116">
        <v>11450</v>
      </c>
      <c r="G236" s="116">
        <v>11450</v>
      </c>
      <c r="H236" s="116">
        <v>11450</v>
      </c>
      <c r="I236" s="116">
        <v>11450</v>
      </c>
      <c r="J236" s="116">
        <v>11450</v>
      </c>
      <c r="K236" s="116">
        <v>11450</v>
      </c>
      <c r="L236" s="116">
        <v>11450</v>
      </c>
      <c r="M236" s="116">
        <v>11450</v>
      </c>
      <c r="N236" s="116">
        <v>11450</v>
      </c>
      <c r="O236" s="119">
        <v>11450</v>
      </c>
      <c r="P236" s="120">
        <v>11450</v>
      </c>
      <c r="Q236" s="55">
        <f t="shared" si="68"/>
        <v>103050</v>
      </c>
      <c r="R236" s="6"/>
      <c r="S236" s="6"/>
    </row>
    <row r="237" spans="1:19" ht="21">
      <c r="A237" s="69" t="s">
        <v>321</v>
      </c>
      <c r="B237" s="199" t="s">
        <v>322</v>
      </c>
      <c r="C237" s="118"/>
      <c r="D237" s="72">
        <f>D238</f>
        <v>888400</v>
      </c>
      <c r="E237" s="72">
        <f aca="true" t="shared" si="69" ref="E237:P237">E238</f>
        <v>148066</v>
      </c>
      <c r="F237" s="72">
        <f t="shared" si="69"/>
        <v>148066</v>
      </c>
      <c r="G237" s="72">
        <f t="shared" si="69"/>
        <v>148066</v>
      </c>
      <c r="H237" s="72">
        <f t="shared" si="69"/>
        <v>148066</v>
      </c>
      <c r="I237" s="72">
        <f t="shared" si="69"/>
        <v>148066</v>
      </c>
      <c r="J237" s="72">
        <f t="shared" si="69"/>
        <v>148070</v>
      </c>
      <c r="K237" s="72">
        <f t="shared" si="69"/>
        <v>0</v>
      </c>
      <c r="L237" s="72">
        <f t="shared" si="69"/>
        <v>0</v>
      </c>
      <c r="M237" s="72">
        <f t="shared" si="69"/>
        <v>0</v>
      </c>
      <c r="N237" s="72">
        <f t="shared" si="69"/>
        <v>0</v>
      </c>
      <c r="O237" s="73">
        <f t="shared" si="69"/>
        <v>0</v>
      </c>
      <c r="P237" s="74">
        <f t="shared" si="69"/>
        <v>0</v>
      </c>
      <c r="Q237" s="55"/>
      <c r="R237" s="6"/>
      <c r="S237" s="6"/>
    </row>
    <row r="238" spans="1:19" ht="72.75" customHeight="1">
      <c r="A238" s="63" t="s">
        <v>252</v>
      </c>
      <c r="B238" s="64" t="s">
        <v>253</v>
      </c>
      <c r="C238" s="86"/>
      <c r="D238" s="87">
        <v>888400</v>
      </c>
      <c r="E238" s="66">
        <v>148066</v>
      </c>
      <c r="F238" s="66">
        <v>148066</v>
      </c>
      <c r="G238" s="66">
        <v>148066</v>
      </c>
      <c r="H238" s="66">
        <v>148066</v>
      </c>
      <c r="I238" s="66">
        <v>148066</v>
      </c>
      <c r="J238" s="66">
        <v>148070</v>
      </c>
      <c r="K238" s="66">
        <v>0</v>
      </c>
      <c r="L238" s="66">
        <v>0</v>
      </c>
      <c r="M238" s="66">
        <v>0</v>
      </c>
      <c r="N238" s="66">
        <v>0</v>
      </c>
      <c r="O238" s="67">
        <v>0</v>
      </c>
      <c r="P238" s="77">
        <v>0</v>
      </c>
      <c r="Q238" s="55"/>
      <c r="R238" s="6"/>
      <c r="S238" s="6"/>
    </row>
    <row r="239" spans="1:19" s="183" customFormat="1" ht="24">
      <c r="A239" s="69" t="s">
        <v>323</v>
      </c>
      <c r="B239" s="70" t="s">
        <v>324</v>
      </c>
      <c r="C239" s="118"/>
      <c r="D239" s="98">
        <f>D240</f>
        <v>83000</v>
      </c>
      <c r="E239" s="72">
        <f aca="true" t="shared" si="70" ref="E239:J239">E240</f>
        <v>6916</v>
      </c>
      <c r="F239" s="72">
        <f t="shared" si="70"/>
        <v>6916</v>
      </c>
      <c r="G239" s="72">
        <f t="shared" si="70"/>
        <v>6916</v>
      </c>
      <c r="H239" s="72">
        <f t="shared" si="70"/>
        <v>6916</v>
      </c>
      <c r="I239" s="72">
        <f t="shared" si="70"/>
        <v>6916</v>
      </c>
      <c r="J239" s="72">
        <f t="shared" si="70"/>
        <v>6916</v>
      </c>
      <c r="K239" s="72">
        <f aca="true" t="shared" si="71" ref="K239:P239">SUM(K240:K240)</f>
        <v>6916</v>
      </c>
      <c r="L239" s="72">
        <f t="shared" si="71"/>
        <v>6916</v>
      </c>
      <c r="M239" s="72">
        <f t="shared" si="71"/>
        <v>6916</v>
      </c>
      <c r="N239" s="72">
        <f t="shared" si="71"/>
        <v>6916</v>
      </c>
      <c r="O239" s="73">
        <f t="shared" si="71"/>
        <v>6920</v>
      </c>
      <c r="P239" s="74">
        <f t="shared" si="71"/>
        <v>6920</v>
      </c>
      <c r="Q239" s="55">
        <f t="shared" si="68"/>
        <v>62252</v>
      </c>
      <c r="R239" s="6"/>
      <c r="S239" s="6"/>
    </row>
    <row r="240" spans="1:19" ht="91.5" customHeight="1" thickBot="1">
      <c r="A240" s="80" t="s">
        <v>57</v>
      </c>
      <c r="B240" s="181" t="s">
        <v>58</v>
      </c>
      <c r="C240" s="82"/>
      <c r="D240" s="76">
        <v>83000</v>
      </c>
      <c r="E240" s="76">
        <v>6916</v>
      </c>
      <c r="F240" s="76">
        <v>6916</v>
      </c>
      <c r="G240" s="76">
        <v>6916</v>
      </c>
      <c r="H240" s="76">
        <v>6916</v>
      </c>
      <c r="I240" s="76">
        <v>6916</v>
      </c>
      <c r="J240" s="76">
        <v>6916</v>
      </c>
      <c r="K240" s="76">
        <v>6916</v>
      </c>
      <c r="L240" s="76">
        <v>6916</v>
      </c>
      <c r="M240" s="76">
        <v>6916</v>
      </c>
      <c r="N240" s="76">
        <v>6916</v>
      </c>
      <c r="O240" s="83">
        <v>6920</v>
      </c>
      <c r="P240" s="68">
        <v>6920</v>
      </c>
      <c r="Q240" s="55">
        <f t="shared" si="68"/>
        <v>62252</v>
      </c>
      <c r="R240" s="6"/>
      <c r="S240" s="6"/>
    </row>
    <row r="241" spans="1:19" ht="49.5" thickBot="1" thickTop="1">
      <c r="A241" s="49" t="s">
        <v>325</v>
      </c>
      <c r="B241" s="50" t="s">
        <v>326</v>
      </c>
      <c r="C241" s="128"/>
      <c r="D241" s="52">
        <f>D242+D246</f>
        <v>147155</v>
      </c>
      <c r="E241" s="52">
        <f aca="true" t="shared" si="72" ref="E241:P241">E242+E246</f>
        <v>12256</v>
      </c>
      <c r="F241" s="52">
        <f t="shared" si="72"/>
        <v>12256</v>
      </c>
      <c r="G241" s="52">
        <f t="shared" si="72"/>
        <v>12256</v>
      </c>
      <c r="H241" s="52">
        <f t="shared" si="72"/>
        <v>12256</v>
      </c>
      <c r="I241" s="52">
        <f t="shared" si="72"/>
        <v>12256</v>
      </c>
      <c r="J241" s="52">
        <f t="shared" si="72"/>
        <v>12296</v>
      </c>
      <c r="K241" s="52">
        <f t="shared" si="72"/>
        <v>12296</v>
      </c>
      <c r="L241" s="52">
        <f t="shared" si="72"/>
        <v>12256</v>
      </c>
      <c r="M241" s="52">
        <f t="shared" si="72"/>
        <v>12256</v>
      </c>
      <c r="N241" s="52">
        <f t="shared" si="72"/>
        <v>12256</v>
      </c>
      <c r="O241" s="53">
        <f t="shared" si="72"/>
        <v>12256</v>
      </c>
      <c r="P241" s="54">
        <f t="shared" si="72"/>
        <v>12259</v>
      </c>
      <c r="Q241" s="55">
        <f t="shared" si="68"/>
        <v>110387</v>
      </c>
      <c r="R241" s="6"/>
      <c r="S241" s="6"/>
    </row>
    <row r="242" spans="1:19" ht="12.75" thickTop="1">
      <c r="A242" s="57" t="s">
        <v>327</v>
      </c>
      <c r="B242" s="58" t="s">
        <v>328</v>
      </c>
      <c r="C242" s="129"/>
      <c r="D242" s="98">
        <f>D243</f>
        <v>14000</v>
      </c>
      <c r="E242" s="98">
        <f aca="true" t="shared" si="73" ref="E242:P242">E243</f>
        <v>1160</v>
      </c>
      <c r="F242" s="98">
        <f t="shared" si="73"/>
        <v>1160</v>
      </c>
      <c r="G242" s="98">
        <f t="shared" si="73"/>
        <v>1160</v>
      </c>
      <c r="H242" s="98">
        <f t="shared" si="73"/>
        <v>1160</v>
      </c>
      <c r="I242" s="98">
        <f t="shared" si="73"/>
        <v>1160</v>
      </c>
      <c r="J242" s="98">
        <f t="shared" si="73"/>
        <v>1200</v>
      </c>
      <c r="K242" s="98">
        <f t="shared" si="73"/>
        <v>1200</v>
      </c>
      <c r="L242" s="98">
        <f t="shared" si="73"/>
        <v>1160</v>
      </c>
      <c r="M242" s="98">
        <f t="shared" si="73"/>
        <v>1160</v>
      </c>
      <c r="N242" s="98">
        <f t="shared" si="73"/>
        <v>1160</v>
      </c>
      <c r="O242" s="99">
        <f t="shared" si="73"/>
        <v>1160</v>
      </c>
      <c r="P242" s="100">
        <f t="shared" si="73"/>
        <v>1160</v>
      </c>
      <c r="Q242" s="55">
        <f t="shared" si="68"/>
        <v>10520</v>
      </c>
      <c r="R242" s="6"/>
      <c r="S242" s="6"/>
    </row>
    <row r="243" spans="1:19" ht="21.75" customHeight="1">
      <c r="A243" s="80" t="s">
        <v>235</v>
      </c>
      <c r="B243" s="81" t="s">
        <v>329</v>
      </c>
      <c r="C243" s="82" t="s">
        <v>82</v>
      </c>
      <c r="D243" s="66">
        <v>14000</v>
      </c>
      <c r="E243" s="66">
        <v>1160</v>
      </c>
      <c r="F243" s="66">
        <v>1160</v>
      </c>
      <c r="G243" s="76">
        <v>1160</v>
      </c>
      <c r="H243" s="66">
        <v>1160</v>
      </c>
      <c r="I243" s="66">
        <v>1160</v>
      </c>
      <c r="J243" s="66">
        <v>1200</v>
      </c>
      <c r="K243" s="66">
        <v>1200</v>
      </c>
      <c r="L243" s="66">
        <v>1160</v>
      </c>
      <c r="M243" s="66">
        <v>1160</v>
      </c>
      <c r="N243" s="66">
        <v>1160</v>
      </c>
      <c r="O243" s="67">
        <v>1160</v>
      </c>
      <c r="P243" s="77">
        <v>1160</v>
      </c>
      <c r="Q243" s="55">
        <f t="shared" si="68"/>
        <v>10520</v>
      </c>
      <c r="R243" s="6"/>
      <c r="S243" s="6"/>
    </row>
    <row r="244" spans="1:19" ht="24" hidden="1">
      <c r="A244" s="124" t="s">
        <v>330</v>
      </c>
      <c r="B244" s="70" t="s">
        <v>331</v>
      </c>
      <c r="C244" s="115"/>
      <c r="D244" s="72">
        <v>0</v>
      </c>
      <c r="E244" s="72">
        <v>0</v>
      </c>
      <c r="F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  <c r="O244" s="73">
        <v>0</v>
      </c>
      <c r="P244" s="74">
        <v>0</v>
      </c>
      <c r="Q244" s="55"/>
      <c r="R244" s="6"/>
      <c r="S244" s="6"/>
    </row>
    <row r="245" spans="1:19" ht="72" hidden="1">
      <c r="A245" s="126" t="s">
        <v>94</v>
      </c>
      <c r="B245" s="64" t="s">
        <v>95</v>
      </c>
      <c r="C245" s="108"/>
      <c r="D245" s="66">
        <v>0</v>
      </c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7"/>
      <c r="P245" s="77"/>
      <c r="Q245" s="55"/>
      <c r="R245" s="6"/>
      <c r="S245" s="6"/>
    </row>
    <row r="246" spans="1:19" s="183" customFormat="1" ht="12">
      <c r="A246" s="124" t="s">
        <v>332</v>
      </c>
      <c r="B246" s="70" t="s">
        <v>86</v>
      </c>
      <c r="C246" s="200"/>
      <c r="D246" s="72">
        <f>D247</f>
        <v>133155</v>
      </c>
      <c r="E246" s="72">
        <f aca="true" t="shared" si="74" ref="E246:P246">E247</f>
        <v>11096</v>
      </c>
      <c r="F246" s="72">
        <f t="shared" si="74"/>
        <v>11096</v>
      </c>
      <c r="G246" s="72">
        <f t="shared" si="74"/>
        <v>11096</v>
      </c>
      <c r="H246" s="72">
        <f t="shared" si="74"/>
        <v>11096</v>
      </c>
      <c r="I246" s="72">
        <f t="shared" si="74"/>
        <v>11096</v>
      </c>
      <c r="J246" s="72">
        <f t="shared" si="74"/>
        <v>11096</v>
      </c>
      <c r="K246" s="72">
        <f t="shared" si="74"/>
        <v>11096</v>
      </c>
      <c r="L246" s="72">
        <f t="shared" si="74"/>
        <v>11096</v>
      </c>
      <c r="M246" s="72">
        <f t="shared" si="74"/>
        <v>11096</v>
      </c>
      <c r="N246" s="72">
        <f t="shared" si="74"/>
        <v>11096</v>
      </c>
      <c r="O246" s="73">
        <f t="shared" si="74"/>
        <v>11096</v>
      </c>
      <c r="P246" s="74">
        <f t="shared" si="74"/>
        <v>11099</v>
      </c>
      <c r="Q246" s="55"/>
      <c r="R246" s="6"/>
      <c r="S246" s="6"/>
    </row>
    <row r="247" spans="1:19" ht="48.75" thickBot="1">
      <c r="A247" s="126" t="s">
        <v>333</v>
      </c>
      <c r="B247" s="64" t="s">
        <v>334</v>
      </c>
      <c r="C247" s="108"/>
      <c r="D247" s="201">
        <v>133155</v>
      </c>
      <c r="E247" s="201">
        <v>11096</v>
      </c>
      <c r="F247" s="201">
        <v>11096</v>
      </c>
      <c r="G247" s="201">
        <v>11096</v>
      </c>
      <c r="H247" s="201">
        <v>11096</v>
      </c>
      <c r="I247" s="201">
        <v>11096</v>
      </c>
      <c r="J247" s="201">
        <v>11096</v>
      </c>
      <c r="K247" s="201">
        <v>11096</v>
      </c>
      <c r="L247" s="201">
        <v>11096</v>
      </c>
      <c r="M247" s="201">
        <v>11096</v>
      </c>
      <c r="N247" s="201">
        <v>11096</v>
      </c>
      <c r="O247" s="202">
        <v>11096</v>
      </c>
      <c r="P247" s="203">
        <v>11099</v>
      </c>
      <c r="Q247" s="55"/>
      <c r="R247" s="6"/>
      <c r="S247" s="6"/>
    </row>
    <row r="248" spans="1:19" s="183" customFormat="1" ht="49.5" hidden="1" thickBot="1" thickTop="1">
      <c r="A248" s="145" t="s">
        <v>335</v>
      </c>
      <c r="B248" s="204" t="s">
        <v>336</v>
      </c>
      <c r="C248" s="205" t="s">
        <v>68</v>
      </c>
      <c r="D248" s="52">
        <v>0</v>
      </c>
      <c r="E248" s="52">
        <v>0</v>
      </c>
      <c r="F248" s="52">
        <v>0</v>
      </c>
      <c r="G248" s="52">
        <v>0</v>
      </c>
      <c r="H248" s="52">
        <v>0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3">
        <v>0</v>
      </c>
      <c r="P248" s="54">
        <v>0</v>
      </c>
      <c r="Q248" s="55">
        <f t="shared" si="68"/>
        <v>0</v>
      </c>
      <c r="R248" s="6"/>
      <c r="S248" s="6"/>
    </row>
    <row r="249" spans="1:19" ht="13.5" hidden="1" thickBot="1" thickTop="1">
      <c r="A249" s="124" t="s">
        <v>337</v>
      </c>
      <c r="B249" s="78" t="s">
        <v>338</v>
      </c>
      <c r="C249" s="122"/>
      <c r="D249" s="98">
        <v>0</v>
      </c>
      <c r="E249" s="98">
        <v>0</v>
      </c>
      <c r="F249" s="98">
        <v>0</v>
      </c>
      <c r="G249" s="98">
        <v>0</v>
      </c>
      <c r="H249" s="98">
        <v>0</v>
      </c>
      <c r="I249" s="98">
        <v>0</v>
      </c>
      <c r="J249" s="98">
        <v>0</v>
      </c>
      <c r="K249" s="98">
        <v>0</v>
      </c>
      <c r="L249" s="98">
        <v>0</v>
      </c>
      <c r="M249" s="98">
        <v>0</v>
      </c>
      <c r="N249" s="98">
        <v>0</v>
      </c>
      <c r="O249" s="99">
        <v>0</v>
      </c>
      <c r="P249" s="100">
        <v>0</v>
      </c>
      <c r="Q249" s="55">
        <f t="shared" si="68"/>
        <v>0</v>
      </c>
      <c r="R249" s="6"/>
      <c r="S249" s="6"/>
    </row>
    <row r="250" spans="1:19" ht="73.5" hidden="1" thickBot="1" thickTop="1">
      <c r="A250" s="113" t="s">
        <v>339</v>
      </c>
      <c r="B250" s="206" t="s">
        <v>340</v>
      </c>
      <c r="C250" s="115" t="s">
        <v>215</v>
      </c>
      <c r="D250" s="76">
        <v>0</v>
      </c>
      <c r="E250" s="76"/>
      <c r="F250" s="76"/>
      <c r="G250" s="76"/>
      <c r="H250" s="116"/>
      <c r="I250" s="116"/>
      <c r="J250" s="116"/>
      <c r="K250" s="116"/>
      <c r="L250" s="116"/>
      <c r="M250" s="116"/>
      <c r="N250" s="116"/>
      <c r="O250" s="119"/>
      <c r="P250" s="120"/>
      <c r="Q250" s="55">
        <f t="shared" si="68"/>
        <v>0</v>
      </c>
      <c r="R250" s="6"/>
      <c r="S250" s="6"/>
    </row>
    <row r="251" spans="1:19" s="56" customFormat="1" ht="18.75" customHeight="1" thickBot="1" thickTop="1">
      <c r="A251" s="207"/>
      <c r="B251" s="208" t="s">
        <v>341</v>
      </c>
      <c r="C251" s="209"/>
      <c r="D251" s="52">
        <f>D11+D22+D34+D49+D71+D78+D81+D88+D124+D139+D171+D174+D177+D218+D223+D241</f>
        <v>253575324</v>
      </c>
      <c r="E251" s="52">
        <f aca="true" t="shared" si="75" ref="E251:P251">E11+E22+E34+E49+E71+E78+E81+E88+E124+E139+E171+E174+E177+E218+E223+E241</f>
        <v>18006602</v>
      </c>
      <c r="F251" s="52">
        <f t="shared" si="75"/>
        <v>23129257</v>
      </c>
      <c r="G251" s="52">
        <f t="shared" si="75"/>
        <v>24418088</v>
      </c>
      <c r="H251" s="52">
        <f t="shared" si="75"/>
        <v>18856144</v>
      </c>
      <c r="I251" s="52">
        <f t="shared" si="75"/>
        <v>19435482</v>
      </c>
      <c r="J251" s="52">
        <f t="shared" si="75"/>
        <v>32588802</v>
      </c>
      <c r="K251" s="52">
        <f t="shared" si="75"/>
        <v>18425427</v>
      </c>
      <c r="L251" s="52">
        <f t="shared" si="75"/>
        <v>18440662</v>
      </c>
      <c r="M251" s="52">
        <f t="shared" si="75"/>
        <v>22349896</v>
      </c>
      <c r="N251" s="52">
        <f t="shared" si="75"/>
        <v>19144774</v>
      </c>
      <c r="O251" s="53">
        <f t="shared" si="75"/>
        <v>19500669</v>
      </c>
      <c r="P251" s="54">
        <f t="shared" si="75"/>
        <v>19279521</v>
      </c>
      <c r="Q251" s="55">
        <f t="shared" si="68"/>
        <v>188021377</v>
      </c>
      <c r="R251" s="6"/>
      <c r="S251" s="6"/>
    </row>
    <row r="252" ht="12.75" thickTop="1">
      <c r="R252" s="6"/>
    </row>
    <row r="253" spans="1:18" ht="12">
      <c r="A253" s="1" t="s">
        <v>505</v>
      </c>
      <c r="R253" s="6"/>
    </row>
    <row r="254" ht="12">
      <c r="R254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0"/>
  <sheetViews>
    <sheetView workbookViewId="0" topLeftCell="A607">
      <selection activeCell="B621" sqref="B621"/>
    </sheetView>
  </sheetViews>
  <sheetFormatPr defaultColWidth="9.00390625" defaultRowHeight="12.75"/>
  <cols>
    <col min="1" max="1" width="6.00390625" style="210" customWidth="1"/>
    <col min="2" max="2" width="18.25390625" style="211" customWidth="1"/>
    <col min="3" max="3" width="9.25390625" style="212" customWidth="1"/>
    <col min="4" max="6" width="8.75390625" style="4" customWidth="1"/>
    <col min="7" max="7" width="8.75390625" style="213" customWidth="1"/>
    <col min="8" max="8" width="8.75390625" style="4" customWidth="1"/>
    <col min="9" max="9" width="8.75390625" style="213" customWidth="1"/>
    <col min="10" max="11" width="8.75390625" style="4" customWidth="1"/>
    <col min="12" max="12" width="8.625" style="4" customWidth="1"/>
    <col min="13" max="13" width="8.375" style="213" bestFit="1" customWidth="1"/>
    <col min="14" max="14" width="8.625" style="4" customWidth="1"/>
    <col min="15" max="15" width="8.625" style="213" customWidth="1"/>
    <col min="16" max="16" width="9.125" style="4" customWidth="1"/>
    <col min="17" max="17" width="10.875" style="4" customWidth="1"/>
    <col min="18" max="18" width="11.375" style="4" customWidth="1"/>
    <col min="19" max="16384" width="9.125" style="4" customWidth="1"/>
  </cols>
  <sheetData>
    <row r="1" spans="8:13" ht="12.75">
      <c r="H1" s="213"/>
      <c r="M1" s="4" t="s">
        <v>342</v>
      </c>
    </row>
    <row r="2" spans="8:13" ht="12.75">
      <c r="H2" s="213"/>
      <c r="M2" s="4" t="s">
        <v>1</v>
      </c>
    </row>
    <row r="3" spans="8:13" ht="12.75">
      <c r="H3" s="213"/>
      <c r="M3" s="4" t="s">
        <v>2</v>
      </c>
    </row>
    <row r="4" spans="8:13" ht="12.75">
      <c r="H4" s="213"/>
      <c r="M4" s="4" t="s">
        <v>3</v>
      </c>
    </row>
    <row r="5" spans="1:15" s="218" customFormat="1" ht="18.75">
      <c r="A5" s="214" t="s">
        <v>343</v>
      </c>
      <c r="B5" s="215"/>
      <c r="C5" s="216"/>
      <c r="D5" s="216"/>
      <c r="E5" s="216"/>
      <c r="F5" s="216"/>
      <c r="G5" s="217"/>
      <c r="H5" s="216"/>
      <c r="I5" s="217"/>
      <c r="J5" s="216"/>
      <c r="K5" s="216"/>
      <c r="L5" s="216"/>
      <c r="M5" s="217"/>
      <c r="N5" s="216"/>
      <c r="O5" s="217"/>
    </row>
    <row r="6" spans="1:15" s="218" customFormat="1" ht="15.75">
      <c r="A6" s="219" t="s">
        <v>344</v>
      </c>
      <c r="B6" s="215"/>
      <c r="C6" s="216"/>
      <c r="D6" s="216"/>
      <c r="E6" s="216"/>
      <c r="F6" s="216"/>
      <c r="G6" s="217"/>
      <c r="H6" s="216"/>
      <c r="I6" s="217"/>
      <c r="J6" s="216"/>
      <c r="K6" s="216"/>
      <c r="L6" s="216"/>
      <c r="M6" s="217"/>
      <c r="N6" s="216"/>
      <c r="O6" s="217"/>
    </row>
    <row r="7" spans="1:15" ht="13.5" thickBot="1">
      <c r="A7" s="7"/>
      <c r="B7" s="220"/>
      <c r="C7" s="220"/>
      <c r="D7" s="220"/>
      <c r="E7" s="220"/>
      <c r="F7" s="220"/>
      <c r="G7" s="221"/>
      <c r="H7" s="220"/>
      <c r="I7" s="221"/>
      <c r="J7" s="220"/>
      <c r="K7" s="220"/>
      <c r="L7" s="220"/>
      <c r="M7" s="221"/>
      <c r="N7" s="220"/>
      <c r="O7" s="221" t="s">
        <v>345</v>
      </c>
    </row>
    <row r="8" spans="1:15" ht="15.75" customHeight="1" thickTop="1">
      <c r="A8" s="222"/>
      <c r="B8" s="223"/>
      <c r="C8" s="224"/>
      <c r="D8" s="224"/>
      <c r="E8" s="225"/>
      <c r="F8" s="226"/>
      <c r="G8" s="226"/>
      <c r="H8" s="227" t="s">
        <v>346</v>
      </c>
      <c r="I8" s="226"/>
      <c r="J8" s="224"/>
      <c r="K8" s="228"/>
      <c r="L8" s="226"/>
      <c r="M8" s="226"/>
      <c r="N8" s="226"/>
      <c r="O8" s="229"/>
    </row>
    <row r="9" spans="1:15" ht="27.75" customHeight="1" thickBot="1">
      <c r="A9" s="230" t="s">
        <v>347</v>
      </c>
      <c r="B9" s="231" t="s">
        <v>348</v>
      </c>
      <c r="C9" s="232" t="s">
        <v>349</v>
      </c>
      <c r="D9" s="233" t="s">
        <v>14</v>
      </c>
      <c r="E9" s="234" t="s">
        <v>15</v>
      </c>
      <c r="F9" s="233" t="s">
        <v>16</v>
      </c>
      <c r="G9" s="234" t="s">
        <v>17</v>
      </c>
      <c r="H9" s="233" t="s">
        <v>18</v>
      </c>
      <c r="I9" s="234" t="s">
        <v>19</v>
      </c>
      <c r="J9" s="233" t="s">
        <v>20</v>
      </c>
      <c r="K9" s="234" t="s">
        <v>21</v>
      </c>
      <c r="L9" s="233" t="s">
        <v>22</v>
      </c>
      <c r="M9" s="234" t="s">
        <v>23</v>
      </c>
      <c r="N9" s="233" t="s">
        <v>24</v>
      </c>
      <c r="O9" s="235" t="s">
        <v>25</v>
      </c>
    </row>
    <row r="10" spans="1:15" s="241" customFormat="1" ht="11.25" customHeight="1" thickBot="1" thickTop="1">
      <c r="A10" s="236">
        <v>1</v>
      </c>
      <c r="B10" s="237">
        <v>2</v>
      </c>
      <c r="C10" s="238">
        <v>3</v>
      </c>
      <c r="D10" s="238">
        <v>4</v>
      </c>
      <c r="E10" s="238">
        <v>5</v>
      </c>
      <c r="F10" s="239">
        <v>6</v>
      </c>
      <c r="G10" s="239">
        <v>7</v>
      </c>
      <c r="H10" s="239">
        <v>8</v>
      </c>
      <c r="I10" s="239">
        <v>9</v>
      </c>
      <c r="J10" s="238">
        <v>10</v>
      </c>
      <c r="K10" s="238">
        <v>11</v>
      </c>
      <c r="L10" s="239">
        <v>12</v>
      </c>
      <c r="M10" s="239">
        <v>13</v>
      </c>
      <c r="N10" s="239">
        <v>14</v>
      </c>
      <c r="O10" s="240">
        <v>15</v>
      </c>
    </row>
    <row r="11" spans="1:18" s="244" customFormat="1" ht="25.5" customHeight="1" thickBot="1" thickTop="1">
      <c r="A11" s="242" t="s">
        <v>350</v>
      </c>
      <c r="B11" s="243" t="s">
        <v>351</v>
      </c>
      <c r="C11" s="147">
        <f>C14</f>
        <v>1600</v>
      </c>
      <c r="D11" s="147"/>
      <c r="E11" s="147"/>
      <c r="F11" s="147"/>
      <c r="G11" s="147">
        <f>G14</f>
        <v>398</v>
      </c>
      <c r="H11" s="147"/>
      <c r="I11" s="147"/>
      <c r="J11" s="147">
        <f>J14</f>
        <v>390</v>
      </c>
      <c r="K11" s="147"/>
      <c r="L11" s="147"/>
      <c r="M11" s="147">
        <f>M14</f>
        <v>400</v>
      </c>
      <c r="N11" s="147"/>
      <c r="O11" s="149">
        <f>O14</f>
        <v>412</v>
      </c>
      <c r="Q11" s="4"/>
      <c r="R11" s="4"/>
    </row>
    <row r="12" spans="1:15" ht="13.5" hidden="1" thickTop="1">
      <c r="A12" s="245"/>
      <c r="B12" s="246" t="s">
        <v>352</v>
      </c>
      <c r="C12" s="103">
        <f>SUM(C13)</f>
        <v>0</v>
      </c>
      <c r="D12" s="103"/>
      <c r="E12" s="103"/>
      <c r="F12" s="247"/>
      <c r="G12" s="247"/>
      <c r="H12" s="247"/>
      <c r="I12" s="247"/>
      <c r="J12" s="103"/>
      <c r="K12" s="103"/>
      <c r="L12" s="247"/>
      <c r="M12" s="247"/>
      <c r="N12" s="247"/>
      <c r="O12" s="248">
        <f>SUM(O13)</f>
        <v>0</v>
      </c>
    </row>
    <row r="13" spans="1:18" s="254" customFormat="1" ht="13.5" hidden="1" thickTop="1">
      <c r="A13" s="249"/>
      <c r="B13" s="250" t="s">
        <v>353</v>
      </c>
      <c r="C13" s="251">
        <f>SUM(D13:E13)</f>
        <v>0</v>
      </c>
      <c r="D13" s="251"/>
      <c r="E13" s="251"/>
      <c r="F13" s="252"/>
      <c r="G13" s="252"/>
      <c r="H13" s="252"/>
      <c r="I13" s="252"/>
      <c r="J13" s="251"/>
      <c r="K13" s="251"/>
      <c r="L13" s="252"/>
      <c r="M13" s="252"/>
      <c r="N13" s="252"/>
      <c r="O13" s="253"/>
      <c r="Q13" s="4"/>
      <c r="R13" s="4"/>
    </row>
    <row r="14" spans="1:18" s="258" customFormat="1" ht="13.5" customHeight="1" thickTop="1">
      <c r="A14" s="69" t="s">
        <v>354</v>
      </c>
      <c r="B14" s="255" t="s">
        <v>355</v>
      </c>
      <c r="C14" s="256">
        <f>C15</f>
        <v>1600</v>
      </c>
      <c r="D14" s="256"/>
      <c r="E14" s="256"/>
      <c r="F14" s="256"/>
      <c r="G14" s="256">
        <f>G15</f>
        <v>398</v>
      </c>
      <c r="H14" s="256"/>
      <c r="I14" s="256"/>
      <c r="J14" s="256">
        <f>J15</f>
        <v>390</v>
      </c>
      <c r="K14" s="256"/>
      <c r="L14" s="256"/>
      <c r="M14" s="256">
        <f>M15</f>
        <v>400</v>
      </c>
      <c r="N14" s="256"/>
      <c r="O14" s="257">
        <f>O15</f>
        <v>412</v>
      </c>
      <c r="Q14" s="4"/>
      <c r="R14" s="4"/>
    </row>
    <row r="15" spans="1:18" s="260" customFormat="1" ht="12.75" customHeight="1">
      <c r="A15" s="245"/>
      <c r="B15" s="259" t="s">
        <v>356</v>
      </c>
      <c r="C15" s="103">
        <f>SUM(D15:O15)</f>
        <v>1600</v>
      </c>
      <c r="D15" s="103"/>
      <c r="E15" s="103"/>
      <c r="F15" s="103"/>
      <c r="G15" s="103">
        <f>G16</f>
        <v>398</v>
      </c>
      <c r="H15" s="103"/>
      <c r="I15" s="103"/>
      <c r="J15" s="103">
        <v>390</v>
      </c>
      <c r="K15" s="103"/>
      <c r="L15" s="103"/>
      <c r="M15" s="103">
        <f>M16</f>
        <v>400</v>
      </c>
      <c r="N15" s="103"/>
      <c r="O15" s="105">
        <f>O16</f>
        <v>412</v>
      </c>
      <c r="Q15" s="4"/>
      <c r="R15" s="4"/>
    </row>
    <row r="16" spans="1:18" s="254" customFormat="1" ht="12.75" customHeight="1" thickBot="1">
      <c r="A16" s="249"/>
      <c r="B16" s="261" t="s">
        <v>357</v>
      </c>
      <c r="C16" s="251">
        <f>SUM(D16:O16)</f>
        <v>1600</v>
      </c>
      <c r="D16" s="251"/>
      <c r="E16" s="251"/>
      <c r="F16" s="251"/>
      <c r="G16" s="251">
        <v>398</v>
      </c>
      <c r="H16" s="251"/>
      <c r="I16" s="251"/>
      <c r="J16" s="251">
        <v>390</v>
      </c>
      <c r="K16" s="251"/>
      <c r="L16" s="251"/>
      <c r="M16" s="251">
        <v>400</v>
      </c>
      <c r="N16" s="251"/>
      <c r="O16" s="262">
        <v>412</v>
      </c>
      <c r="Q16" s="4"/>
      <c r="R16" s="4"/>
    </row>
    <row r="17" spans="1:18" s="244" customFormat="1" ht="14.25" hidden="1" thickBot="1" thickTop="1">
      <c r="A17" s="263" t="s">
        <v>358</v>
      </c>
      <c r="B17" s="264" t="s">
        <v>359</v>
      </c>
      <c r="C17" s="265">
        <f aca="true" t="shared" si="0" ref="C17:D19">SUM(C18)</f>
        <v>0</v>
      </c>
      <c r="D17" s="265">
        <f t="shared" si="0"/>
        <v>0</v>
      </c>
      <c r="E17" s="265"/>
      <c r="F17" s="265"/>
      <c r="G17" s="265"/>
      <c r="H17" s="265">
        <f>SUM(H18)</f>
        <v>0</v>
      </c>
      <c r="I17" s="265"/>
      <c r="J17" s="265">
        <f>SUM(J18)</f>
        <v>0</v>
      </c>
      <c r="K17" s="265"/>
      <c r="L17" s="265"/>
      <c r="M17" s="265"/>
      <c r="N17" s="265">
        <f>SUM(N18)</f>
        <v>0</v>
      </c>
      <c r="O17" s="266"/>
      <c r="Q17" s="4"/>
      <c r="R17" s="4"/>
    </row>
    <row r="18" spans="1:18" s="258" customFormat="1" ht="24.75" hidden="1" thickBot="1">
      <c r="A18" s="69" t="s">
        <v>360</v>
      </c>
      <c r="B18" s="255" t="s">
        <v>361</v>
      </c>
      <c r="C18" s="267">
        <f t="shared" si="0"/>
        <v>0</v>
      </c>
      <c r="D18" s="267">
        <f t="shared" si="0"/>
        <v>0</v>
      </c>
      <c r="E18" s="267"/>
      <c r="F18" s="267"/>
      <c r="G18" s="267"/>
      <c r="H18" s="267">
        <f>SUM(H19)</f>
        <v>0</v>
      </c>
      <c r="I18" s="267"/>
      <c r="J18" s="267">
        <f>SUM(J19)</f>
        <v>0</v>
      </c>
      <c r="K18" s="267"/>
      <c r="L18" s="267"/>
      <c r="M18" s="267"/>
      <c r="N18" s="267">
        <f>SUM(N19)</f>
        <v>0</v>
      </c>
      <c r="O18" s="268"/>
      <c r="Q18" s="4"/>
      <c r="R18" s="4"/>
    </row>
    <row r="19" spans="1:18" s="260" customFormat="1" ht="13.5" hidden="1" thickBot="1">
      <c r="A19" s="245"/>
      <c r="B19" s="259" t="s">
        <v>356</v>
      </c>
      <c r="C19" s="103">
        <f t="shared" si="0"/>
        <v>0</v>
      </c>
      <c r="D19" s="103">
        <f t="shared" si="0"/>
        <v>0</v>
      </c>
      <c r="E19" s="103"/>
      <c r="F19" s="247"/>
      <c r="G19" s="247"/>
      <c r="H19" s="247">
        <f>SUM(H20)</f>
        <v>0</v>
      </c>
      <c r="I19" s="247"/>
      <c r="J19" s="103">
        <f>SUM(J20)</f>
        <v>0</v>
      </c>
      <c r="K19" s="103"/>
      <c r="L19" s="247"/>
      <c r="M19" s="247"/>
      <c r="N19" s="247">
        <f>SUM(N20)</f>
        <v>0</v>
      </c>
      <c r="O19" s="248"/>
      <c r="Q19" s="4"/>
      <c r="R19" s="4"/>
    </row>
    <row r="20" spans="1:18" s="269" customFormat="1" ht="12.75" hidden="1" thickBot="1">
      <c r="A20" s="249"/>
      <c r="B20" s="261" t="s">
        <v>357</v>
      </c>
      <c r="C20" s="251">
        <f>SUM(D20:E20)</f>
        <v>0</v>
      </c>
      <c r="D20" s="251">
        <f>F20+H20</f>
        <v>0</v>
      </c>
      <c r="E20" s="251"/>
      <c r="F20" s="251"/>
      <c r="G20" s="251"/>
      <c r="H20" s="251"/>
      <c r="I20" s="251"/>
      <c r="J20" s="251">
        <f>L20+N20</f>
        <v>0</v>
      </c>
      <c r="K20" s="251"/>
      <c r="L20" s="251"/>
      <c r="M20" s="251"/>
      <c r="N20" s="251"/>
      <c r="O20" s="262"/>
      <c r="Q20" s="4"/>
      <c r="R20" s="4"/>
    </row>
    <row r="21" spans="1:18" s="244" customFormat="1" ht="16.5" customHeight="1" thickBot="1" thickTop="1">
      <c r="A21" s="270">
        <v>500</v>
      </c>
      <c r="B21" s="243" t="s">
        <v>362</v>
      </c>
      <c r="C21" s="147">
        <f>SUM(C22)</f>
        <v>134000</v>
      </c>
      <c r="D21" s="147">
        <f>SUM(D22)</f>
        <v>11000</v>
      </c>
      <c r="E21" s="147">
        <f aca="true" t="shared" si="1" ref="E21:O21">E24</f>
        <v>11000</v>
      </c>
      <c r="F21" s="147">
        <f t="shared" si="1"/>
        <v>11000</v>
      </c>
      <c r="G21" s="147">
        <f t="shared" si="1"/>
        <v>11000</v>
      </c>
      <c r="H21" s="147">
        <f t="shared" si="1"/>
        <v>12000</v>
      </c>
      <c r="I21" s="147">
        <f t="shared" si="1"/>
        <v>12000</v>
      </c>
      <c r="J21" s="147">
        <f t="shared" si="1"/>
        <v>11000</v>
      </c>
      <c r="K21" s="147">
        <f t="shared" si="1"/>
        <v>11000</v>
      </c>
      <c r="L21" s="147">
        <f t="shared" si="1"/>
        <v>11000</v>
      </c>
      <c r="M21" s="147">
        <f t="shared" si="1"/>
        <v>11000</v>
      </c>
      <c r="N21" s="147">
        <f t="shared" si="1"/>
        <v>11000</v>
      </c>
      <c r="O21" s="149">
        <f t="shared" si="1"/>
        <v>11000</v>
      </c>
      <c r="Q21" s="4"/>
      <c r="R21" s="4"/>
    </row>
    <row r="22" spans="1:18" s="258" customFormat="1" ht="13.5" customHeight="1" thickTop="1">
      <c r="A22" s="271">
        <v>50095</v>
      </c>
      <c r="B22" s="255" t="s">
        <v>86</v>
      </c>
      <c r="C22" s="267">
        <f>SUM(C23)</f>
        <v>134000</v>
      </c>
      <c r="D22" s="272">
        <f aca="true" t="shared" si="2" ref="D22:O22">D23</f>
        <v>11000</v>
      </c>
      <c r="E22" s="272">
        <f t="shared" si="2"/>
        <v>11000</v>
      </c>
      <c r="F22" s="272">
        <f t="shared" si="2"/>
        <v>11000</v>
      </c>
      <c r="G22" s="272">
        <f t="shared" si="2"/>
        <v>11000</v>
      </c>
      <c r="H22" s="272">
        <f t="shared" si="2"/>
        <v>12000</v>
      </c>
      <c r="I22" s="272">
        <f t="shared" si="2"/>
        <v>12000</v>
      </c>
      <c r="J22" s="272">
        <f t="shared" si="2"/>
        <v>11000</v>
      </c>
      <c r="K22" s="272">
        <f t="shared" si="2"/>
        <v>11000</v>
      </c>
      <c r="L22" s="272">
        <f t="shared" si="2"/>
        <v>11000</v>
      </c>
      <c r="M22" s="272">
        <f t="shared" si="2"/>
        <v>11000</v>
      </c>
      <c r="N22" s="272">
        <f t="shared" si="2"/>
        <v>11000</v>
      </c>
      <c r="O22" s="273">
        <f t="shared" si="2"/>
        <v>11000</v>
      </c>
      <c r="Q22" s="4"/>
      <c r="R22" s="4"/>
    </row>
    <row r="23" spans="1:18" s="260" customFormat="1" ht="12.75" customHeight="1">
      <c r="A23" s="245"/>
      <c r="B23" s="259" t="s">
        <v>356</v>
      </c>
      <c r="C23" s="103">
        <f>SUM(D23:O23)</f>
        <v>134000</v>
      </c>
      <c r="D23" s="103">
        <f aca="true" t="shared" si="3" ref="D23:O23">SUM(D24)</f>
        <v>11000</v>
      </c>
      <c r="E23" s="103">
        <f t="shared" si="3"/>
        <v>11000</v>
      </c>
      <c r="F23" s="103">
        <f t="shared" si="3"/>
        <v>11000</v>
      </c>
      <c r="G23" s="103">
        <f t="shared" si="3"/>
        <v>11000</v>
      </c>
      <c r="H23" s="103">
        <f t="shared" si="3"/>
        <v>12000</v>
      </c>
      <c r="I23" s="103">
        <f t="shared" si="3"/>
        <v>12000</v>
      </c>
      <c r="J23" s="103">
        <f t="shared" si="3"/>
        <v>11000</v>
      </c>
      <c r="K23" s="103">
        <f t="shared" si="3"/>
        <v>11000</v>
      </c>
      <c r="L23" s="103">
        <f t="shared" si="3"/>
        <v>11000</v>
      </c>
      <c r="M23" s="103">
        <f t="shared" si="3"/>
        <v>11000</v>
      </c>
      <c r="N23" s="103">
        <f t="shared" si="3"/>
        <v>11000</v>
      </c>
      <c r="O23" s="105">
        <f t="shared" si="3"/>
        <v>11000</v>
      </c>
      <c r="Q23" s="4"/>
      <c r="R23" s="4"/>
    </row>
    <row r="24" spans="1:18" s="269" customFormat="1" ht="12.75" customHeight="1" thickBot="1">
      <c r="A24" s="249"/>
      <c r="B24" s="261" t="s">
        <v>357</v>
      </c>
      <c r="C24" s="251">
        <f>SUM(D24:O24)</f>
        <v>134000</v>
      </c>
      <c r="D24" s="251">
        <v>11000</v>
      </c>
      <c r="E24" s="251">
        <v>11000</v>
      </c>
      <c r="F24" s="251">
        <v>11000</v>
      </c>
      <c r="G24" s="251">
        <v>11000</v>
      </c>
      <c r="H24" s="251">
        <v>12000</v>
      </c>
      <c r="I24" s="251">
        <v>12000</v>
      </c>
      <c r="J24" s="251">
        <v>11000</v>
      </c>
      <c r="K24" s="251">
        <v>11000</v>
      </c>
      <c r="L24" s="251">
        <v>11000</v>
      </c>
      <c r="M24" s="251">
        <v>11000</v>
      </c>
      <c r="N24" s="251">
        <v>11000</v>
      </c>
      <c r="O24" s="262">
        <v>11000</v>
      </c>
      <c r="Q24" s="4"/>
      <c r="R24" s="4"/>
    </row>
    <row r="25" spans="1:18" s="244" customFormat="1" ht="25.5" customHeight="1" thickBot="1" thickTop="1">
      <c r="A25" s="270">
        <v>600</v>
      </c>
      <c r="B25" s="243" t="s">
        <v>363</v>
      </c>
      <c r="C25" s="147">
        <f>SUM(C35+C45+C29+C26+C41)</f>
        <v>48314170</v>
      </c>
      <c r="D25" s="147">
        <f aca="true" t="shared" si="4" ref="D25:O25">SUM(D35+D45+D29+D26+D41)</f>
        <v>3018790</v>
      </c>
      <c r="E25" s="147">
        <f t="shared" si="4"/>
        <v>3493500</v>
      </c>
      <c r="F25" s="147">
        <f t="shared" si="4"/>
        <v>2527000</v>
      </c>
      <c r="G25" s="147">
        <f t="shared" si="4"/>
        <v>3089300</v>
      </c>
      <c r="H25" s="147">
        <f t="shared" si="4"/>
        <v>2708000</v>
      </c>
      <c r="I25" s="147">
        <f t="shared" si="4"/>
        <v>4528880</v>
      </c>
      <c r="J25" s="147">
        <f t="shared" si="4"/>
        <v>6092500</v>
      </c>
      <c r="K25" s="147">
        <f t="shared" si="4"/>
        <v>5799900</v>
      </c>
      <c r="L25" s="147">
        <f t="shared" si="4"/>
        <v>5610700</v>
      </c>
      <c r="M25" s="147">
        <f t="shared" si="4"/>
        <v>5975600</v>
      </c>
      <c r="N25" s="147">
        <f t="shared" si="4"/>
        <v>2800000</v>
      </c>
      <c r="O25" s="149">
        <f t="shared" si="4"/>
        <v>2670000</v>
      </c>
      <c r="Q25" s="4"/>
      <c r="R25" s="4"/>
    </row>
    <row r="26" spans="1:18" s="258" customFormat="1" ht="24" customHeight="1" thickTop="1">
      <c r="A26" s="271">
        <v>60004</v>
      </c>
      <c r="B26" s="255" t="s">
        <v>364</v>
      </c>
      <c r="C26" s="256">
        <f>C27</f>
        <v>4000000</v>
      </c>
      <c r="D26" s="256"/>
      <c r="E26" s="256"/>
      <c r="F26" s="256">
        <f aca="true" t="shared" si="5" ref="F26:O27">SUM(F27)</f>
        <v>400000</v>
      </c>
      <c r="G26" s="256">
        <f t="shared" si="5"/>
        <v>400000</v>
      </c>
      <c r="H26" s="256">
        <f t="shared" si="5"/>
        <v>400000</v>
      </c>
      <c r="I26" s="256">
        <f t="shared" si="5"/>
        <v>400000</v>
      </c>
      <c r="J26" s="256">
        <f t="shared" si="5"/>
        <v>400000</v>
      </c>
      <c r="K26" s="256">
        <f t="shared" si="5"/>
        <v>400000</v>
      </c>
      <c r="L26" s="256">
        <f t="shared" si="5"/>
        <v>400000</v>
      </c>
      <c r="M26" s="256">
        <f t="shared" si="5"/>
        <v>400000</v>
      </c>
      <c r="N26" s="256">
        <f t="shared" si="5"/>
        <v>400000</v>
      </c>
      <c r="O26" s="257">
        <f t="shared" si="5"/>
        <v>400000</v>
      </c>
      <c r="Q26" s="4"/>
      <c r="R26" s="4"/>
    </row>
    <row r="27" spans="1:18" s="260" customFormat="1" ht="12.75" customHeight="1">
      <c r="A27" s="245"/>
      <c r="B27" s="246" t="s">
        <v>365</v>
      </c>
      <c r="C27" s="103">
        <f>SUM(D27:O27)</f>
        <v>4000000</v>
      </c>
      <c r="D27" s="172"/>
      <c r="E27" s="172"/>
      <c r="F27" s="172">
        <f t="shared" si="5"/>
        <v>400000</v>
      </c>
      <c r="G27" s="172">
        <f t="shared" si="5"/>
        <v>400000</v>
      </c>
      <c r="H27" s="172">
        <f t="shared" si="5"/>
        <v>400000</v>
      </c>
      <c r="I27" s="172">
        <f t="shared" si="5"/>
        <v>400000</v>
      </c>
      <c r="J27" s="172">
        <f t="shared" si="5"/>
        <v>400000</v>
      </c>
      <c r="K27" s="172">
        <f t="shared" si="5"/>
        <v>400000</v>
      </c>
      <c r="L27" s="172">
        <f t="shared" si="5"/>
        <v>400000</v>
      </c>
      <c r="M27" s="172">
        <f t="shared" si="5"/>
        <v>400000</v>
      </c>
      <c r="N27" s="172">
        <f t="shared" si="5"/>
        <v>400000</v>
      </c>
      <c r="O27" s="174">
        <f t="shared" si="5"/>
        <v>400000</v>
      </c>
      <c r="Q27" s="4"/>
      <c r="R27" s="4"/>
    </row>
    <row r="28" spans="1:18" s="269" customFormat="1" ht="12.75" customHeight="1">
      <c r="A28" s="249"/>
      <c r="B28" s="261" t="s">
        <v>357</v>
      </c>
      <c r="C28" s="251">
        <f>SUM(D28:O28)</f>
        <v>4000000</v>
      </c>
      <c r="D28" s="251"/>
      <c r="E28" s="251"/>
      <c r="F28" s="251">
        <v>400000</v>
      </c>
      <c r="G28" s="251">
        <v>400000</v>
      </c>
      <c r="H28" s="251">
        <v>400000</v>
      </c>
      <c r="I28" s="251">
        <v>400000</v>
      </c>
      <c r="J28" s="251">
        <v>400000</v>
      </c>
      <c r="K28" s="251">
        <v>400000</v>
      </c>
      <c r="L28" s="251">
        <v>400000</v>
      </c>
      <c r="M28" s="251">
        <v>400000</v>
      </c>
      <c r="N28" s="251">
        <v>400000</v>
      </c>
      <c r="O28" s="262">
        <v>400000</v>
      </c>
      <c r="Q28" s="4"/>
      <c r="R28" s="4"/>
    </row>
    <row r="29" spans="1:18" s="258" customFormat="1" ht="35.25" customHeight="1">
      <c r="A29" s="271">
        <v>60015</v>
      </c>
      <c r="B29" s="255" t="s">
        <v>366</v>
      </c>
      <c r="C29" s="256">
        <f>C30+C33</f>
        <v>39027980</v>
      </c>
      <c r="D29" s="256">
        <f>D30+D33</f>
        <v>2700000</v>
      </c>
      <c r="E29" s="256">
        <f aca="true" t="shared" si="6" ref="E29:O29">E30+E33</f>
        <v>3200000</v>
      </c>
      <c r="F29" s="256">
        <f t="shared" si="6"/>
        <v>1750000</v>
      </c>
      <c r="G29" s="256">
        <f t="shared" si="6"/>
        <v>2210000</v>
      </c>
      <c r="H29" s="256">
        <f t="shared" si="6"/>
        <v>1800000</v>
      </c>
      <c r="I29" s="256">
        <f t="shared" si="6"/>
        <v>3438880</v>
      </c>
      <c r="J29" s="256">
        <f t="shared" si="6"/>
        <v>4977500</v>
      </c>
      <c r="K29" s="256">
        <f t="shared" si="6"/>
        <v>4725300</v>
      </c>
      <c r="L29" s="256">
        <f t="shared" si="6"/>
        <v>4750700</v>
      </c>
      <c r="M29" s="256">
        <f t="shared" si="6"/>
        <v>5225600</v>
      </c>
      <c r="N29" s="256">
        <f t="shared" si="6"/>
        <v>2150000</v>
      </c>
      <c r="O29" s="257">
        <f t="shared" si="6"/>
        <v>2100000</v>
      </c>
      <c r="Q29" s="4"/>
      <c r="R29" s="4"/>
    </row>
    <row r="30" spans="1:18" s="260" customFormat="1" ht="12">
      <c r="A30" s="245"/>
      <c r="B30" s="259" t="s">
        <v>356</v>
      </c>
      <c r="C30" s="103">
        <f>SUM(D30:O30)</f>
        <v>3295000</v>
      </c>
      <c r="D30" s="172">
        <f>SUM(D31)</f>
        <v>200000</v>
      </c>
      <c r="E30" s="172">
        <f aca="true" t="shared" si="7" ref="E30:O30">SUM(E31)</f>
        <v>200000</v>
      </c>
      <c r="F30" s="172">
        <f t="shared" si="7"/>
        <v>250000</v>
      </c>
      <c r="G30" s="172">
        <f t="shared" si="7"/>
        <v>210000</v>
      </c>
      <c r="H30" s="172">
        <f t="shared" si="7"/>
        <v>300000</v>
      </c>
      <c r="I30" s="172">
        <f t="shared" si="7"/>
        <v>360000</v>
      </c>
      <c r="J30" s="172">
        <f t="shared" si="7"/>
        <v>380000</v>
      </c>
      <c r="K30" s="172">
        <f t="shared" si="7"/>
        <v>500000</v>
      </c>
      <c r="L30" s="172">
        <f t="shared" si="7"/>
        <v>400000</v>
      </c>
      <c r="M30" s="172">
        <f t="shared" si="7"/>
        <v>245000</v>
      </c>
      <c r="N30" s="172">
        <f t="shared" si="7"/>
        <v>150000</v>
      </c>
      <c r="O30" s="174">
        <f t="shared" si="7"/>
        <v>100000</v>
      </c>
      <c r="Q30" s="4"/>
      <c r="R30" s="4"/>
    </row>
    <row r="31" spans="1:18" s="269" customFormat="1" ht="12">
      <c r="A31" s="249"/>
      <c r="B31" s="261" t="s">
        <v>357</v>
      </c>
      <c r="C31" s="251">
        <f>SUM(D31:O31)</f>
        <v>3295000</v>
      </c>
      <c r="D31" s="251">
        <v>200000</v>
      </c>
      <c r="E31" s="251">
        <v>200000</v>
      </c>
      <c r="F31" s="251">
        <v>250000</v>
      </c>
      <c r="G31" s="251">
        <v>210000</v>
      </c>
      <c r="H31" s="251">
        <v>300000</v>
      </c>
      <c r="I31" s="251">
        <v>360000</v>
      </c>
      <c r="J31" s="251">
        <v>380000</v>
      </c>
      <c r="K31" s="251">
        <v>500000</v>
      </c>
      <c r="L31" s="251">
        <v>400000</v>
      </c>
      <c r="M31" s="251">
        <v>245000</v>
      </c>
      <c r="N31" s="251">
        <v>150000</v>
      </c>
      <c r="O31" s="262">
        <v>100000</v>
      </c>
      <c r="Q31" s="4"/>
      <c r="R31" s="4"/>
    </row>
    <row r="32" spans="1:18" s="269" customFormat="1" ht="12" customHeight="1">
      <c r="A32" s="249"/>
      <c r="B32" s="261" t="s">
        <v>367</v>
      </c>
      <c r="C32" s="251">
        <f>SUM(D32:O32)</f>
        <v>3000000</v>
      </c>
      <c r="D32" s="251">
        <v>185000</v>
      </c>
      <c r="E32" s="251">
        <v>185000</v>
      </c>
      <c r="F32" s="251">
        <v>225000</v>
      </c>
      <c r="G32" s="251">
        <v>195000</v>
      </c>
      <c r="H32" s="251">
        <v>275000</v>
      </c>
      <c r="I32" s="251">
        <v>335000</v>
      </c>
      <c r="J32" s="251">
        <v>355000</v>
      </c>
      <c r="K32" s="251">
        <v>475000</v>
      </c>
      <c r="L32" s="251">
        <v>375000</v>
      </c>
      <c r="M32" s="251">
        <v>220000</v>
      </c>
      <c r="N32" s="251">
        <v>145000</v>
      </c>
      <c r="O32" s="262">
        <v>30000</v>
      </c>
      <c r="Q32" s="4"/>
      <c r="R32" s="4"/>
    </row>
    <row r="33" spans="1:15" ht="12">
      <c r="A33" s="245"/>
      <c r="B33" s="246" t="s">
        <v>352</v>
      </c>
      <c r="C33" s="103">
        <f>SUM(D33:O33)</f>
        <v>35732980</v>
      </c>
      <c r="D33" s="103">
        <f aca="true" t="shared" si="8" ref="D33:L33">D34</f>
        <v>2500000</v>
      </c>
      <c r="E33" s="103">
        <f t="shared" si="8"/>
        <v>3000000</v>
      </c>
      <c r="F33" s="103">
        <f t="shared" si="8"/>
        <v>1500000</v>
      </c>
      <c r="G33" s="103">
        <f t="shared" si="8"/>
        <v>2000000</v>
      </c>
      <c r="H33" s="103">
        <f t="shared" si="8"/>
        <v>1500000</v>
      </c>
      <c r="I33" s="103">
        <f t="shared" si="8"/>
        <v>3078880</v>
      </c>
      <c r="J33" s="103">
        <f t="shared" si="8"/>
        <v>4597500</v>
      </c>
      <c r="K33" s="103">
        <f t="shared" si="8"/>
        <v>4225300</v>
      </c>
      <c r="L33" s="103">
        <f t="shared" si="8"/>
        <v>4350700</v>
      </c>
      <c r="M33" s="103">
        <f>SUM(M34)</f>
        <v>4980600</v>
      </c>
      <c r="N33" s="103">
        <f>N34</f>
        <v>2000000</v>
      </c>
      <c r="O33" s="105">
        <f>O34</f>
        <v>2000000</v>
      </c>
    </row>
    <row r="34" spans="1:18" s="254" customFormat="1" ht="12" customHeight="1">
      <c r="A34" s="249"/>
      <c r="B34" s="250" t="s">
        <v>368</v>
      </c>
      <c r="C34" s="251">
        <f>SUM(D34:O34)</f>
        <v>35732980</v>
      </c>
      <c r="D34" s="251">
        <v>2500000</v>
      </c>
      <c r="E34" s="251">
        <v>3000000</v>
      </c>
      <c r="F34" s="251">
        <v>1500000</v>
      </c>
      <c r="G34" s="251">
        <v>2000000</v>
      </c>
      <c r="H34" s="251">
        <v>1500000</v>
      </c>
      <c r="I34" s="251">
        <f>578880+2500000</f>
        <v>3078880</v>
      </c>
      <c r="J34" s="251">
        <f>2097500+2500000</f>
        <v>4597500</v>
      </c>
      <c r="K34" s="251">
        <f>1725300+2500000</f>
        <v>4225300</v>
      </c>
      <c r="L34" s="251">
        <f>1850700+2500000</f>
        <v>4350700</v>
      </c>
      <c r="M34" s="251">
        <f>2480600+2500000</f>
        <v>4980600</v>
      </c>
      <c r="N34" s="251">
        <v>2000000</v>
      </c>
      <c r="O34" s="262">
        <v>2000000</v>
      </c>
      <c r="Q34" s="4"/>
      <c r="R34" s="4"/>
    </row>
    <row r="35" spans="1:18" s="258" customFormat="1" ht="18.75" customHeight="1">
      <c r="A35" s="271">
        <v>60016</v>
      </c>
      <c r="B35" s="255" t="s">
        <v>43</v>
      </c>
      <c r="C35" s="256">
        <f>C36+C39</f>
        <v>3060000</v>
      </c>
      <c r="D35" s="256">
        <f>D36+D39</f>
        <v>100000</v>
      </c>
      <c r="E35" s="256">
        <f aca="true" t="shared" si="9" ref="E35:O35">E36+E39</f>
        <v>150000</v>
      </c>
      <c r="F35" s="256">
        <f t="shared" si="9"/>
        <v>210000</v>
      </c>
      <c r="G35" s="256">
        <f t="shared" si="9"/>
        <v>250000</v>
      </c>
      <c r="H35" s="256">
        <f t="shared" si="9"/>
        <v>250000</v>
      </c>
      <c r="I35" s="256">
        <f t="shared" si="9"/>
        <v>470000</v>
      </c>
      <c r="J35" s="256">
        <f t="shared" si="9"/>
        <v>500000</v>
      </c>
      <c r="K35" s="256">
        <f t="shared" si="9"/>
        <v>480000</v>
      </c>
      <c r="L35" s="256">
        <f t="shared" si="9"/>
        <v>300000</v>
      </c>
      <c r="M35" s="256">
        <f t="shared" si="9"/>
        <v>200000</v>
      </c>
      <c r="N35" s="256">
        <f t="shared" si="9"/>
        <v>100000</v>
      </c>
      <c r="O35" s="257">
        <f t="shared" si="9"/>
        <v>50000</v>
      </c>
      <c r="Q35" s="4"/>
      <c r="R35" s="4"/>
    </row>
    <row r="36" spans="1:15" ht="12.75" customHeight="1">
      <c r="A36" s="245"/>
      <c r="B36" s="259" t="s">
        <v>356</v>
      </c>
      <c r="C36" s="103">
        <f>SUM(D36:O36)</f>
        <v>2110000</v>
      </c>
      <c r="D36" s="172">
        <f>SUM(D37)</f>
        <v>50000</v>
      </c>
      <c r="E36" s="172">
        <f aca="true" t="shared" si="10" ref="E36:O36">SUM(E37)</f>
        <v>50000</v>
      </c>
      <c r="F36" s="172">
        <f t="shared" si="10"/>
        <v>100000</v>
      </c>
      <c r="G36" s="172">
        <f t="shared" si="10"/>
        <v>150000</v>
      </c>
      <c r="H36" s="172">
        <f t="shared" si="10"/>
        <v>150000</v>
      </c>
      <c r="I36" s="172">
        <f t="shared" si="10"/>
        <v>280000</v>
      </c>
      <c r="J36" s="172">
        <f t="shared" si="10"/>
        <v>300000</v>
      </c>
      <c r="K36" s="172">
        <f t="shared" si="10"/>
        <v>380000</v>
      </c>
      <c r="L36" s="172">
        <f t="shared" si="10"/>
        <v>300000</v>
      </c>
      <c r="M36" s="172">
        <f t="shared" si="10"/>
        <v>200000</v>
      </c>
      <c r="N36" s="172">
        <f t="shared" si="10"/>
        <v>100000</v>
      </c>
      <c r="O36" s="174">
        <f t="shared" si="10"/>
        <v>50000</v>
      </c>
    </row>
    <row r="37" spans="1:18" s="254" customFormat="1" ht="12.75" customHeight="1">
      <c r="A37" s="249"/>
      <c r="B37" s="261" t="s">
        <v>357</v>
      </c>
      <c r="C37" s="251">
        <f>SUM(D37:O37)</f>
        <v>2110000</v>
      </c>
      <c r="D37" s="251">
        <v>50000</v>
      </c>
      <c r="E37" s="251">
        <v>50000</v>
      </c>
      <c r="F37" s="251">
        <v>100000</v>
      </c>
      <c r="G37" s="251">
        <v>150000</v>
      </c>
      <c r="H37" s="251">
        <v>150000</v>
      </c>
      <c r="I37" s="251">
        <v>280000</v>
      </c>
      <c r="J37" s="251">
        <v>300000</v>
      </c>
      <c r="K37" s="251">
        <v>380000</v>
      </c>
      <c r="L37" s="251">
        <v>300000</v>
      </c>
      <c r="M37" s="251">
        <v>200000</v>
      </c>
      <c r="N37" s="251">
        <v>100000</v>
      </c>
      <c r="O37" s="262">
        <v>50000</v>
      </c>
      <c r="Q37" s="4"/>
      <c r="R37" s="4"/>
    </row>
    <row r="38" spans="1:18" s="254" customFormat="1" ht="12.75" customHeight="1">
      <c r="A38" s="249"/>
      <c r="B38" s="261" t="s">
        <v>367</v>
      </c>
      <c r="C38" s="251">
        <f>SUM(D38:O38)</f>
        <v>2000000</v>
      </c>
      <c r="D38" s="251">
        <v>30000</v>
      </c>
      <c r="E38" s="251">
        <v>30000</v>
      </c>
      <c r="F38" s="251">
        <v>85000</v>
      </c>
      <c r="G38" s="251">
        <v>100000</v>
      </c>
      <c r="H38" s="251">
        <v>150000</v>
      </c>
      <c r="I38" s="251">
        <v>280000</v>
      </c>
      <c r="J38" s="251">
        <v>300000</v>
      </c>
      <c r="K38" s="251">
        <v>380000</v>
      </c>
      <c r="L38" s="251">
        <v>300000</v>
      </c>
      <c r="M38" s="251">
        <v>200000</v>
      </c>
      <c r="N38" s="251">
        <v>100000</v>
      </c>
      <c r="O38" s="262">
        <v>45000</v>
      </c>
      <c r="Q38" s="4"/>
      <c r="R38" s="4"/>
    </row>
    <row r="39" spans="1:15" ht="12.75" customHeight="1">
      <c r="A39" s="274"/>
      <c r="B39" s="275" t="s">
        <v>352</v>
      </c>
      <c r="C39" s="172">
        <f>SUM(D39:O39)</f>
        <v>950000</v>
      </c>
      <c r="D39" s="172">
        <f>D40</f>
        <v>50000</v>
      </c>
      <c r="E39" s="172">
        <f aca="true" t="shared" si="11" ref="E39:K39">SUM(E40)</f>
        <v>100000</v>
      </c>
      <c r="F39" s="172">
        <f t="shared" si="11"/>
        <v>110000</v>
      </c>
      <c r="G39" s="172">
        <f t="shared" si="11"/>
        <v>100000</v>
      </c>
      <c r="H39" s="172">
        <f t="shared" si="11"/>
        <v>100000</v>
      </c>
      <c r="I39" s="172">
        <f t="shared" si="11"/>
        <v>190000</v>
      </c>
      <c r="J39" s="172">
        <f t="shared" si="11"/>
        <v>200000</v>
      </c>
      <c r="K39" s="172">
        <f t="shared" si="11"/>
        <v>100000</v>
      </c>
      <c r="L39" s="172"/>
      <c r="M39" s="172"/>
      <c r="N39" s="172"/>
      <c r="O39" s="174"/>
    </row>
    <row r="40" spans="1:18" s="254" customFormat="1" ht="12.75" customHeight="1">
      <c r="A40" s="276"/>
      <c r="B40" s="277" t="s">
        <v>368</v>
      </c>
      <c r="C40" s="186">
        <f>SUM(D40:O40)</f>
        <v>950000</v>
      </c>
      <c r="D40" s="186">
        <v>50000</v>
      </c>
      <c r="E40" s="186">
        <v>100000</v>
      </c>
      <c r="F40" s="186">
        <v>110000</v>
      </c>
      <c r="G40" s="186">
        <v>100000</v>
      </c>
      <c r="H40" s="186">
        <v>100000</v>
      </c>
      <c r="I40" s="186">
        <v>190000</v>
      </c>
      <c r="J40" s="186">
        <v>200000</v>
      </c>
      <c r="K40" s="186">
        <v>100000</v>
      </c>
      <c r="L40" s="186"/>
      <c r="M40" s="186"/>
      <c r="N40" s="186"/>
      <c r="O40" s="188"/>
      <c r="Q40" s="4"/>
      <c r="R40" s="4"/>
    </row>
    <row r="41" spans="1:18" s="258" customFormat="1" ht="13.5" customHeight="1">
      <c r="A41" s="271">
        <v>60017</v>
      </c>
      <c r="B41" s="255" t="s">
        <v>369</v>
      </c>
      <c r="C41" s="256">
        <f>C42</f>
        <v>334600</v>
      </c>
      <c r="D41" s="256">
        <f>D42</f>
        <v>20000</v>
      </c>
      <c r="E41" s="256">
        <f aca="true" t="shared" si="12" ref="E41:O41">E42</f>
        <v>20000</v>
      </c>
      <c r="F41" s="256">
        <f t="shared" si="12"/>
        <v>30000</v>
      </c>
      <c r="G41" s="256">
        <f t="shared" si="12"/>
        <v>30000</v>
      </c>
      <c r="H41" s="256">
        <f t="shared" si="12"/>
        <v>50000</v>
      </c>
      <c r="I41" s="256">
        <f t="shared" si="12"/>
        <v>50000</v>
      </c>
      <c r="J41" s="256">
        <f t="shared" si="12"/>
        <v>30000</v>
      </c>
      <c r="K41" s="256">
        <f t="shared" si="12"/>
        <v>34600</v>
      </c>
      <c r="L41" s="256">
        <f t="shared" si="12"/>
        <v>30000</v>
      </c>
      <c r="M41" s="256">
        <f t="shared" si="12"/>
        <v>20000</v>
      </c>
      <c r="N41" s="256">
        <f t="shared" si="12"/>
        <v>20000</v>
      </c>
      <c r="O41" s="257">
        <f t="shared" si="12"/>
        <v>0</v>
      </c>
      <c r="Q41" s="4"/>
      <c r="R41" s="4"/>
    </row>
    <row r="42" spans="1:15" ht="12.75" customHeight="1">
      <c r="A42" s="245"/>
      <c r="B42" s="259" t="s">
        <v>356</v>
      </c>
      <c r="C42" s="103">
        <f>SUM(D42:O42)</f>
        <v>334600</v>
      </c>
      <c r="D42" s="103">
        <f aca="true" t="shared" si="13" ref="D42:O42">SUM(D43)</f>
        <v>20000</v>
      </c>
      <c r="E42" s="172">
        <f t="shared" si="13"/>
        <v>20000</v>
      </c>
      <c r="F42" s="172">
        <f t="shared" si="13"/>
        <v>30000</v>
      </c>
      <c r="G42" s="172">
        <f t="shared" si="13"/>
        <v>30000</v>
      </c>
      <c r="H42" s="172">
        <f t="shared" si="13"/>
        <v>50000</v>
      </c>
      <c r="I42" s="172">
        <f t="shared" si="13"/>
        <v>50000</v>
      </c>
      <c r="J42" s="172">
        <f t="shared" si="13"/>
        <v>30000</v>
      </c>
      <c r="K42" s="172">
        <f t="shared" si="13"/>
        <v>34600</v>
      </c>
      <c r="L42" s="172">
        <f t="shared" si="13"/>
        <v>30000</v>
      </c>
      <c r="M42" s="172">
        <f t="shared" si="13"/>
        <v>20000</v>
      </c>
      <c r="N42" s="172">
        <f t="shared" si="13"/>
        <v>20000</v>
      </c>
      <c r="O42" s="174">
        <f t="shared" si="13"/>
        <v>0</v>
      </c>
    </row>
    <row r="43" spans="1:18" s="254" customFormat="1" ht="12.75" customHeight="1">
      <c r="A43" s="249"/>
      <c r="B43" s="261" t="s">
        <v>357</v>
      </c>
      <c r="C43" s="251">
        <f>SUM(D43:O43)</f>
        <v>334600</v>
      </c>
      <c r="D43" s="251">
        <v>20000</v>
      </c>
      <c r="E43" s="251">
        <v>20000</v>
      </c>
      <c r="F43" s="251">
        <v>30000</v>
      </c>
      <c r="G43" s="251">
        <v>30000</v>
      </c>
      <c r="H43" s="251">
        <v>50000</v>
      </c>
      <c r="I43" s="251">
        <v>50000</v>
      </c>
      <c r="J43" s="251">
        <v>30000</v>
      </c>
      <c r="K43" s="251">
        <v>34600</v>
      </c>
      <c r="L43" s="251">
        <v>30000</v>
      </c>
      <c r="M43" s="251">
        <v>20000</v>
      </c>
      <c r="N43" s="251">
        <v>20000</v>
      </c>
      <c r="O43" s="262"/>
      <c r="Q43" s="4"/>
      <c r="R43" s="4"/>
    </row>
    <row r="44" spans="1:18" s="254" customFormat="1" ht="12.75" customHeight="1">
      <c r="A44" s="249"/>
      <c r="B44" s="261" t="s">
        <v>367</v>
      </c>
      <c r="C44" s="251">
        <f>SUM(D44:O44)</f>
        <v>327600</v>
      </c>
      <c r="D44" s="251">
        <v>13000</v>
      </c>
      <c r="E44" s="251">
        <v>20000</v>
      </c>
      <c r="F44" s="251">
        <v>30000</v>
      </c>
      <c r="G44" s="251">
        <v>30000</v>
      </c>
      <c r="H44" s="251">
        <v>50000</v>
      </c>
      <c r="I44" s="251">
        <v>50000</v>
      </c>
      <c r="J44" s="251">
        <v>30000</v>
      </c>
      <c r="K44" s="251">
        <v>34600</v>
      </c>
      <c r="L44" s="251">
        <v>30000</v>
      </c>
      <c r="M44" s="251">
        <v>20000</v>
      </c>
      <c r="N44" s="251">
        <v>20000</v>
      </c>
      <c r="O44" s="262"/>
      <c r="Q44" s="4"/>
      <c r="R44" s="4"/>
    </row>
    <row r="45" spans="1:15" ht="13.5" customHeight="1">
      <c r="A45" s="271">
        <v>60095</v>
      </c>
      <c r="B45" s="278" t="s">
        <v>86</v>
      </c>
      <c r="C45" s="267">
        <f aca="true" t="shared" si="14" ref="C45:O45">C46+C50</f>
        <v>1891590</v>
      </c>
      <c r="D45" s="267">
        <f t="shared" si="14"/>
        <v>198790</v>
      </c>
      <c r="E45" s="267">
        <f t="shared" si="14"/>
        <v>123500</v>
      </c>
      <c r="F45" s="267">
        <f t="shared" si="14"/>
        <v>137000</v>
      </c>
      <c r="G45" s="267">
        <f t="shared" si="14"/>
        <v>199300</v>
      </c>
      <c r="H45" s="267">
        <f t="shared" si="14"/>
        <v>208000</v>
      </c>
      <c r="I45" s="267">
        <f t="shared" si="14"/>
        <v>170000</v>
      </c>
      <c r="J45" s="267">
        <f t="shared" si="14"/>
        <v>185000</v>
      </c>
      <c r="K45" s="267">
        <f t="shared" si="14"/>
        <v>160000</v>
      </c>
      <c r="L45" s="267">
        <f t="shared" si="14"/>
        <v>130000</v>
      </c>
      <c r="M45" s="267">
        <f t="shared" si="14"/>
        <v>130000</v>
      </c>
      <c r="N45" s="267">
        <f t="shared" si="14"/>
        <v>130000</v>
      </c>
      <c r="O45" s="268">
        <f t="shared" si="14"/>
        <v>120000</v>
      </c>
    </row>
    <row r="46" spans="1:15" ht="12.75" customHeight="1">
      <c r="A46" s="245"/>
      <c r="B46" s="259" t="s">
        <v>356</v>
      </c>
      <c r="C46" s="103">
        <f>SUM(D46:O46)</f>
        <v>1844090</v>
      </c>
      <c r="D46" s="103">
        <f aca="true" t="shared" si="15" ref="D46:O46">SUM(D47:D48)</f>
        <v>198790</v>
      </c>
      <c r="E46" s="103">
        <f t="shared" si="15"/>
        <v>113000</v>
      </c>
      <c r="F46" s="103">
        <f t="shared" si="15"/>
        <v>120000</v>
      </c>
      <c r="G46" s="103">
        <f t="shared" si="15"/>
        <v>187300</v>
      </c>
      <c r="H46" s="103">
        <f t="shared" si="15"/>
        <v>200000</v>
      </c>
      <c r="I46" s="103">
        <f t="shared" si="15"/>
        <v>170000</v>
      </c>
      <c r="J46" s="103">
        <f t="shared" si="15"/>
        <v>185000</v>
      </c>
      <c r="K46" s="103">
        <f t="shared" si="15"/>
        <v>160000</v>
      </c>
      <c r="L46" s="103">
        <f t="shared" si="15"/>
        <v>130000</v>
      </c>
      <c r="M46" s="103">
        <f t="shared" si="15"/>
        <v>130000</v>
      </c>
      <c r="N46" s="103">
        <f t="shared" si="15"/>
        <v>130000</v>
      </c>
      <c r="O46" s="174">
        <f t="shared" si="15"/>
        <v>120000</v>
      </c>
    </row>
    <row r="47" spans="1:18" s="254" customFormat="1" ht="24.75" customHeight="1">
      <c r="A47" s="249"/>
      <c r="B47" s="261" t="s">
        <v>370</v>
      </c>
      <c r="C47" s="251">
        <f>SUM(D47:O47)</f>
        <v>1249860</v>
      </c>
      <c r="D47" s="251">
        <v>174860</v>
      </c>
      <c r="E47" s="251">
        <v>90000</v>
      </c>
      <c r="F47" s="251">
        <v>90000</v>
      </c>
      <c r="G47" s="251">
        <v>90000</v>
      </c>
      <c r="H47" s="251">
        <v>100000</v>
      </c>
      <c r="I47" s="251">
        <v>100000</v>
      </c>
      <c r="J47" s="251">
        <v>105000</v>
      </c>
      <c r="K47" s="251">
        <v>100000</v>
      </c>
      <c r="L47" s="251">
        <v>100000</v>
      </c>
      <c r="M47" s="251">
        <v>100000</v>
      </c>
      <c r="N47" s="251">
        <v>100000</v>
      </c>
      <c r="O47" s="262">
        <v>100000</v>
      </c>
      <c r="Q47" s="4"/>
      <c r="R47" s="4"/>
    </row>
    <row r="48" spans="1:18" s="254" customFormat="1" ht="12.75" customHeight="1">
      <c r="A48" s="249"/>
      <c r="B48" s="261" t="s">
        <v>357</v>
      </c>
      <c r="C48" s="251">
        <f>SUM(D48:O48)</f>
        <v>594230</v>
      </c>
      <c r="D48" s="251">
        <v>23930</v>
      </c>
      <c r="E48" s="251">
        <v>23000</v>
      </c>
      <c r="F48" s="251">
        <v>30000</v>
      </c>
      <c r="G48" s="251">
        <v>97300</v>
      </c>
      <c r="H48" s="251">
        <v>100000</v>
      </c>
      <c r="I48" s="251">
        <v>70000</v>
      </c>
      <c r="J48" s="251">
        <v>80000</v>
      </c>
      <c r="K48" s="251">
        <v>60000</v>
      </c>
      <c r="L48" s="251">
        <v>30000</v>
      </c>
      <c r="M48" s="251">
        <v>30000</v>
      </c>
      <c r="N48" s="251">
        <v>30000</v>
      </c>
      <c r="O48" s="262">
        <v>20000</v>
      </c>
      <c r="Q48" s="4"/>
      <c r="R48" s="4"/>
    </row>
    <row r="49" spans="1:18" s="254" customFormat="1" ht="12.75" customHeight="1">
      <c r="A49" s="249"/>
      <c r="B49" s="261" t="s">
        <v>367</v>
      </c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62"/>
      <c r="Q49" s="4"/>
      <c r="R49" s="4"/>
    </row>
    <row r="50" spans="1:15" ht="12.75" customHeight="1">
      <c r="A50" s="245"/>
      <c r="B50" s="246" t="s">
        <v>352</v>
      </c>
      <c r="C50" s="103">
        <f>SUM(D51:O51)</f>
        <v>47500</v>
      </c>
      <c r="D50" s="103"/>
      <c r="E50" s="103">
        <f>E51</f>
        <v>10500</v>
      </c>
      <c r="F50" s="103">
        <f>F51</f>
        <v>17000</v>
      </c>
      <c r="G50" s="103">
        <f>G51</f>
        <v>12000</v>
      </c>
      <c r="H50" s="103">
        <f>H51</f>
        <v>8000</v>
      </c>
      <c r="I50" s="103"/>
      <c r="J50" s="103"/>
      <c r="K50" s="103"/>
      <c r="L50" s="103"/>
      <c r="M50" s="103"/>
      <c r="N50" s="103"/>
      <c r="O50" s="105"/>
    </row>
    <row r="51" spans="1:18" s="254" customFormat="1" ht="13.5" customHeight="1" thickBot="1">
      <c r="A51" s="249"/>
      <c r="B51" s="250" t="s">
        <v>353</v>
      </c>
      <c r="C51" s="251">
        <f>SUM(D51:O51)</f>
        <v>47500</v>
      </c>
      <c r="D51" s="251"/>
      <c r="E51" s="251">
        <v>10500</v>
      </c>
      <c r="F51" s="251">
        <v>17000</v>
      </c>
      <c r="G51" s="251">
        <v>12000</v>
      </c>
      <c r="H51" s="251">
        <v>8000</v>
      </c>
      <c r="I51" s="251"/>
      <c r="J51" s="251"/>
      <c r="K51" s="251"/>
      <c r="L51" s="251"/>
      <c r="M51" s="251"/>
      <c r="N51" s="251"/>
      <c r="O51" s="262"/>
      <c r="Q51" s="4"/>
      <c r="R51" s="4"/>
    </row>
    <row r="52" spans="1:18" s="244" customFormat="1" ht="17.25" customHeight="1" thickBot="1" thickTop="1">
      <c r="A52" s="270">
        <v>630</v>
      </c>
      <c r="B52" s="243" t="s">
        <v>371</v>
      </c>
      <c r="C52" s="147">
        <f>C53</f>
        <v>150500</v>
      </c>
      <c r="D52" s="147">
        <f>D54</f>
        <v>12541</v>
      </c>
      <c r="E52" s="147">
        <f>E54</f>
        <v>12541</v>
      </c>
      <c r="F52" s="147">
        <f>F54</f>
        <v>12541</v>
      </c>
      <c r="G52" s="147">
        <f aca="true" t="shared" si="16" ref="G52:O52">G54</f>
        <v>12541</v>
      </c>
      <c r="H52" s="147">
        <f t="shared" si="16"/>
        <v>12541</v>
      </c>
      <c r="I52" s="147">
        <f t="shared" si="16"/>
        <v>12541</v>
      </c>
      <c r="J52" s="147">
        <f t="shared" si="16"/>
        <v>12541</v>
      </c>
      <c r="K52" s="147">
        <f t="shared" si="16"/>
        <v>12541</v>
      </c>
      <c r="L52" s="147">
        <f t="shared" si="16"/>
        <v>12541</v>
      </c>
      <c r="M52" s="147">
        <f t="shared" si="16"/>
        <v>12541</v>
      </c>
      <c r="N52" s="147">
        <f t="shared" si="16"/>
        <v>12541</v>
      </c>
      <c r="O52" s="149">
        <f t="shared" si="16"/>
        <v>12549</v>
      </c>
      <c r="Q52" s="4"/>
      <c r="R52" s="4"/>
    </row>
    <row r="53" spans="1:15" ht="24.75" customHeight="1" thickTop="1">
      <c r="A53" s="271">
        <v>63003</v>
      </c>
      <c r="B53" s="279" t="s">
        <v>372</v>
      </c>
      <c r="C53" s="267">
        <f>C54</f>
        <v>150500</v>
      </c>
      <c r="D53" s="267">
        <f>D54</f>
        <v>12541</v>
      </c>
      <c r="E53" s="152">
        <f aca="true" t="shared" si="17" ref="E53:O53">E54</f>
        <v>12541</v>
      </c>
      <c r="F53" s="152">
        <f t="shared" si="17"/>
        <v>12541</v>
      </c>
      <c r="G53" s="152">
        <f t="shared" si="17"/>
        <v>12541</v>
      </c>
      <c r="H53" s="152">
        <f t="shared" si="17"/>
        <v>12541</v>
      </c>
      <c r="I53" s="152">
        <f t="shared" si="17"/>
        <v>12541</v>
      </c>
      <c r="J53" s="152">
        <f t="shared" si="17"/>
        <v>12541</v>
      </c>
      <c r="K53" s="152">
        <f t="shared" si="17"/>
        <v>12541</v>
      </c>
      <c r="L53" s="152">
        <f t="shared" si="17"/>
        <v>12541</v>
      </c>
      <c r="M53" s="152">
        <f t="shared" si="17"/>
        <v>12541</v>
      </c>
      <c r="N53" s="152">
        <f t="shared" si="17"/>
        <v>12541</v>
      </c>
      <c r="O53" s="154">
        <f t="shared" si="17"/>
        <v>12549</v>
      </c>
    </row>
    <row r="54" spans="1:18" s="260" customFormat="1" ht="12.75" customHeight="1">
      <c r="A54" s="245"/>
      <c r="B54" s="259" t="s">
        <v>356</v>
      </c>
      <c r="C54" s="103">
        <f>SUM(D54:O54)</f>
        <v>150500</v>
      </c>
      <c r="D54" s="247">
        <f>SUM(D55:D56)</f>
        <v>12541</v>
      </c>
      <c r="E54" s="247">
        <f aca="true" t="shared" si="18" ref="E54:O54">SUM(E55:E56)</f>
        <v>12541</v>
      </c>
      <c r="F54" s="247">
        <f t="shared" si="18"/>
        <v>12541</v>
      </c>
      <c r="G54" s="247">
        <f t="shared" si="18"/>
        <v>12541</v>
      </c>
      <c r="H54" s="247">
        <f t="shared" si="18"/>
        <v>12541</v>
      </c>
      <c r="I54" s="247">
        <f t="shared" si="18"/>
        <v>12541</v>
      </c>
      <c r="J54" s="247">
        <f t="shared" si="18"/>
        <v>12541</v>
      </c>
      <c r="K54" s="247">
        <f t="shared" si="18"/>
        <v>12541</v>
      </c>
      <c r="L54" s="247">
        <f t="shared" si="18"/>
        <v>12541</v>
      </c>
      <c r="M54" s="247">
        <f t="shared" si="18"/>
        <v>12541</v>
      </c>
      <c r="N54" s="247">
        <f t="shared" si="18"/>
        <v>12541</v>
      </c>
      <c r="O54" s="280">
        <f t="shared" si="18"/>
        <v>12549</v>
      </c>
      <c r="Q54" s="4"/>
      <c r="R54" s="4"/>
    </row>
    <row r="55" spans="1:18" s="269" customFormat="1" ht="12.75" customHeight="1">
      <c r="A55" s="249"/>
      <c r="B55" s="261" t="s">
        <v>373</v>
      </c>
      <c r="C55" s="251">
        <f>SUM(D55:O55)</f>
        <v>14000</v>
      </c>
      <c r="D55" s="251">
        <v>1166</v>
      </c>
      <c r="E55" s="251">
        <v>1166</v>
      </c>
      <c r="F55" s="251">
        <v>1166</v>
      </c>
      <c r="G55" s="251">
        <v>1166</v>
      </c>
      <c r="H55" s="251">
        <v>1166</v>
      </c>
      <c r="I55" s="251">
        <v>1166</v>
      </c>
      <c r="J55" s="251">
        <v>1166</v>
      </c>
      <c r="K55" s="251">
        <v>1166</v>
      </c>
      <c r="L55" s="251">
        <v>1166</v>
      </c>
      <c r="M55" s="251">
        <v>1166</v>
      </c>
      <c r="N55" s="251">
        <v>1166</v>
      </c>
      <c r="O55" s="262">
        <v>1174</v>
      </c>
      <c r="Q55" s="4"/>
      <c r="R55" s="4"/>
    </row>
    <row r="56" spans="1:18" s="269" customFormat="1" ht="12.75" customHeight="1" thickBot="1">
      <c r="A56" s="249"/>
      <c r="B56" s="261" t="s">
        <v>357</v>
      </c>
      <c r="C56" s="251">
        <f>SUM(D56:O56)</f>
        <v>136500</v>
      </c>
      <c r="D56" s="251">
        <v>11375</v>
      </c>
      <c r="E56" s="251">
        <v>11375</v>
      </c>
      <c r="F56" s="251">
        <v>11375</v>
      </c>
      <c r="G56" s="251">
        <v>11375</v>
      </c>
      <c r="H56" s="251">
        <v>11375</v>
      </c>
      <c r="I56" s="251">
        <v>11375</v>
      </c>
      <c r="J56" s="251">
        <v>11375</v>
      </c>
      <c r="K56" s="251">
        <v>11375</v>
      </c>
      <c r="L56" s="251">
        <v>11375</v>
      </c>
      <c r="M56" s="251">
        <v>11375</v>
      </c>
      <c r="N56" s="251">
        <v>11375</v>
      </c>
      <c r="O56" s="262">
        <v>11375</v>
      </c>
      <c r="Q56" s="4"/>
      <c r="R56" s="4"/>
    </row>
    <row r="57" spans="1:18" s="213" customFormat="1" ht="25.5" customHeight="1" thickBot="1" thickTop="1">
      <c r="A57" s="270">
        <v>700</v>
      </c>
      <c r="B57" s="243" t="s">
        <v>374</v>
      </c>
      <c r="C57" s="147">
        <f>C58+C65+C70+C73</f>
        <v>9702400</v>
      </c>
      <c r="D57" s="147">
        <f aca="true" t="shared" si="19" ref="D57:O57">D58+D65+D70+D73</f>
        <v>32750</v>
      </c>
      <c r="E57" s="147">
        <f t="shared" si="19"/>
        <v>165750</v>
      </c>
      <c r="F57" s="147">
        <f t="shared" si="19"/>
        <v>3566750</v>
      </c>
      <c r="G57" s="147">
        <f t="shared" si="19"/>
        <v>203750</v>
      </c>
      <c r="H57" s="147">
        <f t="shared" si="19"/>
        <v>450750</v>
      </c>
      <c r="I57" s="147">
        <f t="shared" si="19"/>
        <v>59750</v>
      </c>
      <c r="J57" s="147">
        <f t="shared" si="19"/>
        <v>1545750</v>
      </c>
      <c r="K57" s="147">
        <f t="shared" si="19"/>
        <v>294750</v>
      </c>
      <c r="L57" s="147">
        <f t="shared" si="19"/>
        <v>431750</v>
      </c>
      <c r="M57" s="147">
        <f t="shared" si="19"/>
        <v>500750</v>
      </c>
      <c r="N57" s="147">
        <f t="shared" si="19"/>
        <v>1962750</v>
      </c>
      <c r="O57" s="149">
        <f t="shared" si="19"/>
        <v>487150</v>
      </c>
      <c r="Q57" s="4"/>
      <c r="R57" s="4"/>
    </row>
    <row r="58" spans="1:18" s="258" customFormat="1" ht="24" customHeight="1" thickTop="1">
      <c r="A58" s="271">
        <v>70001</v>
      </c>
      <c r="B58" s="279" t="s">
        <v>375</v>
      </c>
      <c r="C58" s="267">
        <f>SUM(C59)</f>
        <v>3000000</v>
      </c>
      <c r="D58" s="267"/>
      <c r="E58" s="267"/>
      <c r="F58" s="267"/>
      <c r="G58" s="267"/>
      <c r="H58" s="152"/>
      <c r="I58" s="152"/>
      <c r="J58" s="152">
        <f>SUM(J59)</f>
        <v>1500000</v>
      </c>
      <c r="K58" s="152"/>
      <c r="L58" s="152"/>
      <c r="M58" s="152"/>
      <c r="N58" s="152">
        <f>SUM(N59)</f>
        <v>1500000</v>
      </c>
      <c r="O58" s="154"/>
      <c r="Q58" s="4"/>
      <c r="R58" s="4"/>
    </row>
    <row r="59" spans="1:15" ht="12.75" customHeight="1">
      <c r="A59" s="245"/>
      <c r="B59" s="259" t="s">
        <v>356</v>
      </c>
      <c r="C59" s="103">
        <f>SUM(D59:O59)</f>
        <v>3000000</v>
      </c>
      <c r="D59" s="103"/>
      <c r="E59" s="103"/>
      <c r="F59" s="103"/>
      <c r="G59" s="103"/>
      <c r="H59" s="103"/>
      <c r="I59" s="103"/>
      <c r="J59" s="103">
        <f>J60</f>
        <v>1500000</v>
      </c>
      <c r="K59" s="103"/>
      <c r="L59" s="103"/>
      <c r="M59" s="103"/>
      <c r="N59" s="103">
        <f>N60</f>
        <v>1500000</v>
      </c>
      <c r="O59" s="105"/>
    </row>
    <row r="60" spans="1:18" s="254" customFormat="1" ht="12.75" customHeight="1">
      <c r="A60" s="249"/>
      <c r="B60" s="261" t="s">
        <v>373</v>
      </c>
      <c r="C60" s="251">
        <f>SUM(D60:O60)</f>
        <v>3000000</v>
      </c>
      <c r="D60" s="251"/>
      <c r="E60" s="251"/>
      <c r="F60" s="251"/>
      <c r="G60" s="251"/>
      <c r="H60" s="251"/>
      <c r="I60" s="251"/>
      <c r="J60" s="251">
        <f>J61</f>
        <v>1500000</v>
      </c>
      <c r="K60" s="251"/>
      <c r="L60" s="251"/>
      <c r="M60" s="251"/>
      <c r="N60" s="251">
        <f>N61</f>
        <v>1500000</v>
      </c>
      <c r="O60" s="262"/>
      <c r="Q60" s="4"/>
      <c r="R60" s="4"/>
    </row>
    <row r="61" spans="1:18" s="254" customFormat="1" ht="12.75" customHeight="1">
      <c r="A61" s="249"/>
      <c r="B61" s="261" t="s">
        <v>376</v>
      </c>
      <c r="C61" s="251">
        <f>SUM(D61:O61)</f>
        <v>3000000</v>
      </c>
      <c r="D61" s="251"/>
      <c r="E61" s="251"/>
      <c r="F61" s="251"/>
      <c r="G61" s="251"/>
      <c r="H61" s="251"/>
      <c r="I61" s="251"/>
      <c r="J61" s="251">
        <v>1500000</v>
      </c>
      <c r="K61" s="251"/>
      <c r="L61" s="251"/>
      <c r="M61" s="251"/>
      <c r="N61" s="251">
        <v>1500000</v>
      </c>
      <c r="O61" s="262"/>
      <c r="Q61" s="4"/>
      <c r="R61" s="4"/>
    </row>
    <row r="62" spans="1:18" s="258" customFormat="1" ht="48" hidden="1">
      <c r="A62" s="271">
        <v>70004</v>
      </c>
      <c r="B62" s="279" t="s">
        <v>377</v>
      </c>
      <c r="C62" s="267">
        <f>SUM(C64)</f>
        <v>0</v>
      </c>
      <c r="D62" s="267">
        <f>SUM(D64)</f>
        <v>0</v>
      </c>
      <c r="E62" s="267"/>
      <c r="F62" s="267">
        <f>SUM(F64)</f>
        <v>0</v>
      </c>
      <c r="G62" s="267"/>
      <c r="H62" s="267"/>
      <c r="I62" s="267"/>
      <c r="J62" s="267">
        <f>SUM(J64)</f>
        <v>0</v>
      </c>
      <c r="K62" s="267"/>
      <c r="L62" s="267">
        <f>SUM(L64)</f>
        <v>0</v>
      </c>
      <c r="M62" s="267"/>
      <c r="N62" s="267"/>
      <c r="O62" s="268"/>
      <c r="Q62" s="4"/>
      <c r="R62" s="4"/>
    </row>
    <row r="63" spans="1:15" ht="12.75" hidden="1">
      <c r="A63" s="245"/>
      <c r="B63" s="259" t="s">
        <v>356</v>
      </c>
      <c r="C63" s="103">
        <f>SUM(C64)</f>
        <v>0</v>
      </c>
      <c r="D63" s="103">
        <f>SUM(D64)</f>
        <v>0</v>
      </c>
      <c r="E63" s="103"/>
      <c r="F63" s="247">
        <f>SUM(F64)</f>
        <v>0</v>
      </c>
      <c r="G63" s="281"/>
      <c r="H63" s="281"/>
      <c r="I63" s="281"/>
      <c r="J63" s="103">
        <f>SUM(J64)</f>
        <v>0</v>
      </c>
      <c r="K63" s="103"/>
      <c r="L63" s="247">
        <f>SUM(L64)</f>
        <v>0</v>
      </c>
      <c r="M63" s="281"/>
      <c r="N63" s="281"/>
      <c r="O63" s="282"/>
    </row>
    <row r="64" spans="1:15" ht="12.75" hidden="1">
      <c r="A64" s="245"/>
      <c r="B64" s="261" t="s">
        <v>357</v>
      </c>
      <c r="C64" s="251">
        <f>SUM(D64:E64)</f>
        <v>0</v>
      </c>
      <c r="D64" s="251">
        <f>F64+H64</f>
        <v>0</v>
      </c>
      <c r="E64" s="251"/>
      <c r="F64" s="252">
        <v>0</v>
      </c>
      <c r="G64" s="247"/>
      <c r="H64" s="247"/>
      <c r="I64" s="247"/>
      <c r="J64" s="251">
        <f>L64+N64</f>
        <v>0</v>
      </c>
      <c r="K64" s="251"/>
      <c r="L64" s="252">
        <v>0</v>
      </c>
      <c r="M64" s="247"/>
      <c r="N64" s="247"/>
      <c r="O64" s="248"/>
    </row>
    <row r="65" spans="1:18" s="258" customFormat="1" ht="24" customHeight="1">
      <c r="A65" s="271">
        <v>70005</v>
      </c>
      <c r="B65" s="279" t="s">
        <v>49</v>
      </c>
      <c r="C65" s="267">
        <f>C66+C68</f>
        <v>1430000</v>
      </c>
      <c r="D65" s="267">
        <f>D66+D68</f>
        <v>31750</v>
      </c>
      <c r="E65" s="267">
        <f>E66+E68</f>
        <v>64750</v>
      </c>
      <c r="F65" s="267">
        <f>F66+F68</f>
        <v>55750</v>
      </c>
      <c r="G65" s="267">
        <f aca="true" t="shared" si="20" ref="G65:O65">G66+G68</f>
        <v>52750</v>
      </c>
      <c r="H65" s="267">
        <f t="shared" si="20"/>
        <v>299750</v>
      </c>
      <c r="I65" s="267">
        <f t="shared" si="20"/>
        <v>58750</v>
      </c>
      <c r="J65" s="267">
        <f t="shared" si="20"/>
        <v>44750</v>
      </c>
      <c r="K65" s="267">
        <f t="shared" si="20"/>
        <v>93750</v>
      </c>
      <c r="L65" s="267">
        <f t="shared" si="20"/>
        <v>130750</v>
      </c>
      <c r="M65" s="267">
        <f t="shared" si="20"/>
        <v>199750</v>
      </c>
      <c r="N65" s="267">
        <f t="shared" si="20"/>
        <v>161750</v>
      </c>
      <c r="O65" s="268">
        <f t="shared" si="20"/>
        <v>235750</v>
      </c>
      <c r="Q65" s="4"/>
      <c r="R65" s="4"/>
    </row>
    <row r="66" spans="1:15" ht="12.75" customHeight="1">
      <c r="A66" s="245"/>
      <c r="B66" s="259" t="s">
        <v>356</v>
      </c>
      <c r="C66" s="103">
        <f>SUM(D66:O66)</f>
        <v>1430000</v>
      </c>
      <c r="D66" s="103">
        <f>SUM(D67)</f>
        <v>31750</v>
      </c>
      <c r="E66" s="172">
        <f aca="true" t="shared" si="21" ref="E66:O66">SUM(E67)</f>
        <v>64750</v>
      </c>
      <c r="F66" s="172">
        <f t="shared" si="21"/>
        <v>55750</v>
      </c>
      <c r="G66" s="172">
        <f t="shared" si="21"/>
        <v>52750</v>
      </c>
      <c r="H66" s="172">
        <f t="shared" si="21"/>
        <v>299750</v>
      </c>
      <c r="I66" s="172">
        <f t="shared" si="21"/>
        <v>58750</v>
      </c>
      <c r="J66" s="172">
        <f t="shared" si="21"/>
        <v>44750</v>
      </c>
      <c r="K66" s="172">
        <f t="shared" si="21"/>
        <v>93750</v>
      </c>
      <c r="L66" s="172">
        <f t="shared" si="21"/>
        <v>130750</v>
      </c>
      <c r="M66" s="172">
        <f t="shared" si="21"/>
        <v>199750</v>
      </c>
      <c r="N66" s="172">
        <f t="shared" si="21"/>
        <v>161750</v>
      </c>
      <c r="O66" s="174">
        <f t="shared" si="21"/>
        <v>235750</v>
      </c>
    </row>
    <row r="67" spans="1:15" ht="12.75" customHeight="1">
      <c r="A67" s="245"/>
      <c r="B67" s="261" t="s">
        <v>357</v>
      </c>
      <c r="C67" s="251">
        <f>SUM(D67:O67)</f>
        <v>1430000</v>
      </c>
      <c r="D67" s="251">
        <v>31750</v>
      </c>
      <c r="E67" s="251">
        <v>64750</v>
      </c>
      <c r="F67" s="251">
        <v>55750</v>
      </c>
      <c r="G67" s="251">
        <v>52750</v>
      </c>
      <c r="H67" s="251">
        <v>299750</v>
      </c>
      <c r="I67" s="251">
        <v>58750</v>
      </c>
      <c r="J67" s="251">
        <v>44750</v>
      </c>
      <c r="K67" s="251">
        <v>93750</v>
      </c>
      <c r="L67" s="251">
        <v>130750</v>
      </c>
      <c r="M67" s="251">
        <v>199750</v>
      </c>
      <c r="N67" s="251">
        <v>161750</v>
      </c>
      <c r="O67" s="262">
        <v>235750</v>
      </c>
    </row>
    <row r="68" spans="1:15" ht="12.75" customHeight="1">
      <c r="A68" s="245"/>
      <c r="B68" s="246" t="s">
        <v>352</v>
      </c>
      <c r="C68" s="251">
        <f>SUM(D68:O68)</f>
        <v>0</v>
      </c>
      <c r="D68" s="103"/>
      <c r="E68" s="103"/>
      <c r="F68" s="103">
        <f>SUM(F69)</f>
        <v>0</v>
      </c>
      <c r="G68" s="103"/>
      <c r="H68" s="103">
        <f>SUM(H69)</f>
        <v>0</v>
      </c>
      <c r="I68" s="103"/>
      <c r="J68" s="103"/>
      <c r="K68" s="103"/>
      <c r="L68" s="103"/>
      <c r="M68" s="103">
        <f>SUM(M69)</f>
        <v>0</v>
      </c>
      <c r="N68" s="103">
        <f>SUM(N69)</f>
        <v>0</v>
      </c>
      <c r="O68" s="105">
        <f>SUM(O69)</f>
        <v>0</v>
      </c>
    </row>
    <row r="69" spans="1:15" ht="12.75" customHeight="1">
      <c r="A69" s="283"/>
      <c r="B69" s="277" t="s">
        <v>353</v>
      </c>
      <c r="C69" s="186">
        <f>SUM(D69:O69)</f>
        <v>0</v>
      </c>
      <c r="D69" s="186"/>
      <c r="E69" s="186"/>
      <c r="F69" s="186"/>
      <c r="G69" s="186"/>
      <c r="H69" s="186"/>
      <c r="I69" s="186"/>
      <c r="J69" s="186"/>
      <c r="K69" s="186"/>
      <c r="L69" s="186"/>
      <c r="M69" s="186"/>
      <c r="N69" s="186"/>
      <c r="O69" s="188"/>
    </row>
    <row r="70" spans="1:18" s="258" customFormat="1" ht="24" customHeight="1">
      <c r="A70" s="271">
        <v>70021</v>
      </c>
      <c r="B70" s="279" t="s">
        <v>378</v>
      </c>
      <c r="C70" s="267">
        <f>C71</f>
        <v>3360000</v>
      </c>
      <c r="D70" s="267"/>
      <c r="E70" s="267"/>
      <c r="F70" s="267">
        <f>F71</f>
        <v>3360000</v>
      </c>
      <c r="G70" s="267"/>
      <c r="H70" s="267"/>
      <c r="I70" s="267"/>
      <c r="J70" s="267"/>
      <c r="K70" s="267"/>
      <c r="L70" s="267"/>
      <c r="M70" s="267"/>
      <c r="N70" s="267"/>
      <c r="O70" s="268"/>
      <c r="Q70" s="4"/>
      <c r="R70" s="4"/>
    </row>
    <row r="71" spans="1:15" ht="12.75" customHeight="1">
      <c r="A71" s="284"/>
      <c r="B71" s="285" t="s">
        <v>352</v>
      </c>
      <c r="C71" s="286">
        <f>SUM(D71:O71)</f>
        <v>3360000</v>
      </c>
      <c r="D71" s="142"/>
      <c r="E71" s="142"/>
      <c r="F71" s="142">
        <f>SUM(F72)</f>
        <v>3360000</v>
      </c>
      <c r="G71" s="142"/>
      <c r="H71" s="142"/>
      <c r="I71" s="142"/>
      <c r="J71" s="142"/>
      <c r="K71" s="142"/>
      <c r="L71" s="142"/>
      <c r="M71" s="142"/>
      <c r="N71" s="142"/>
      <c r="O71" s="287"/>
    </row>
    <row r="72" spans="1:20" ht="12.75" customHeight="1">
      <c r="A72" s="283"/>
      <c r="B72" s="277" t="s">
        <v>379</v>
      </c>
      <c r="C72" s="186">
        <f>SUM(D72:O72)</f>
        <v>3360000</v>
      </c>
      <c r="D72" s="186"/>
      <c r="E72" s="186"/>
      <c r="F72" s="186">
        <v>3360000</v>
      </c>
      <c r="G72" s="186"/>
      <c r="H72" s="186"/>
      <c r="I72" s="186"/>
      <c r="J72" s="186"/>
      <c r="K72" s="186"/>
      <c r="L72" s="186"/>
      <c r="M72" s="186"/>
      <c r="N72" s="186"/>
      <c r="O72" s="188"/>
      <c r="T72" s="4" t="s">
        <v>380</v>
      </c>
    </row>
    <row r="73" spans="1:18" s="258" customFormat="1" ht="13.5" customHeight="1">
      <c r="A73" s="271">
        <v>70095</v>
      </c>
      <c r="B73" s="279" t="s">
        <v>86</v>
      </c>
      <c r="C73" s="267">
        <f>C74+C76</f>
        <v>1912400</v>
      </c>
      <c r="D73" s="267">
        <f aca="true" t="shared" si="22" ref="D73:O73">D74+D76</f>
        <v>1000</v>
      </c>
      <c r="E73" s="267">
        <f t="shared" si="22"/>
        <v>101000</v>
      </c>
      <c r="F73" s="267">
        <f t="shared" si="22"/>
        <v>151000</v>
      </c>
      <c r="G73" s="267">
        <f t="shared" si="22"/>
        <v>151000</v>
      </c>
      <c r="H73" s="267">
        <f t="shared" si="22"/>
        <v>151000</v>
      </c>
      <c r="I73" s="267">
        <f t="shared" si="22"/>
        <v>1000</v>
      </c>
      <c r="J73" s="267">
        <f t="shared" si="22"/>
        <v>1000</v>
      </c>
      <c r="K73" s="267">
        <f t="shared" si="22"/>
        <v>201000</v>
      </c>
      <c r="L73" s="267">
        <f t="shared" si="22"/>
        <v>301000</v>
      </c>
      <c r="M73" s="267">
        <f t="shared" si="22"/>
        <v>301000</v>
      </c>
      <c r="N73" s="267">
        <f t="shared" si="22"/>
        <v>301000</v>
      </c>
      <c r="O73" s="268">
        <f t="shared" si="22"/>
        <v>251400</v>
      </c>
      <c r="Q73" s="4"/>
      <c r="R73" s="4"/>
    </row>
    <row r="74" spans="1:15" ht="12.75" customHeight="1">
      <c r="A74" s="245"/>
      <c r="B74" s="259" t="s">
        <v>356</v>
      </c>
      <c r="C74" s="103">
        <f>SUM(D74:O74)</f>
        <v>12400</v>
      </c>
      <c r="D74" s="103">
        <f>D75</f>
        <v>1000</v>
      </c>
      <c r="E74" s="172">
        <f>E75</f>
        <v>1000</v>
      </c>
      <c r="F74" s="172">
        <f>F75</f>
        <v>1000</v>
      </c>
      <c r="G74" s="172">
        <f>G75</f>
        <v>1000</v>
      </c>
      <c r="H74" s="172">
        <f aca="true" t="shared" si="23" ref="H74:O74">SUM(H75)</f>
        <v>1000</v>
      </c>
      <c r="I74" s="172">
        <f t="shared" si="23"/>
        <v>1000</v>
      </c>
      <c r="J74" s="172">
        <f t="shared" si="23"/>
        <v>1000</v>
      </c>
      <c r="K74" s="172">
        <f t="shared" si="23"/>
        <v>1000</v>
      </c>
      <c r="L74" s="172">
        <f t="shared" si="23"/>
        <v>1000</v>
      </c>
      <c r="M74" s="172">
        <f t="shared" si="23"/>
        <v>1000</v>
      </c>
      <c r="N74" s="172">
        <f t="shared" si="23"/>
        <v>1000</v>
      </c>
      <c r="O74" s="174">
        <f t="shared" si="23"/>
        <v>1400</v>
      </c>
    </row>
    <row r="75" spans="1:15" ht="12.75" customHeight="1">
      <c r="A75" s="245"/>
      <c r="B75" s="261" t="s">
        <v>357</v>
      </c>
      <c r="C75" s="251">
        <f>SUM(D75:O75)</f>
        <v>12400</v>
      </c>
      <c r="D75" s="251">
        <v>1000</v>
      </c>
      <c r="E75" s="251">
        <v>1000</v>
      </c>
      <c r="F75" s="251">
        <v>1000</v>
      </c>
      <c r="G75" s="251">
        <v>1000</v>
      </c>
      <c r="H75" s="251">
        <v>1000</v>
      </c>
      <c r="I75" s="251">
        <v>1000</v>
      </c>
      <c r="J75" s="251">
        <v>1000</v>
      </c>
      <c r="K75" s="251">
        <v>1000</v>
      </c>
      <c r="L75" s="251">
        <v>1000</v>
      </c>
      <c r="M75" s="251">
        <v>1000</v>
      </c>
      <c r="N75" s="251">
        <v>1000</v>
      </c>
      <c r="O75" s="262">
        <v>1400</v>
      </c>
    </row>
    <row r="76" spans="1:15" ht="12.75" customHeight="1">
      <c r="A76" s="245"/>
      <c r="B76" s="246" t="s">
        <v>352</v>
      </c>
      <c r="C76" s="251">
        <f>SUM(D76:O76)</f>
        <v>1900000</v>
      </c>
      <c r="D76" s="247"/>
      <c r="E76" s="247">
        <f>E77+E78</f>
        <v>100000</v>
      </c>
      <c r="F76" s="247">
        <f aca="true" t="shared" si="24" ref="F76:O76">F77+F78</f>
        <v>150000</v>
      </c>
      <c r="G76" s="247">
        <f t="shared" si="24"/>
        <v>150000</v>
      </c>
      <c r="H76" s="247">
        <f t="shared" si="24"/>
        <v>150000</v>
      </c>
      <c r="I76" s="247">
        <f t="shared" si="24"/>
        <v>0</v>
      </c>
      <c r="J76" s="247">
        <f t="shared" si="24"/>
        <v>0</v>
      </c>
      <c r="K76" s="247">
        <f t="shared" si="24"/>
        <v>200000</v>
      </c>
      <c r="L76" s="247">
        <f t="shared" si="24"/>
        <v>300000</v>
      </c>
      <c r="M76" s="247">
        <f t="shared" si="24"/>
        <v>300000</v>
      </c>
      <c r="N76" s="247">
        <f t="shared" si="24"/>
        <v>300000</v>
      </c>
      <c r="O76" s="248">
        <f t="shared" si="24"/>
        <v>250000</v>
      </c>
    </row>
    <row r="77" spans="1:18" s="254" customFormat="1" ht="12.75" customHeight="1">
      <c r="A77" s="249"/>
      <c r="B77" s="250" t="s">
        <v>368</v>
      </c>
      <c r="C77" s="251">
        <f>SUM(D77:O77)</f>
        <v>1900000</v>
      </c>
      <c r="D77" s="251"/>
      <c r="E77" s="251">
        <v>100000</v>
      </c>
      <c r="F77" s="251">
        <v>150000</v>
      </c>
      <c r="G77" s="251">
        <v>150000</v>
      </c>
      <c r="H77" s="251">
        <v>150000</v>
      </c>
      <c r="I77" s="251"/>
      <c r="J77" s="251"/>
      <c r="K77" s="251">
        <v>200000</v>
      </c>
      <c r="L77" s="251">
        <v>300000</v>
      </c>
      <c r="M77" s="251">
        <v>300000</v>
      </c>
      <c r="N77" s="251">
        <v>300000</v>
      </c>
      <c r="O77" s="262">
        <v>250000</v>
      </c>
      <c r="Q77" s="4"/>
      <c r="R77" s="4"/>
    </row>
    <row r="78" spans="1:15" ht="12.75" customHeight="1" thickBot="1">
      <c r="A78" s="245"/>
      <c r="B78" s="250" t="s">
        <v>381</v>
      </c>
      <c r="C78" s="251">
        <f>SUM(D78:O78)</f>
        <v>0</v>
      </c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62"/>
    </row>
    <row r="79" spans="1:18" s="213" customFormat="1" ht="25.5" customHeight="1" thickBot="1" thickTop="1">
      <c r="A79" s="270">
        <v>710</v>
      </c>
      <c r="B79" s="243" t="s">
        <v>382</v>
      </c>
      <c r="C79" s="147">
        <f>C83+C86+C89+C96+C80</f>
        <v>2420300</v>
      </c>
      <c r="D79" s="147">
        <f>D83+D86+D89+D96+D80</f>
        <v>220302</v>
      </c>
      <c r="E79" s="147">
        <f aca="true" t="shared" si="25" ref="E79:O79">E83+E86+E89+E96+E80</f>
        <v>238302</v>
      </c>
      <c r="F79" s="147">
        <f t="shared" si="25"/>
        <v>240302</v>
      </c>
      <c r="G79" s="147">
        <f t="shared" si="25"/>
        <v>380302</v>
      </c>
      <c r="H79" s="147">
        <f t="shared" si="25"/>
        <v>115302</v>
      </c>
      <c r="I79" s="147">
        <f t="shared" si="25"/>
        <v>100802</v>
      </c>
      <c r="J79" s="147">
        <f t="shared" si="25"/>
        <v>100802</v>
      </c>
      <c r="K79" s="147">
        <f t="shared" si="25"/>
        <v>101302</v>
      </c>
      <c r="L79" s="147">
        <f t="shared" si="25"/>
        <v>168302</v>
      </c>
      <c r="M79" s="147">
        <f t="shared" si="25"/>
        <v>250302</v>
      </c>
      <c r="N79" s="147">
        <f t="shared" si="25"/>
        <v>247942</v>
      </c>
      <c r="O79" s="149">
        <f t="shared" si="25"/>
        <v>256338</v>
      </c>
      <c r="Q79" s="4"/>
      <c r="R79" s="4"/>
    </row>
    <row r="80" spans="1:18" s="258" customFormat="1" ht="24" customHeight="1" thickTop="1">
      <c r="A80" s="271">
        <v>71004</v>
      </c>
      <c r="B80" s="279" t="s">
        <v>383</v>
      </c>
      <c r="C80" s="267">
        <f>SUM(C81)</f>
        <v>1200000</v>
      </c>
      <c r="D80" s="267">
        <f>D81</f>
        <v>100000</v>
      </c>
      <c r="E80" s="152">
        <f aca="true" t="shared" si="26" ref="E80:O81">E81</f>
        <v>140000</v>
      </c>
      <c r="F80" s="152">
        <f t="shared" si="26"/>
        <v>140000</v>
      </c>
      <c r="G80" s="152">
        <f t="shared" si="26"/>
        <v>280000</v>
      </c>
      <c r="H80" s="152">
        <f t="shared" si="26"/>
        <v>15000</v>
      </c>
      <c r="I80" s="152">
        <f t="shared" si="26"/>
        <v>500</v>
      </c>
      <c r="J80" s="152">
        <f t="shared" si="26"/>
        <v>500</v>
      </c>
      <c r="K80" s="152">
        <f t="shared" si="26"/>
        <v>1000</v>
      </c>
      <c r="L80" s="152">
        <f t="shared" si="26"/>
        <v>68000</v>
      </c>
      <c r="M80" s="152">
        <f t="shared" si="26"/>
        <v>150000</v>
      </c>
      <c r="N80" s="152">
        <f t="shared" si="26"/>
        <v>150000</v>
      </c>
      <c r="O80" s="154">
        <f t="shared" si="26"/>
        <v>155000</v>
      </c>
      <c r="Q80" s="4"/>
      <c r="R80" s="4"/>
    </row>
    <row r="81" spans="1:15" ht="12.75" customHeight="1">
      <c r="A81" s="245"/>
      <c r="B81" s="259" t="s">
        <v>356</v>
      </c>
      <c r="C81" s="251">
        <f>SUM(C82)</f>
        <v>1200000</v>
      </c>
      <c r="D81" s="103">
        <f>D82</f>
        <v>100000</v>
      </c>
      <c r="E81" s="103">
        <f t="shared" si="26"/>
        <v>140000</v>
      </c>
      <c r="F81" s="103">
        <f t="shared" si="26"/>
        <v>140000</v>
      </c>
      <c r="G81" s="103">
        <f t="shared" si="26"/>
        <v>280000</v>
      </c>
      <c r="H81" s="103">
        <f t="shared" si="26"/>
        <v>15000</v>
      </c>
      <c r="I81" s="103">
        <f t="shared" si="26"/>
        <v>500</v>
      </c>
      <c r="J81" s="103">
        <f t="shared" si="26"/>
        <v>500</v>
      </c>
      <c r="K81" s="103">
        <f t="shared" si="26"/>
        <v>1000</v>
      </c>
      <c r="L81" s="103">
        <f t="shared" si="26"/>
        <v>68000</v>
      </c>
      <c r="M81" s="103">
        <f t="shared" si="26"/>
        <v>150000</v>
      </c>
      <c r="N81" s="103">
        <f t="shared" si="26"/>
        <v>150000</v>
      </c>
      <c r="O81" s="105">
        <f t="shared" si="26"/>
        <v>155000</v>
      </c>
    </row>
    <row r="82" spans="1:18" s="254" customFormat="1" ht="12.75" customHeight="1">
      <c r="A82" s="249"/>
      <c r="B82" s="261" t="s">
        <v>357</v>
      </c>
      <c r="C82" s="251">
        <f>SUM(D82:O82)</f>
        <v>1200000</v>
      </c>
      <c r="D82" s="251">
        <v>100000</v>
      </c>
      <c r="E82" s="251">
        <v>140000</v>
      </c>
      <c r="F82" s="251">
        <v>140000</v>
      </c>
      <c r="G82" s="251">
        <v>280000</v>
      </c>
      <c r="H82" s="251">
        <v>15000</v>
      </c>
      <c r="I82" s="251">
        <v>500</v>
      </c>
      <c r="J82" s="251">
        <v>500</v>
      </c>
      <c r="K82" s="251">
        <v>1000</v>
      </c>
      <c r="L82" s="251">
        <v>68000</v>
      </c>
      <c r="M82" s="251">
        <v>150000</v>
      </c>
      <c r="N82" s="251">
        <v>150000</v>
      </c>
      <c r="O82" s="262">
        <v>155000</v>
      </c>
      <c r="Q82" s="4"/>
      <c r="R82" s="4"/>
    </row>
    <row r="83" spans="1:18" s="258" customFormat="1" ht="24.75" customHeight="1">
      <c r="A83" s="271">
        <v>71013</v>
      </c>
      <c r="B83" s="279" t="s">
        <v>72</v>
      </c>
      <c r="C83" s="267">
        <f>SUM(C84)</f>
        <v>51000</v>
      </c>
      <c r="D83" s="267">
        <f>D84</f>
        <v>4250</v>
      </c>
      <c r="E83" s="267">
        <f aca="true" t="shared" si="27" ref="E83:O84">E84</f>
        <v>4250</v>
      </c>
      <c r="F83" s="267">
        <f t="shared" si="27"/>
        <v>4250</v>
      </c>
      <c r="G83" s="267">
        <f t="shared" si="27"/>
        <v>4250</v>
      </c>
      <c r="H83" s="267">
        <f t="shared" si="27"/>
        <v>4250</v>
      </c>
      <c r="I83" s="267">
        <f t="shared" si="27"/>
        <v>4250</v>
      </c>
      <c r="J83" s="267">
        <f t="shared" si="27"/>
        <v>4250</v>
      </c>
      <c r="K83" s="267">
        <f t="shared" si="27"/>
        <v>4250</v>
      </c>
      <c r="L83" s="267">
        <f t="shared" si="27"/>
        <v>4250</v>
      </c>
      <c r="M83" s="267">
        <f t="shared" si="27"/>
        <v>4250</v>
      </c>
      <c r="N83" s="267">
        <f t="shared" si="27"/>
        <v>4250</v>
      </c>
      <c r="O83" s="268">
        <f t="shared" si="27"/>
        <v>4250</v>
      </c>
      <c r="Q83" s="4"/>
      <c r="R83" s="4"/>
    </row>
    <row r="84" spans="1:15" ht="12.75" customHeight="1">
      <c r="A84" s="245"/>
      <c r="B84" s="259" t="s">
        <v>356</v>
      </c>
      <c r="C84" s="103">
        <f>SUM(D84:O84)</f>
        <v>51000</v>
      </c>
      <c r="D84" s="247">
        <f>D85</f>
        <v>4250</v>
      </c>
      <c r="E84" s="247">
        <f t="shared" si="27"/>
        <v>4250</v>
      </c>
      <c r="F84" s="247">
        <f t="shared" si="27"/>
        <v>4250</v>
      </c>
      <c r="G84" s="247">
        <f t="shared" si="27"/>
        <v>4250</v>
      </c>
      <c r="H84" s="247">
        <f t="shared" si="27"/>
        <v>4250</v>
      </c>
      <c r="I84" s="247">
        <f t="shared" si="27"/>
        <v>4250</v>
      </c>
      <c r="J84" s="247">
        <f t="shared" si="27"/>
        <v>4250</v>
      </c>
      <c r="K84" s="247">
        <f t="shared" si="27"/>
        <v>4250</v>
      </c>
      <c r="L84" s="247">
        <f t="shared" si="27"/>
        <v>4250</v>
      </c>
      <c r="M84" s="247">
        <f t="shared" si="27"/>
        <v>4250</v>
      </c>
      <c r="N84" s="247">
        <f t="shared" si="27"/>
        <v>4250</v>
      </c>
      <c r="O84" s="248">
        <f t="shared" si="27"/>
        <v>4250</v>
      </c>
    </row>
    <row r="85" spans="1:15" ht="12.75" customHeight="1">
      <c r="A85" s="245"/>
      <c r="B85" s="261" t="s">
        <v>357</v>
      </c>
      <c r="C85" s="251">
        <f>SUM(D85:O85)</f>
        <v>51000</v>
      </c>
      <c r="D85" s="251">
        <v>4250</v>
      </c>
      <c r="E85" s="251">
        <v>4250</v>
      </c>
      <c r="F85" s="251">
        <v>4250</v>
      </c>
      <c r="G85" s="251">
        <v>4250</v>
      </c>
      <c r="H85" s="251">
        <v>4250</v>
      </c>
      <c r="I85" s="251">
        <v>4250</v>
      </c>
      <c r="J85" s="251">
        <v>4250</v>
      </c>
      <c r="K85" s="251">
        <v>4250</v>
      </c>
      <c r="L85" s="251">
        <v>4250</v>
      </c>
      <c r="M85" s="251">
        <v>4250</v>
      </c>
      <c r="N85" s="251">
        <v>4250</v>
      </c>
      <c r="O85" s="262">
        <v>4250</v>
      </c>
    </row>
    <row r="86" spans="1:18" s="258" customFormat="1" ht="24.75" customHeight="1">
      <c r="A86" s="271">
        <v>71014</v>
      </c>
      <c r="B86" s="279" t="s">
        <v>74</v>
      </c>
      <c r="C86" s="267">
        <f>SUM(C88)</f>
        <v>20000</v>
      </c>
      <c r="D86" s="288"/>
      <c r="E86" s="288"/>
      <c r="F86" s="288">
        <f>F87</f>
        <v>2000</v>
      </c>
      <c r="G86" s="289">
        <f aca="true" t="shared" si="28" ref="G86:O86">G87</f>
        <v>2000</v>
      </c>
      <c r="H86" s="289">
        <f t="shared" si="28"/>
        <v>2000</v>
      </c>
      <c r="I86" s="289">
        <f t="shared" si="28"/>
        <v>2000</v>
      </c>
      <c r="J86" s="289">
        <f t="shared" si="28"/>
        <v>2000</v>
      </c>
      <c r="K86" s="289">
        <f t="shared" si="28"/>
        <v>2000</v>
      </c>
      <c r="L86" s="289">
        <f t="shared" si="28"/>
        <v>2000</v>
      </c>
      <c r="M86" s="289">
        <f t="shared" si="28"/>
        <v>2000</v>
      </c>
      <c r="N86" s="289">
        <f t="shared" si="28"/>
        <v>2000</v>
      </c>
      <c r="O86" s="290">
        <f t="shared" si="28"/>
        <v>2000</v>
      </c>
      <c r="Q86" s="4"/>
      <c r="R86" s="4"/>
    </row>
    <row r="87" spans="1:15" ht="12.75" customHeight="1">
      <c r="A87" s="245"/>
      <c r="B87" s="259" t="s">
        <v>356</v>
      </c>
      <c r="C87" s="103">
        <f>SUM(D87:O87)</f>
        <v>20000</v>
      </c>
      <c r="D87" s="247"/>
      <c r="E87" s="247"/>
      <c r="F87" s="247">
        <f aca="true" t="shared" si="29" ref="F87:O87">F88</f>
        <v>2000</v>
      </c>
      <c r="G87" s="247">
        <f t="shared" si="29"/>
        <v>2000</v>
      </c>
      <c r="H87" s="247">
        <f t="shared" si="29"/>
        <v>2000</v>
      </c>
      <c r="I87" s="247">
        <f t="shared" si="29"/>
        <v>2000</v>
      </c>
      <c r="J87" s="247">
        <f t="shared" si="29"/>
        <v>2000</v>
      </c>
      <c r="K87" s="247">
        <f t="shared" si="29"/>
        <v>2000</v>
      </c>
      <c r="L87" s="247">
        <f t="shared" si="29"/>
        <v>2000</v>
      </c>
      <c r="M87" s="247">
        <f t="shared" si="29"/>
        <v>2000</v>
      </c>
      <c r="N87" s="247">
        <f t="shared" si="29"/>
        <v>2000</v>
      </c>
      <c r="O87" s="248">
        <f t="shared" si="29"/>
        <v>2000</v>
      </c>
    </row>
    <row r="88" spans="1:15" ht="12.75" customHeight="1">
      <c r="A88" s="245"/>
      <c r="B88" s="261" t="s">
        <v>357</v>
      </c>
      <c r="C88" s="251">
        <f>SUM(D88:O88)</f>
        <v>20000</v>
      </c>
      <c r="D88" s="251"/>
      <c r="E88" s="251"/>
      <c r="F88" s="251">
        <v>2000</v>
      </c>
      <c r="G88" s="251">
        <v>2000</v>
      </c>
      <c r="H88" s="251">
        <v>2000</v>
      </c>
      <c r="I88" s="251">
        <v>2000</v>
      </c>
      <c r="J88" s="251">
        <v>2000</v>
      </c>
      <c r="K88" s="251">
        <v>2000</v>
      </c>
      <c r="L88" s="251">
        <v>2000</v>
      </c>
      <c r="M88" s="251">
        <v>2000</v>
      </c>
      <c r="N88" s="251">
        <v>2000</v>
      </c>
      <c r="O88" s="262">
        <v>2000</v>
      </c>
    </row>
    <row r="89" spans="1:18" s="258" customFormat="1" ht="13.5" customHeight="1">
      <c r="A89" s="271">
        <v>71015</v>
      </c>
      <c r="B89" s="279" t="s">
        <v>76</v>
      </c>
      <c r="C89" s="267">
        <f>C90+C94</f>
        <v>322700</v>
      </c>
      <c r="D89" s="267">
        <f aca="true" t="shared" si="30" ref="D89:O89">D90</f>
        <v>46972</v>
      </c>
      <c r="E89" s="267">
        <f t="shared" si="30"/>
        <v>24972</v>
      </c>
      <c r="F89" s="267">
        <f t="shared" si="30"/>
        <v>24972</v>
      </c>
      <c r="G89" s="267">
        <f t="shared" si="30"/>
        <v>24972</v>
      </c>
      <c r="H89" s="267">
        <f t="shared" si="30"/>
        <v>24972</v>
      </c>
      <c r="I89" s="267">
        <f t="shared" si="30"/>
        <v>24972</v>
      </c>
      <c r="J89" s="267">
        <f t="shared" si="30"/>
        <v>24972</v>
      </c>
      <c r="K89" s="267">
        <f t="shared" si="30"/>
        <v>24972</v>
      </c>
      <c r="L89" s="267">
        <f t="shared" si="30"/>
        <v>24972</v>
      </c>
      <c r="M89" s="267">
        <f t="shared" si="30"/>
        <v>24972</v>
      </c>
      <c r="N89" s="267">
        <f t="shared" si="30"/>
        <v>24972</v>
      </c>
      <c r="O89" s="268">
        <f t="shared" si="30"/>
        <v>26008</v>
      </c>
      <c r="Q89" s="4"/>
      <c r="R89" s="4"/>
    </row>
    <row r="90" spans="1:15" ht="12.75" customHeight="1">
      <c r="A90" s="245"/>
      <c r="B90" s="259" t="s">
        <v>356</v>
      </c>
      <c r="C90" s="103">
        <f>SUM(D90:O90)</f>
        <v>322700</v>
      </c>
      <c r="D90" s="103">
        <f>SUM(D91:D93)</f>
        <v>46972</v>
      </c>
      <c r="E90" s="103">
        <f>SUM(E91:E93)</f>
        <v>24972</v>
      </c>
      <c r="F90" s="103">
        <f aca="true" t="shared" si="31" ref="F90:O90">SUM(F91:F93)</f>
        <v>24972</v>
      </c>
      <c r="G90" s="103">
        <f t="shared" si="31"/>
        <v>24972</v>
      </c>
      <c r="H90" s="103">
        <f t="shared" si="31"/>
        <v>24972</v>
      </c>
      <c r="I90" s="103">
        <f t="shared" si="31"/>
        <v>24972</v>
      </c>
      <c r="J90" s="103">
        <f t="shared" si="31"/>
        <v>24972</v>
      </c>
      <c r="K90" s="103">
        <f t="shared" si="31"/>
        <v>24972</v>
      </c>
      <c r="L90" s="103">
        <f t="shared" si="31"/>
        <v>24972</v>
      </c>
      <c r="M90" s="103">
        <f t="shared" si="31"/>
        <v>24972</v>
      </c>
      <c r="N90" s="103">
        <f t="shared" si="31"/>
        <v>24972</v>
      </c>
      <c r="O90" s="105">
        <f t="shared" si="31"/>
        <v>26008</v>
      </c>
    </row>
    <row r="91" spans="1:15" ht="12.75" customHeight="1">
      <c r="A91" s="245"/>
      <c r="B91" s="250" t="s">
        <v>384</v>
      </c>
      <c r="C91" s="251">
        <f>SUM(D91:O91)</f>
        <v>284631</v>
      </c>
      <c r="D91" s="251">
        <v>43800</v>
      </c>
      <c r="E91" s="251">
        <v>21800</v>
      </c>
      <c r="F91" s="251">
        <v>21800</v>
      </c>
      <c r="G91" s="251">
        <v>21800</v>
      </c>
      <c r="H91" s="251">
        <v>21800</v>
      </c>
      <c r="I91" s="251">
        <v>21800</v>
      </c>
      <c r="J91" s="251">
        <v>21800</v>
      </c>
      <c r="K91" s="251">
        <v>21800</v>
      </c>
      <c r="L91" s="251">
        <v>21800</v>
      </c>
      <c r="M91" s="251">
        <v>21800</v>
      </c>
      <c r="N91" s="251">
        <v>21800</v>
      </c>
      <c r="O91" s="262">
        <v>22831</v>
      </c>
    </row>
    <row r="92" spans="1:15" ht="12.75" customHeight="1">
      <c r="A92" s="245"/>
      <c r="B92" s="250" t="s">
        <v>385</v>
      </c>
      <c r="C92" s="251"/>
      <c r="D92" s="251"/>
      <c r="E92" s="251"/>
      <c r="F92" s="251"/>
      <c r="G92" s="103"/>
      <c r="H92" s="251"/>
      <c r="I92" s="251"/>
      <c r="J92" s="251"/>
      <c r="K92" s="251"/>
      <c r="L92" s="251"/>
      <c r="M92" s="103"/>
      <c r="N92" s="251"/>
      <c r="O92" s="262"/>
    </row>
    <row r="93" spans="1:15" ht="12.75" customHeight="1">
      <c r="A93" s="283"/>
      <c r="B93" s="291" t="s">
        <v>357</v>
      </c>
      <c r="C93" s="251">
        <f>SUM(D93:O93)</f>
        <v>38069</v>
      </c>
      <c r="D93" s="186">
        <v>3172</v>
      </c>
      <c r="E93" s="186">
        <v>3172</v>
      </c>
      <c r="F93" s="186">
        <v>3172</v>
      </c>
      <c r="G93" s="186">
        <v>3172</v>
      </c>
      <c r="H93" s="186">
        <v>3172</v>
      </c>
      <c r="I93" s="186">
        <v>3172</v>
      </c>
      <c r="J93" s="186">
        <v>3172</v>
      </c>
      <c r="K93" s="186">
        <v>3172</v>
      </c>
      <c r="L93" s="186">
        <v>3172</v>
      </c>
      <c r="M93" s="186">
        <v>3172</v>
      </c>
      <c r="N93" s="186">
        <v>3172</v>
      </c>
      <c r="O93" s="188">
        <v>3177</v>
      </c>
    </row>
    <row r="94" spans="1:15" ht="12.75" hidden="1">
      <c r="A94" s="245"/>
      <c r="B94" s="246" t="s">
        <v>352</v>
      </c>
      <c r="C94" s="103">
        <f>SUM(C95)</f>
        <v>0</v>
      </c>
      <c r="D94" s="251"/>
      <c r="E94" s="103">
        <f>SUM(E95)</f>
        <v>0</v>
      </c>
      <c r="F94" s="252"/>
      <c r="G94" s="247"/>
      <c r="H94" s="247">
        <f>SUM(H95)</f>
        <v>0</v>
      </c>
      <c r="I94" s="247">
        <f>SUM(I95)</f>
        <v>0</v>
      </c>
      <c r="J94" s="251"/>
      <c r="K94" s="103">
        <f>SUM(K95)</f>
        <v>0</v>
      </c>
      <c r="L94" s="252"/>
      <c r="M94" s="247"/>
      <c r="N94" s="247">
        <f>SUM(N95)</f>
        <v>0</v>
      </c>
      <c r="O94" s="248">
        <f>SUM(O95)</f>
        <v>0</v>
      </c>
    </row>
    <row r="95" spans="1:15" ht="12.75" hidden="1">
      <c r="A95" s="245"/>
      <c r="B95" s="250" t="s">
        <v>353</v>
      </c>
      <c r="C95" s="251">
        <f>SUM(D95:E95)</f>
        <v>0</v>
      </c>
      <c r="D95" s="251"/>
      <c r="E95" s="251">
        <f>G95+I95</f>
        <v>0</v>
      </c>
      <c r="F95" s="252"/>
      <c r="G95" s="247"/>
      <c r="H95" s="292"/>
      <c r="I95" s="252"/>
      <c r="J95" s="251"/>
      <c r="K95" s="251">
        <f>M95+O95</f>
        <v>0</v>
      </c>
      <c r="L95" s="252"/>
      <c r="M95" s="247"/>
      <c r="N95" s="292"/>
      <c r="O95" s="253"/>
    </row>
    <row r="96" spans="1:18" s="258" customFormat="1" ht="13.5" customHeight="1">
      <c r="A96" s="271">
        <v>71035</v>
      </c>
      <c r="B96" s="279" t="s">
        <v>80</v>
      </c>
      <c r="C96" s="267">
        <f>SUM(C98)</f>
        <v>826600</v>
      </c>
      <c r="D96" s="267">
        <f>SUM(D97)</f>
        <v>69080</v>
      </c>
      <c r="E96" s="267">
        <f>SUM(E97)</f>
        <v>69080</v>
      </c>
      <c r="F96" s="267">
        <f aca="true" t="shared" si="32" ref="F96:O97">SUM(F97)</f>
        <v>69080</v>
      </c>
      <c r="G96" s="267">
        <f t="shared" si="32"/>
        <v>69080</v>
      </c>
      <c r="H96" s="267">
        <f t="shared" si="32"/>
        <v>69080</v>
      </c>
      <c r="I96" s="267">
        <f t="shared" si="32"/>
        <v>69080</v>
      </c>
      <c r="J96" s="267">
        <f t="shared" si="32"/>
        <v>69080</v>
      </c>
      <c r="K96" s="267">
        <f t="shared" si="32"/>
        <v>69080</v>
      </c>
      <c r="L96" s="267">
        <f t="shared" si="32"/>
        <v>69080</v>
      </c>
      <c r="M96" s="267">
        <f t="shared" si="32"/>
        <v>69080</v>
      </c>
      <c r="N96" s="267">
        <f t="shared" si="32"/>
        <v>66720</v>
      </c>
      <c r="O96" s="268">
        <f t="shared" si="32"/>
        <v>69080</v>
      </c>
      <c r="Q96" s="4"/>
      <c r="R96" s="4"/>
    </row>
    <row r="97" spans="1:15" ht="12.75" customHeight="1">
      <c r="A97" s="274"/>
      <c r="B97" s="293" t="s">
        <v>356</v>
      </c>
      <c r="C97" s="103">
        <f>SUM(D97:O97)</f>
        <v>826600</v>
      </c>
      <c r="D97" s="172">
        <f>D98</f>
        <v>69080</v>
      </c>
      <c r="E97" s="172">
        <f>SUM(E98)</f>
        <v>69080</v>
      </c>
      <c r="F97" s="172">
        <f t="shared" si="32"/>
        <v>69080</v>
      </c>
      <c r="G97" s="172">
        <f t="shared" si="32"/>
        <v>69080</v>
      </c>
      <c r="H97" s="172">
        <f t="shared" si="32"/>
        <v>69080</v>
      </c>
      <c r="I97" s="172">
        <f t="shared" si="32"/>
        <v>69080</v>
      </c>
      <c r="J97" s="172">
        <f t="shared" si="32"/>
        <v>69080</v>
      </c>
      <c r="K97" s="172">
        <f t="shared" si="32"/>
        <v>69080</v>
      </c>
      <c r="L97" s="172">
        <f t="shared" si="32"/>
        <v>69080</v>
      </c>
      <c r="M97" s="172">
        <f t="shared" si="32"/>
        <v>69080</v>
      </c>
      <c r="N97" s="172">
        <f t="shared" si="32"/>
        <v>66720</v>
      </c>
      <c r="O97" s="174">
        <f t="shared" si="32"/>
        <v>69080</v>
      </c>
    </row>
    <row r="98" spans="1:15" ht="12.75" customHeight="1" thickBot="1">
      <c r="A98" s="245"/>
      <c r="B98" s="261" t="s">
        <v>357</v>
      </c>
      <c r="C98" s="251">
        <f>SUM(D98:O98)</f>
        <v>826600</v>
      </c>
      <c r="D98" s="251">
        <v>69080</v>
      </c>
      <c r="E98" s="251">
        <v>69080</v>
      </c>
      <c r="F98" s="251">
        <v>69080</v>
      </c>
      <c r="G98" s="251">
        <v>69080</v>
      </c>
      <c r="H98" s="251">
        <v>69080</v>
      </c>
      <c r="I98" s="251">
        <v>69080</v>
      </c>
      <c r="J98" s="251">
        <v>69080</v>
      </c>
      <c r="K98" s="251">
        <v>69080</v>
      </c>
      <c r="L98" s="251">
        <v>69080</v>
      </c>
      <c r="M98" s="251">
        <v>69080</v>
      </c>
      <c r="N98" s="251">
        <v>66720</v>
      </c>
      <c r="O98" s="262">
        <v>69080</v>
      </c>
    </row>
    <row r="99" spans="1:18" s="254" customFormat="1" ht="12.75" hidden="1" thickBot="1">
      <c r="A99" s="249"/>
      <c r="B99" s="261" t="s">
        <v>367</v>
      </c>
      <c r="C99" s="251">
        <f>SUM(D99:E99)</f>
        <v>0</v>
      </c>
      <c r="D99" s="251">
        <f>F99+H99</f>
        <v>0</v>
      </c>
      <c r="E99" s="251"/>
      <c r="F99" s="251"/>
      <c r="G99" s="294"/>
      <c r="H99" s="251"/>
      <c r="I99" s="251"/>
      <c r="J99" s="251">
        <f>L99+N99</f>
        <v>0</v>
      </c>
      <c r="K99" s="251"/>
      <c r="L99" s="251"/>
      <c r="M99" s="294"/>
      <c r="N99" s="251"/>
      <c r="O99" s="262"/>
      <c r="Q99" s="4"/>
      <c r="R99" s="4"/>
    </row>
    <row r="100" spans="1:18" s="244" customFormat="1" ht="25.5" customHeight="1" thickBot="1" thickTop="1">
      <c r="A100" s="270">
        <v>750</v>
      </c>
      <c r="B100" s="243" t="s">
        <v>386</v>
      </c>
      <c r="C100" s="147">
        <f aca="true" t="shared" si="33" ref="C100:O100">C101+C113+C120+C138+C106+C129+C134</f>
        <v>23521456</v>
      </c>
      <c r="D100" s="147">
        <f t="shared" si="33"/>
        <v>2428971</v>
      </c>
      <c r="E100" s="147">
        <f t="shared" si="33"/>
        <v>1836711</v>
      </c>
      <c r="F100" s="147">
        <f t="shared" si="33"/>
        <v>1825593</v>
      </c>
      <c r="G100" s="147">
        <f t="shared" si="33"/>
        <v>2040603</v>
      </c>
      <c r="H100" s="147">
        <f t="shared" si="33"/>
        <v>1949153</v>
      </c>
      <c r="I100" s="147">
        <f t="shared" si="33"/>
        <v>1853609</v>
      </c>
      <c r="J100" s="147">
        <f t="shared" si="33"/>
        <v>1967843</v>
      </c>
      <c r="K100" s="147">
        <f t="shared" si="33"/>
        <v>1821493</v>
      </c>
      <c r="L100" s="147">
        <f t="shared" si="33"/>
        <v>1827393</v>
      </c>
      <c r="M100" s="147">
        <f t="shared" si="33"/>
        <v>2038612</v>
      </c>
      <c r="N100" s="147">
        <f t="shared" si="33"/>
        <v>2272798</v>
      </c>
      <c r="O100" s="149">
        <f t="shared" si="33"/>
        <v>1658677</v>
      </c>
      <c r="Q100" s="4"/>
      <c r="R100" s="4"/>
    </row>
    <row r="101" spans="1:15" ht="13.5" customHeight="1" thickTop="1">
      <c r="A101" s="295">
        <v>75011</v>
      </c>
      <c r="B101" s="296" t="s">
        <v>387</v>
      </c>
      <c r="C101" s="152">
        <f>SUM(C102)</f>
        <v>1460900</v>
      </c>
      <c r="D101" s="152">
        <f>SUM(D102)</f>
        <v>162000</v>
      </c>
      <c r="E101" s="152">
        <f>SUM(E102)</f>
        <v>117400</v>
      </c>
      <c r="F101" s="152">
        <f>SUM(F102)</f>
        <v>117000</v>
      </c>
      <c r="G101" s="152">
        <f>G102</f>
        <v>119000</v>
      </c>
      <c r="H101" s="152">
        <f>H102</f>
        <v>117500</v>
      </c>
      <c r="I101" s="152">
        <f>I102</f>
        <v>118500</v>
      </c>
      <c r="J101" s="152">
        <f>SUM(J102)</f>
        <v>117500</v>
      </c>
      <c r="K101" s="152">
        <f>SUM(K102)</f>
        <v>118500</v>
      </c>
      <c r="L101" s="152">
        <f>SUM(L102)</f>
        <v>118000</v>
      </c>
      <c r="M101" s="152">
        <f>M102</f>
        <v>119500</v>
      </c>
      <c r="N101" s="152">
        <f>N102</f>
        <v>118000</v>
      </c>
      <c r="O101" s="154">
        <f>O102</f>
        <v>118000</v>
      </c>
    </row>
    <row r="102" spans="1:15" ht="12.75" customHeight="1">
      <c r="A102" s="245"/>
      <c r="B102" s="246" t="s">
        <v>356</v>
      </c>
      <c r="C102" s="103">
        <f>SUM(D102:O102)</f>
        <v>1460900</v>
      </c>
      <c r="D102" s="172">
        <f>SUM(D103:D105)</f>
        <v>162000</v>
      </c>
      <c r="E102" s="172">
        <f aca="true" t="shared" si="34" ref="E102:O102">SUM(E103:E105)</f>
        <v>117400</v>
      </c>
      <c r="F102" s="172">
        <f t="shared" si="34"/>
        <v>117000</v>
      </c>
      <c r="G102" s="172">
        <f t="shared" si="34"/>
        <v>119000</v>
      </c>
      <c r="H102" s="172">
        <f t="shared" si="34"/>
        <v>117500</v>
      </c>
      <c r="I102" s="172">
        <f t="shared" si="34"/>
        <v>118500</v>
      </c>
      <c r="J102" s="172">
        <f t="shared" si="34"/>
        <v>117500</v>
      </c>
      <c r="K102" s="172">
        <f t="shared" si="34"/>
        <v>118500</v>
      </c>
      <c r="L102" s="172">
        <f t="shared" si="34"/>
        <v>118000</v>
      </c>
      <c r="M102" s="172">
        <f t="shared" si="34"/>
        <v>119500</v>
      </c>
      <c r="N102" s="172">
        <f t="shared" si="34"/>
        <v>118000</v>
      </c>
      <c r="O102" s="174">
        <f t="shared" si="34"/>
        <v>118000</v>
      </c>
    </row>
    <row r="103" spans="1:18" s="254" customFormat="1" ht="13.5" customHeight="1">
      <c r="A103" s="276"/>
      <c r="B103" s="277" t="s">
        <v>384</v>
      </c>
      <c r="C103" s="186">
        <f>SUM(D103:O103)</f>
        <v>1123400</v>
      </c>
      <c r="D103" s="186">
        <v>135000</v>
      </c>
      <c r="E103" s="186">
        <v>88400</v>
      </c>
      <c r="F103" s="186">
        <v>90000</v>
      </c>
      <c r="G103" s="186">
        <v>90000</v>
      </c>
      <c r="H103" s="186">
        <v>90000</v>
      </c>
      <c r="I103" s="186">
        <v>90000</v>
      </c>
      <c r="J103" s="186">
        <v>90000</v>
      </c>
      <c r="K103" s="186">
        <v>90000</v>
      </c>
      <c r="L103" s="186">
        <v>90000</v>
      </c>
      <c r="M103" s="186">
        <v>90000</v>
      </c>
      <c r="N103" s="186">
        <v>90000</v>
      </c>
      <c r="O103" s="188">
        <v>90000</v>
      </c>
      <c r="Q103" s="4"/>
      <c r="R103" s="4"/>
    </row>
    <row r="104" spans="1:18" s="254" customFormat="1" ht="12">
      <c r="A104" s="249"/>
      <c r="B104" s="250" t="s">
        <v>385</v>
      </c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62"/>
      <c r="Q104" s="4"/>
      <c r="R104" s="4"/>
    </row>
    <row r="105" spans="1:18" s="254" customFormat="1" ht="12">
      <c r="A105" s="276"/>
      <c r="B105" s="277" t="s">
        <v>357</v>
      </c>
      <c r="C105" s="186">
        <f>SUM(D105:O105)</f>
        <v>337500</v>
      </c>
      <c r="D105" s="186">
        <v>27000</v>
      </c>
      <c r="E105" s="186">
        <v>29000</v>
      </c>
      <c r="F105" s="186">
        <v>27000</v>
      </c>
      <c r="G105" s="186">
        <v>29000</v>
      </c>
      <c r="H105" s="186">
        <v>27500</v>
      </c>
      <c r="I105" s="186">
        <v>28500</v>
      </c>
      <c r="J105" s="186">
        <v>27500</v>
      </c>
      <c r="K105" s="186">
        <v>28500</v>
      </c>
      <c r="L105" s="186">
        <v>28000</v>
      </c>
      <c r="M105" s="186">
        <v>29500</v>
      </c>
      <c r="N105" s="186">
        <v>28000</v>
      </c>
      <c r="O105" s="188">
        <v>28000</v>
      </c>
      <c r="Q105" s="4"/>
      <c r="R105" s="4"/>
    </row>
    <row r="106" spans="1:15" ht="13.5" customHeight="1">
      <c r="A106" s="271">
        <v>75020</v>
      </c>
      <c r="B106" s="279" t="s">
        <v>97</v>
      </c>
      <c r="C106" s="267">
        <f>SUM(C107)</f>
        <v>1601400</v>
      </c>
      <c r="D106" s="267">
        <f>SUM(D107)</f>
        <v>189900</v>
      </c>
      <c r="E106" s="267">
        <f aca="true" t="shared" si="35" ref="E106:O106">SUM(E107)</f>
        <v>123300</v>
      </c>
      <c r="F106" s="267">
        <f t="shared" si="35"/>
        <v>137050</v>
      </c>
      <c r="G106" s="267">
        <f t="shared" si="35"/>
        <v>125500</v>
      </c>
      <c r="H106" s="267">
        <f t="shared" si="35"/>
        <v>124700</v>
      </c>
      <c r="I106" s="267">
        <f t="shared" si="35"/>
        <v>129550</v>
      </c>
      <c r="J106" s="267">
        <f t="shared" si="35"/>
        <v>126000</v>
      </c>
      <c r="K106" s="267">
        <f t="shared" si="35"/>
        <v>127100</v>
      </c>
      <c r="L106" s="267">
        <f t="shared" si="35"/>
        <v>132500</v>
      </c>
      <c r="M106" s="267">
        <f t="shared" si="35"/>
        <v>128800</v>
      </c>
      <c r="N106" s="267">
        <f t="shared" si="35"/>
        <v>128900</v>
      </c>
      <c r="O106" s="268">
        <f t="shared" si="35"/>
        <v>128100</v>
      </c>
    </row>
    <row r="107" spans="1:15" ht="12">
      <c r="A107" s="245"/>
      <c r="B107" s="246" t="s">
        <v>356</v>
      </c>
      <c r="C107" s="103">
        <f>SUM(D107:O107)</f>
        <v>1601400</v>
      </c>
      <c r="D107" s="103">
        <f>SUM(D108:D112)</f>
        <v>189900</v>
      </c>
      <c r="E107" s="172">
        <f aca="true" t="shared" si="36" ref="E107:O107">SUM(E108:E112)</f>
        <v>123300</v>
      </c>
      <c r="F107" s="172">
        <f t="shared" si="36"/>
        <v>137050</v>
      </c>
      <c r="G107" s="172">
        <f t="shared" si="36"/>
        <v>125500</v>
      </c>
      <c r="H107" s="172">
        <f t="shared" si="36"/>
        <v>124700</v>
      </c>
      <c r="I107" s="172">
        <f t="shared" si="36"/>
        <v>129550</v>
      </c>
      <c r="J107" s="172">
        <f t="shared" si="36"/>
        <v>126000</v>
      </c>
      <c r="K107" s="172">
        <f t="shared" si="36"/>
        <v>127100</v>
      </c>
      <c r="L107" s="172">
        <f t="shared" si="36"/>
        <v>132500</v>
      </c>
      <c r="M107" s="172">
        <f t="shared" si="36"/>
        <v>128800</v>
      </c>
      <c r="N107" s="172">
        <f t="shared" si="36"/>
        <v>128900</v>
      </c>
      <c r="O107" s="174">
        <f t="shared" si="36"/>
        <v>128100</v>
      </c>
    </row>
    <row r="108" spans="1:18" s="254" customFormat="1" ht="12.75" customHeight="1">
      <c r="A108" s="249"/>
      <c r="B108" s="250" t="s">
        <v>384</v>
      </c>
      <c r="C108" s="251">
        <f>SUM(D108:O108)</f>
        <v>1116400</v>
      </c>
      <c r="D108" s="251">
        <v>159000</v>
      </c>
      <c r="E108" s="251">
        <v>86400</v>
      </c>
      <c r="F108" s="251">
        <v>86400</v>
      </c>
      <c r="G108" s="251">
        <v>86600</v>
      </c>
      <c r="H108" s="251">
        <v>86800</v>
      </c>
      <c r="I108" s="251">
        <v>86900</v>
      </c>
      <c r="J108" s="251">
        <v>87100</v>
      </c>
      <c r="K108" s="251">
        <v>87200</v>
      </c>
      <c r="L108" s="251">
        <v>87350</v>
      </c>
      <c r="M108" s="251">
        <v>87400</v>
      </c>
      <c r="N108" s="251">
        <v>87400</v>
      </c>
      <c r="O108" s="262">
        <v>87850</v>
      </c>
      <c r="Q108" s="4"/>
      <c r="R108" s="4"/>
    </row>
    <row r="109" spans="1:18" s="254" customFormat="1" ht="12">
      <c r="A109" s="249"/>
      <c r="B109" s="250" t="s">
        <v>385</v>
      </c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62"/>
      <c r="Q109" s="4"/>
      <c r="R109" s="4"/>
    </row>
    <row r="110" spans="1:18" s="254" customFormat="1" ht="12" hidden="1">
      <c r="A110" s="249"/>
      <c r="B110" s="261" t="s">
        <v>373</v>
      </c>
      <c r="C110" s="251">
        <f>SUM(D110:O110)</f>
        <v>0</v>
      </c>
      <c r="D110" s="251">
        <f>F110+H110</f>
        <v>0</v>
      </c>
      <c r="E110" s="251"/>
      <c r="F110" s="251"/>
      <c r="G110" s="251"/>
      <c r="H110" s="251"/>
      <c r="I110" s="251"/>
      <c r="J110" s="251">
        <f>L110+N110</f>
        <v>0</v>
      </c>
      <c r="K110" s="251"/>
      <c r="L110" s="251"/>
      <c r="M110" s="251"/>
      <c r="N110" s="251"/>
      <c r="O110" s="262"/>
      <c r="Q110" s="4"/>
      <c r="R110" s="4"/>
    </row>
    <row r="111" spans="1:18" s="254" customFormat="1" ht="12">
      <c r="A111" s="249"/>
      <c r="B111" s="297" t="s">
        <v>388</v>
      </c>
      <c r="C111" s="251">
        <f>SUM(D111:O111)</f>
        <v>15000</v>
      </c>
      <c r="D111" s="251"/>
      <c r="E111" s="251"/>
      <c r="F111" s="251">
        <v>15000</v>
      </c>
      <c r="G111" s="251"/>
      <c r="H111" s="251"/>
      <c r="I111" s="251"/>
      <c r="J111" s="251"/>
      <c r="K111" s="251"/>
      <c r="L111" s="251"/>
      <c r="M111" s="251"/>
      <c r="N111" s="251"/>
      <c r="O111" s="262"/>
      <c r="Q111" s="4"/>
      <c r="R111" s="4"/>
    </row>
    <row r="112" spans="1:18" s="254" customFormat="1" ht="12" customHeight="1">
      <c r="A112" s="249"/>
      <c r="B112" s="250" t="s">
        <v>357</v>
      </c>
      <c r="C112" s="251">
        <f>SUM(D112:O112)</f>
        <v>470000</v>
      </c>
      <c r="D112" s="251">
        <v>30900</v>
      </c>
      <c r="E112" s="251">
        <v>36900</v>
      </c>
      <c r="F112" s="251">
        <v>35650</v>
      </c>
      <c r="G112" s="251">
        <v>38900</v>
      </c>
      <c r="H112" s="251">
        <v>37900</v>
      </c>
      <c r="I112" s="251">
        <v>42650</v>
      </c>
      <c r="J112" s="251">
        <v>38900</v>
      </c>
      <c r="K112" s="251">
        <v>39900</v>
      </c>
      <c r="L112" s="251">
        <v>45150</v>
      </c>
      <c r="M112" s="251">
        <v>41400</v>
      </c>
      <c r="N112" s="251">
        <v>41500</v>
      </c>
      <c r="O112" s="262">
        <v>40250</v>
      </c>
      <c r="Q112" s="4"/>
      <c r="R112" s="4"/>
    </row>
    <row r="113" spans="1:15" ht="13.5" customHeight="1">
      <c r="A113" s="271">
        <v>75022</v>
      </c>
      <c r="B113" s="279" t="s">
        <v>389</v>
      </c>
      <c r="C113" s="267">
        <f>C114+C117</f>
        <v>436200</v>
      </c>
      <c r="D113" s="267">
        <f aca="true" t="shared" si="37" ref="D113:O113">D114+D117</f>
        <v>36550</v>
      </c>
      <c r="E113" s="267">
        <f t="shared" si="37"/>
        <v>36260</v>
      </c>
      <c r="F113" s="267">
        <f t="shared" si="37"/>
        <v>36410</v>
      </c>
      <c r="G113" s="267">
        <f t="shared" si="37"/>
        <v>35960</v>
      </c>
      <c r="H113" s="267">
        <f t="shared" si="37"/>
        <v>36110</v>
      </c>
      <c r="I113" s="267">
        <f t="shared" si="37"/>
        <v>36560</v>
      </c>
      <c r="J113" s="267">
        <f t="shared" si="37"/>
        <v>35260</v>
      </c>
      <c r="K113" s="267">
        <f t="shared" si="37"/>
        <v>34610</v>
      </c>
      <c r="L113" s="267">
        <f t="shared" si="37"/>
        <v>37110</v>
      </c>
      <c r="M113" s="267">
        <f t="shared" si="37"/>
        <v>37460</v>
      </c>
      <c r="N113" s="267">
        <f t="shared" si="37"/>
        <v>36410</v>
      </c>
      <c r="O113" s="268">
        <f t="shared" si="37"/>
        <v>37500</v>
      </c>
    </row>
    <row r="114" spans="1:15" ht="13.5" customHeight="1">
      <c r="A114" s="298"/>
      <c r="B114" s="299" t="s">
        <v>389</v>
      </c>
      <c r="C114" s="300">
        <f>C115</f>
        <v>418000</v>
      </c>
      <c r="D114" s="300">
        <f aca="true" t="shared" si="38" ref="D114:O114">D115</f>
        <v>35050</v>
      </c>
      <c r="E114" s="300">
        <f t="shared" si="38"/>
        <v>34750</v>
      </c>
      <c r="F114" s="300">
        <f t="shared" si="38"/>
        <v>34900</v>
      </c>
      <c r="G114" s="300">
        <f t="shared" si="38"/>
        <v>34450</v>
      </c>
      <c r="H114" s="300">
        <f t="shared" si="38"/>
        <v>34600</v>
      </c>
      <c r="I114" s="300">
        <f t="shared" si="38"/>
        <v>35050</v>
      </c>
      <c r="J114" s="300">
        <f t="shared" si="38"/>
        <v>33750</v>
      </c>
      <c r="K114" s="300">
        <f t="shared" si="38"/>
        <v>33100</v>
      </c>
      <c r="L114" s="300">
        <f t="shared" si="38"/>
        <v>35600</v>
      </c>
      <c r="M114" s="300">
        <f t="shared" si="38"/>
        <v>35950</v>
      </c>
      <c r="N114" s="300">
        <f t="shared" si="38"/>
        <v>34900</v>
      </c>
      <c r="O114" s="301">
        <f t="shared" si="38"/>
        <v>35900</v>
      </c>
    </row>
    <row r="115" spans="1:15" ht="12">
      <c r="A115" s="245"/>
      <c r="B115" s="259" t="s">
        <v>356</v>
      </c>
      <c r="C115" s="103">
        <f>SUM(D115:O115)</f>
        <v>418000</v>
      </c>
      <c r="D115" s="103">
        <f aca="true" t="shared" si="39" ref="D115:O115">SUM(D116)</f>
        <v>35050</v>
      </c>
      <c r="E115" s="103">
        <f t="shared" si="39"/>
        <v>34750</v>
      </c>
      <c r="F115" s="103">
        <f t="shared" si="39"/>
        <v>34900</v>
      </c>
      <c r="G115" s="103">
        <f t="shared" si="39"/>
        <v>34450</v>
      </c>
      <c r="H115" s="103">
        <f t="shared" si="39"/>
        <v>34600</v>
      </c>
      <c r="I115" s="103">
        <f t="shared" si="39"/>
        <v>35050</v>
      </c>
      <c r="J115" s="103">
        <f t="shared" si="39"/>
        <v>33750</v>
      </c>
      <c r="K115" s="103">
        <f t="shared" si="39"/>
        <v>33100</v>
      </c>
      <c r="L115" s="103">
        <f t="shared" si="39"/>
        <v>35600</v>
      </c>
      <c r="M115" s="103">
        <f t="shared" si="39"/>
        <v>35950</v>
      </c>
      <c r="N115" s="103">
        <f t="shared" si="39"/>
        <v>34900</v>
      </c>
      <c r="O115" s="105">
        <f t="shared" si="39"/>
        <v>35900</v>
      </c>
    </row>
    <row r="116" spans="1:18" s="254" customFormat="1" ht="12" customHeight="1">
      <c r="A116" s="249"/>
      <c r="B116" s="261" t="s">
        <v>357</v>
      </c>
      <c r="C116" s="251">
        <f>SUM(D116:O116)</f>
        <v>418000</v>
      </c>
      <c r="D116" s="251">
        <v>35050</v>
      </c>
      <c r="E116" s="251">
        <v>34750</v>
      </c>
      <c r="F116" s="251">
        <v>34900</v>
      </c>
      <c r="G116" s="251">
        <v>34450</v>
      </c>
      <c r="H116" s="251">
        <v>34600</v>
      </c>
      <c r="I116" s="251">
        <v>35050</v>
      </c>
      <c r="J116" s="251">
        <v>33750</v>
      </c>
      <c r="K116" s="251">
        <v>33100</v>
      </c>
      <c r="L116" s="251">
        <v>35600</v>
      </c>
      <c r="M116" s="251">
        <v>35950</v>
      </c>
      <c r="N116" s="251">
        <v>34900</v>
      </c>
      <c r="O116" s="262">
        <v>35900</v>
      </c>
      <c r="Q116" s="4"/>
      <c r="R116" s="4"/>
    </row>
    <row r="117" spans="1:18" s="304" customFormat="1" ht="24.75" customHeight="1">
      <c r="A117" s="302"/>
      <c r="B117" s="303" t="s">
        <v>390</v>
      </c>
      <c r="C117" s="138">
        <f>C118</f>
        <v>18200</v>
      </c>
      <c r="D117" s="138">
        <f aca="true" t="shared" si="40" ref="D117:O118">D118</f>
        <v>1500</v>
      </c>
      <c r="E117" s="138">
        <f t="shared" si="40"/>
        <v>1510</v>
      </c>
      <c r="F117" s="138">
        <f t="shared" si="40"/>
        <v>1510</v>
      </c>
      <c r="G117" s="138">
        <f t="shared" si="40"/>
        <v>1510</v>
      </c>
      <c r="H117" s="138">
        <f t="shared" si="40"/>
        <v>1510</v>
      </c>
      <c r="I117" s="138">
        <f t="shared" si="40"/>
        <v>1510</v>
      </c>
      <c r="J117" s="138">
        <f t="shared" si="40"/>
        <v>1510</v>
      </c>
      <c r="K117" s="138">
        <f t="shared" si="40"/>
        <v>1510</v>
      </c>
      <c r="L117" s="138">
        <f t="shared" si="40"/>
        <v>1510</v>
      </c>
      <c r="M117" s="138">
        <f t="shared" si="40"/>
        <v>1510</v>
      </c>
      <c r="N117" s="138">
        <f t="shared" si="40"/>
        <v>1510</v>
      </c>
      <c r="O117" s="140">
        <f t="shared" si="40"/>
        <v>1600</v>
      </c>
      <c r="Q117" s="258"/>
      <c r="R117" s="258"/>
    </row>
    <row r="118" spans="1:18" s="254" customFormat="1" ht="12" customHeight="1">
      <c r="A118" s="249"/>
      <c r="B118" s="259" t="s">
        <v>356</v>
      </c>
      <c r="C118" s="251">
        <f>C119</f>
        <v>18200</v>
      </c>
      <c r="D118" s="251">
        <f>D119</f>
        <v>1500</v>
      </c>
      <c r="E118" s="251">
        <f t="shared" si="40"/>
        <v>1510</v>
      </c>
      <c r="F118" s="251">
        <f t="shared" si="40"/>
        <v>1510</v>
      </c>
      <c r="G118" s="251">
        <f t="shared" si="40"/>
        <v>1510</v>
      </c>
      <c r="H118" s="251">
        <f t="shared" si="40"/>
        <v>1510</v>
      </c>
      <c r="I118" s="251">
        <f t="shared" si="40"/>
        <v>1510</v>
      </c>
      <c r="J118" s="251">
        <f t="shared" si="40"/>
        <v>1510</v>
      </c>
      <c r="K118" s="251">
        <f t="shared" si="40"/>
        <v>1510</v>
      </c>
      <c r="L118" s="251">
        <f t="shared" si="40"/>
        <v>1510</v>
      </c>
      <c r="M118" s="251">
        <f t="shared" si="40"/>
        <v>1510</v>
      </c>
      <c r="N118" s="251">
        <f t="shared" si="40"/>
        <v>1510</v>
      </c>
      <c r="O118" s="262">
        <f t="shared" si="40"/>
        <v>1600</v>
      </c>
      <c r="Q118" s="4"/>
      <c r="R118" s="4"/>
    </row>
    <row r="119" spans="1:18" s="254" customFormat="1" ht="12" customHeight="1">
      <c r="A119" s="276"/>
      <c r="B119" s="291" t="s">
        <v>357</v>
      </c>
      <c r="C119" s="186">
        <f>SUM(D119:O119)</f>
        <v>18200</v>
      </c>
      <c r="D119" s="186">
        <v>1500</v>
      </c>
      <c r="E119" s="186">
        <v>1510</v>
      </c>
      <c r="F119" s="186">
        <v>1510</v>
      </c>
      <c r="G119" s="186">
        <v>1510</v>
      </c>
      <c r="H119" s="186">
        <v>1510</v>
      </c>
      <c r="I119" s="186">
        <v>1510</v>
      </c>
      <c r="J119" s="186">
        <v>1510</v>
      </c>
      <c r="K119" s="186">
        <v>1510</v>
      </c>
      <c r="L119" s="186">
        <v>1510</v>
      </c>
      <c r="M119" s="186">
        <v>1510</v>
      </c>
      <c r="N119" s="186">
        <v>1510</v>
      </c>
      <c r="O119" s="188">
        <v>1600</v>
      </c>
      <c r="Q119" s="4"/>
      <c r="R119" s="4"/>
    </row>
    <row r="120" spans="1:15" ht="13.5" customHeight="1">
      <c r="A120" s="271">
        <v>75023</v>
      </c>
      <c r="B120" s="305" t="s">
        <v>391</v>
      </c>
      <c r="C120" s="267">
        <f>C121+C126</f>
        <v>18653310</v>
      </c>
      <c r="D120" s="267">
        <f>SUM(D121+D126)</f>
        <v>1996171</v>
      </c>
      <c r="E120" s="267">
        <f aca="true" t="shared" si="41" ref="E120:O120">SUM(E121+E126)</f>
        <v>1417701</v>
      </c>
      <c r="F120" s="267">
        <f t="shared" si="41"/>
        <v>1420573</v>
      </c>
      <c r="G120" s="267">
        <f t="shared" si="41"/>
        <v>1471633</v>
      </c>
      <c r="H120" s="267">
        <f t="shared" si="41"/>
        <v>1576633</v>
      </c>
      <c r="I120" s="267">
        <f t="shared" si="41"/>
        <v>1490033</v>
      </c>
      <c r="J120" s="267">
        <f t="shared" si="41"/>
        <v>1505033</v>
      </c>
      <c r="K120" s="267">
        <f t="shared" si="41"/>
        <v>1488033</v>
      </c>
      <c r="L120" s="267">
        <f t="shared" si="41"/>
        <v>1489933</v>
      </c>
      <c r="M120" s="267">
        <f t="shared" si="41"/>
        <v>1692602</v>
      </c>
      <c r="N120" s="267">
        <f t="shared" si="41"/>
        <v>1804438</v>
      </c>
      <c r="O120" s="268">
        <f t="shared" si="41"/>
        <v>1300527</v>
      </c>
    </row>
    <row r="121" spans="1:15" ht="12.75" customHeight="1">
      <c r="A121" s="245"/>
      <c r="B121" s="246" t="s">
        <v>356</v>
      </c>
      <c r="C121" s="103">
        <f>SUM(D121:O121)</f>
        <v>18083310</v>
      </c>
      <c r="D121" s="103">
        <f>SUM(D122:D124)</f>
        <v>1996171</v>
      </c>
      <c r="E121" s="172">
        <f aca="true" t="shared" si="42" ref="E121:O121">SUM(E122:E124)</f>
        <v>1417701</v>
      </c>
      <c r="F121" s="172">
        <f t="shared" si="42"/>
        <v>1420573</v>
      </c>
      <c r="G121" s="172">
        <f t="shared" si="42"/>
        <v>1471633</v>
      </c>
      <c r="H121" s="172">
        <f t="shared" si="42"/>
        <v>1576633</v>
      </c>
      <c r="I121" s="172">
        <f t="shared" si="42"/>
        <v>1490033</v>
      </c>
      <c r="J121" s="172">
        <f t="shared" si="42"/>
        <v>1505033</v>
      </c>
      <c r="K121" s="172">
        <f t="shared" si="42"/>
        <v>1488033</v>
      </c>
      <c r="L121" s="172">
        <f t="shared" si="42"/>
        <v>1489933</v>
      </c>
      <c r="M121" s="172">
        <f t="shared" si="42"/>
        <v>1492602</v>
      </c>
      <c r="N121" s="172">
        <f t="shared" si="42"/>
        <v>1504438</v>
      </c>
      <c r="O121" s="174">
        <f t="shared" si="42"/>
        <v>1230527</v>
      </c>
    </row>
    <row r="122" spans="1:18" s="254" customFormat="1" ht="12.75" customHeight="1">
      <c r="A122" s="249"/>
      <c r="B122" s="250" t="s">
        <v>384</v>
      </c>
      <c r="C122" s="251">
        <f>SUM(D122:O122)</f>
        <v>13051470</v>
      </c>
      <c r="D122" s="251">
        <f>1841620-232940</f>
        <v>1608680</v>
      </c>
      <c r="E122" s="251">
        <f>1018000</f>
        <v>1018000</v>
      </c>
      <c r="F122" s="251">
        <f>1024000</f>
        <v>1024000</v>
      </c>
      <c r="G122" s="251">
        <v>1024000</v>
      </c>
      <c r="H122" s="251">
        <v>1043000</v>
      </c>
      <c r="I122" s="251">
        <v>1043200</v>
      </c>
      <c r="J122" s="251">
        <f>1043400</f>
        <v>1043400</v>
      </c>
      <c r="K122" s="251">
        <f>1043400</f>
        <v>1043400</v>
      </c>
      <c r="L122" s="251">
        <v>1043400</v>
      </c>
      <c r="M122" s="251">
        <f>1038600</f>
        <v>1038600</v>
      </c>
      <c r="N122" s="251">
        <v>1043600</v>
      </c>
      <c r="O122" s="262">
        <f>1078190</f>
        <v>1078190</v>
      </c>
      <c r="Q122" s="4"/>
      <c r="R122" s="4"/>
    </row>
    <row r="123" spans="1:18" s="254" customFormat="1" ht="12.75" customHeight="1">
      <c r="A123" s="249"/>
      <c r="B123" s="250" t="s">
        <v>385</v>
      </c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62"/>
      <c r="Q123" s="4"/>
      <c r="R123" s="4"/>
    </row>
    <row r="124" spans="1:18" s="254" customFormat="1" ht="12.75" customHeight="1">
      <c r="A124" s="249"/>
      <c r="B124" s="250" t="s">
        <v>357</v>
      </c>
      <c r="C124" s="251">
        <f>SUM(D124:O124)</f>
        <v>5031840</v>
      </c>
      <c r="D124" s="251">
        <f>190500+14300+6000+126691+50000</f>
        <v>387491</v>
      </c>
      <c r="E124" s="251">
        <f>202500+16510+4000+126691+50000</f>
        <v>399701</v>
      </c>
      <c r="F124" s="251">
        <f>210400+20542+6000+126691+32940</f>
        <v>396573</v>
      </c>
      <c r="G124" s="251">
        <f>246400+18542+6000+126691+50000</f>
        <v>447633</v>
      </c>
      <c r="H124" s="251">
        <f>385400+18542+3000+126691</f>
        <v>533633</v>
      </c>
      <c r="I124" s="251">
        <f>276600+18542+5000+126691+20000</f>
        <v>446833</v>
      </c>
      <c r="J124" s="251">
        <f>283400+18542+3000+126691+30000</f>
        <v>461633</v>
      </c>
      <c r="K124" s="251">
        <f>293400+18542+6000+126691</f>
        <v>444633</v>
      </c>
      <c r="L124" s="251">
        <f>293800+20042+6000+126691</f>
        <v>446533</v>
      </c>
      <c r="M124" s="251">
        <f>288900+32411+6000+126691</f>
        <v>454002</v>
      </c>
      <c r="N124" s="251">
        <f>290300+37847+6000+126691</f>
        <v>460838</v>
      </c>
      <c r="O124" s="262">
        <f>18638+7000+126691+8</f>
        <v>152337</v>
      </c>
      <c r="Q124" s="4"/>
      <c r="R124" s="4"/>
    </row>
    <row r="125" spans="1:18" s="254" customFormat="1" ht="12.75" customHeight="1">
      <c r="A125" s="249"/>
      <c r="B125" s="250" t="s">
        <v>376</v>
      </c>
      <c r="C125" s="251">
        <f>SUM(D125:O125)</f>
        <v>700000</v>
      </c>
      <c r="D125" s="251">
        <f>20000+2900</f>
        <v>22900</v>
      </c>
      <c r="E125" s="251">
        <f>20000+2900</f>
        <v>22900</v>
      </c>
      <c r="F125" s="251">
        <f>20000+2900</f>
        <v>22900</v>
      </c>
      <c r="G125" s="251">
        <f>50000+2900</f>
        <v>52900</v>
      </c>
      <c r="H125" s="251">
        <f>60000+9800</f>
        <v>69800</v>
      </c>
      <c r="I125" s="251">
        <f>60000+9800</f>
        <v>69800</v>
      </c>
      <c r="J125" s="251">
        <f>60000+9800</f>
        <v>69800</v>
      </c>
      <c r="K125" s="251">
        <f>60000+9800</f>
        <v>69800</v>
      </c>
      <c r="L125" s="251">
        <f>65000+9800</f>
        <v>74800</v>
      </c>
      <c r="M125" s="251">
        <f>60000+9800</f>
        <v>69800</v>
      </c>
      <c r="N125" s="251">
        <f>60000+9800</f>
        <v>69800</v>
      </c>
      <c r="O125" s="262">
        <f>75000+9800</f>
        <v>84800</v>
      </c>
      <c r="Q125" s="4"/>
      <c r="R125" s="4"/>
    </row>
    <row r="126" spans="1:15" ht="12.75" customHeight="1">
      <c r="A126" s="245"/>
      <c r="B126" s="246" t="s">
        <v>352</v>
      </c>
      <c r="C126" s="251">
        <f>SUM(D126:O126)</f>
        <v>570000</v>
      </c>
      <c r="D126" s="103"/>
      <c r="E126" s="103"/>
      <c r="F126" s="103">
        <f aca="true" t="shared" si="43" ref="F126:N126">SUM(F128)</f>
        <v>0</v>
      </c>
      <c r="G126" s="103"/>
      <c r="H126" s="103">
        <f t="shared" si="43"/>
        <v>0</v>
      </c>
      <c r="I126" s="103">
        <f t="shared" si="43"/>
        <v>0</v>
      </c>
      <c r="J126" s="103"/>
      <c r="K126" s="103">
        <f t="shared" si="43"/>
        <v>0</v>
      </c>
      <c r="L126" s="103">
        <f t="shared" si="43"/>
        <v>0</v>
      </c>
      <c r="M126" s="103">
        <f t="shared" si="43"/>
        <v>200000</v>
      </c>
      <c r="N126" s="103">
        <f t="shared" si="43"/>
        <v>300000</v>
      </c>
      <c r="O126" s="105">
        <f>O127+O128</f>
        <v>70000</v>
      </c>
    </row>
    <row r="127" spans="1:18" s="254" customFormat="1" ht="12.75" customHeight="1">
      <c r="A127" s="249"/>
      <c r="B127" s="250" t="s">
        <v>368</v>
      </c>
      <c r="C127" s="251"/>
      <c r="D127" s="251"/>
      <c r="E127" s="251"/>
      <c r="F127" s="252"/>
      <c r="G127" s="252"/>
      <c r="H127" s="252"/>
      <c r="I127" s="252"/>
      <c r="J127" s="251"/>
      <c r="K127" s="251"/>
      <c r="L127" s="252"/>
      <c r="M127" s="252"/>
      <c r="N127" s="252"/>
      <c r="O127" s="253"/>
      <c r="Q127" s="4"/>
      <c r="R127" s="4"/>
    </row>
    <row r="128" spans="1:15" ht="12.75" customHeight="1">
      <c r="A128" s="245"/>
      <c r="B128" s="250" t="s">
        <v>353</v>
      </c>
      <c r="C128" s="251">
        <f>SUM(D128:O128)</f>
        <v>570000</v>
      </c>
      <c r="D128" s="251"/>
      <c r="E128" s="251"/>
      <c r="F128" s="251"/>
      <c r="G128" s="252"/>
      <c r="H128" s="251"/>
      <c r="I128" s="251"/>
      <c r="J128" s="251"/>
      <c r="K128" s="251"/>
      <c r="L128" s="251"/>
      <c r="M128" s="251">
        <v>200000</v>
      </c>
      <c r="N128" s="251">
        <v>300000</v>
      </c>
      <c r="O128" s="253">
        <v>70000</v>
      </c>
    </row>
    <row r="129" spans="1:15" ht="13.5" customHeight="1">
      <c r="A129" s="271">
        <v>75045</v>
      </c>
      <c r="B129" s="279" t="s">
        <v>111</v>
      </c>
      <c r="C129" s="267">
        <f>SUM(C131:C133)</f>
        <v>44500</v>
      </c>
      <c r="D129" s="267">
        <f>SUM(D131:D133)</f>
        <v>200</v>
      </c>
      <c r="E129" s="267">
        <f>SUM(E131:E133)</f>
        <v>2100</v>
      </c>
      <c r="F129" s="267">
        <f>SUM(F131:F133)</f>
        <v>22900</v>
      </c>
      <c r="G129" s="267">
        <f>SUM(G131:G133)</f>
        <v>19300</v>
      </c>
      <c r="H129" s="267"/>
      <c r="I129" s="267"/>
      <c r="J129" s="267"/>
      <c r="K129" s="267"/>
      <c r="L129" s="267"/>
      <c r="M129" s="267"/>
      <c r="N129" s="267"/>
      <c r="O129" s="268"/>
    </row>
    <row r="130" spans="1:15" ht="12.75" customHeight="1">
      <c r="A130" s="245"/>
      <c r="B130" s="246" t="s">
        <v>356</v>
      </c>
      <c r="C130" s="103">
        <f>SUM(C131:C133)</f>
        <v>44500</v>
      </c>
      <c r="D130" s="103">
        <f>SUM(D131:D133)</f>
        <v>200</v>
      </c>
      <c r="E130" s="103">
        <f>SUM(E131:E133)</f>
        <v>2100</v>
      </c>
      <c r="F130" s="103">
        <f>SUM(F131:F133)</f>
        <v>22900</v>
      </c>
      <c r="G130" s="103">
        <f>SUM(G131:G133)</f>
        <v>19300</v>
      </c>
      <c r="H130" s="103"/>
      <c r="I130" s="103"/>
      <c r="J130" s="103"/>
      <c r="K130" s="103"/>
      <c r="L130" s="103"/>
      <c r="M130" s="103"/>
      <c r="N130" s="103"/>
      <c r="O130" s="105"/>
    </row>
    <row r="131" spans="1:18" s="254" customFormat="1" ht="12.75" customHeight="1">
      <c r="A131" s="249"/>
      <c r="B131" s="250" t="s">
        <v>384</v>
      </c>
      <c r="C131" s="251">
        <f>SUM(D131:O131)</f>
        <v>12000</v>
      </c>
      <c r="D131" s="251"/>
      <c r="E131" s="251"/>
      <c r="F131" s="251">
        <v>8000</v>
      </c>
      <c r="G131" s="251">
        <v>4000</v>
      </c>
      <c r="H131" s="251"/>
      <c r="I131" s="251"/>
      <c r="J131" s="251"/>
      <c r="K131" s="251"/>
      <c r="L131" s="251"/>
      <c r="M131" s="251"/>
      <c r="N131" s="251"/>
      <c r="O131" s="262"/>
      <c r="Q131" s="4"/>
      <c r="R131" s="4"/>
    </row>
    <row r="132" spans="1:18" s="254" customFormat="1" ht="12.75" customHeight="1">
      <c r="A132" s="249"/>
      <c r="B132" s="250" t="s">
        <v>385</v>
      </c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62"/>
      <c r="Q132" s="4"/>
      <c r="R132" s="4"/>
    </row>
    <row r="133" spans="1:15" ht="12.75" customHeight="1">
      <c r="A133" s="245"/>
      <c r="B133" s="261" t="s">
        <v>357</v>
      </c>
      <c r="C133" s="251">
        <f>SUM(D133:O133)</f>
        <v>32500</v>
      </c>
      <c r="D133" s="251">
        <v>200</v>
      </c>
      <c r="E133" s="251">
        <v>2100</v>
      </c>
      <c r="F133" s="251">
        <v>14900</v>
      </c>
      <c r="G133" s="103">
        <v>15300</v>
      </c>
      <c r="H133" s="103"/>
      <c r="I133" s="251"/>
      <c r="J133" s="251"/>
      <c r="K133" s="251"/>
      <c r="L133" s="251"/>
      <c r="M133" s="103"/>
      <c r="N133" s="103"/>
      <c r="O133" s="262"/>
    </row>
    <row r="134" spans="1:15" ht="24" hidden="1">
      <c r="A134" s="271">
        <v>75056</v>
      </c>
      <c r="B134" s="279" t="s">
        <v>392</v>
      </c>
      <c r="C134" s="251">
        <f>SUM(D134:O134)</f>
        <v>0</v>
      </c>
      <c r="D134" s="267"/>
      <c r="E134" s="267">
        <f>SUM(E135)</f>
        <v>0</v>
      </c>
      <c r="F134" s="142"/>
      <c r="G134" s="267">
        <f>SUM(G135)</f>
        <v>0</v>
      </c>
      <c r="H134" s="267"/>
      <c r="I134" s="267"/>
      <c r="J134" s="267"/>
      <c r="K134" s="267">
        <f>SUM(K135)</f>
        <v>0</v>
      </c>
      <c r="L134" s="142"/>
      <c r="M134" s="267">
        <f>SUM(M135)</f>
        <v>0</v>
      </c>
      <c r="N134" s="267"/>
      <c r="O134" s="268"/>
    </row>
    <row r="135" spans="1:15" ht="12" hidden="1">
      <c r="A135" s="245"/>
      <c r="B135" s="246" t="s">
        <v>356</v>
      </c>
      <c r="C135" s="251">
        <f>SUM(D135:O135)</f>
        <v>0</v>
      </c>
      <c r="D135" s="103"/>
      <c r="E135" s="103">
        <f>SUM(E136:E136)</f>
        <v>0</v>
      </c>
      <c r="F135" s="103"/>
      <c r="G135" s="103">
        <f>SUM(G136:G136)</f>
        <v>0</v>
      </c>
      <c r="H135" s="103"/>
      <c r="I135" s="103"/>
      <c r="J135" s="103"/>
      <c r="K135" s="103">
        <f>SUM(K136:K136)</f>
        <v>0</v>
      </c>
      <c r="L135" s="103"/>
      <c r="M135" s="103">
        <f>SUM(M136:M136)</f>
        <v>0</v>
      </c>
      <c r="N135" s="103"/>
      <c r="O135" s="105"/>
    </row>
    <row r="136" spans="1:15" ht="12.75" hidden="1">
      <c r="A136" s="245"/>
      <c r="B136" s="261" t="s">
        <v>357</v>
      </c>
      <c r="C136" s="251">
        <f>SUM(D136:O136)</f>
        <v>0</v>
      </c>
      <c r="D136" s="251"/>
      <c r="E136" s="251">
        <f>G136+I136</f>
        <v>0</v>
      </c>
      <c r="F136" s="252"/>
      <c r="G136" s="252"/>
      <c r="H136" s="247"/>
      <c r="I136" s="252"/>
      <c r="J136" s="251"/>
      <c r="K136" s="251">
        <f>M136+O136</f>
        <v>0</v>
      </c>
      <c r="L136" s="252"/>
      <c r="M136" s="252"/>
      <c r="N136" s="247"/>
      <c r="O136" s="253"/>
    </row>
    <row r="137" spans="1:15" ht="12.75">
      <c r="A137" s="245"/>
      <c r="B137" s="250" t="s">
        <v>376</v>
      </c>
      <c r="C137" s="251">
        <f>SUM(D137:O137)</f>
        <v>200</v>
      </c>
      <c r="D137" s="251">
        <v>200</v>
      </c>
      <c r="E137" s="251"/>
      <c r="F137" s="252"/>
      <c r="G137" s="252"/>
      <c r="H137" s="247"/>
      <c r="I137" s="252"/>
      <c r="J137" s="251"/>
      <c r="K137" s="251"/>
      <c r="L137" s="252"/>
      <c r="M137" s="252"/>
      <c r="N137" s="247"/>
      <c r="O137" s="253"/>
    </row>
    <row r="138" spans="1:15" ht="13.5" customHeight="1">
      <c r="A138" s="271">
        <v>75095</v>
      </c>
      <c r="B138" s="279" t="s">
        <v>86</v>
      </c>
      <c r="C138" s="267">
        <f>SUM(C139)</f>
        <v>1325146</v>
      </c>
      <c r="D138" s="267">
        <f>SUM(D139)</f>
        <v>44150</v>
      </c>
      <c r="E138" s="267">
        <f>SUM(E139)</f>
        <v>139950</v>
      </c>
      <c r="F138" s="267">
        <f>SUM(F139)</f>
        <v>91660</v>
      </c>
      <c r="G138" s="267">
        <f aca="true" t="shared" si="44" ref="G138:O138">SUM(G139)</f>
        <v>269210</v>
      </c>
      <c r="H138" s="267">
        <f t="shared" si="44"/>
        <v>94210</v>
      </c>
      <c r="I138" s="267">
        <f t="shared" si="44"/>
        <v>78966</v>
      </c>
      <c r="J138" s="267">
        <f t="shared" si="44"/>
        <v>184050</v>
      </c>
      <c r="K138" s="267">
        <f t="shared" si="44"/>
        <v>53250</v>
      </c>
      <c r="L138" s="267">
        <f t="shared" si="44"/>
        <v>49850</v>
      </c>
      <c r="M138" s="267">
        <f t="shared" si="44"/>
        <v>60250</v>
      </c>
      <c r="N138" s="267">
        <f t="shared" si="44"/>
        <v>185050</v>
      </c>
      <c r="O138" s="268">
        <f t="shared" si="44"/>
        <v>74550</v>
      </c>
    </row>
    <row r="139" spans="1:18" s="260" customFormat="1" ht="12.75" customHeight="1">
      <c r="A139" s="245"/>
      <c r="B139" s="259" t="s">
        <v>356</v>
      </c>
      <c r="C139" s="103">
        <f>SUM(D139:O139)</f>
        <v>1325146</v>
      </c>
      <c r="D139" s="247">
        <f>SUM(D140:D143)</f>
        <v>44150</v>
      </c>
      <c r="E139" s="247">
        <f>SUM(E140:E143)</f>
        <v>139950</v>
      </c>
      <c r="F139" s="247">
        <f>SUM(F140:F143)</f>
        <v>91660</v>
      </c>
      <c r="G139" s="247">
        <f aca="true" t="shared" si="45" ref="G139:O139">SUM(G140:G143)</f>
        <v>269210</v>
      </c>
      <c r="H139" s="247">
        <f t="shared" si="45"/>
        <v>94210</v>
      </c>
      <c r="I139" s="247">
        <f t="shared" si="45"/>
        <v>78966</v>
      </c>
      <c r="J139" s="247">
        <f t="shared" si="45"/>
        <v>184050</v>
      </c>
      <c r="K139" s="247">
        <f t="shared" si="45"/>
        <v>53250</v>
      </c>
      <c r="L139" s="247">
        <f t="shared" si="45"/>
        <v>49850</v>
      </c>
      <c r="M139" s="247">
        <f t="shared" si="45"/>
        <v>60250</v>
      </c>
      <c r="N139" s="247">
        <f t="shared" si="45"/>
        <v>185050</v>
      </c>
      <c r="O139" s="248">
        <f t="shared" si="45"/>
        <v>74550</v>
      </c>
      <c r="Q139" s="4"/>
      <c r="R139" s="4"/>
    </row>
    <row r="140" spans="1:18" s="254" customFormat="1" ht="12.75" customHeight="1">
      <c r="A140" s="249"/>
      <c r="B140" s="250" t="s">
        <v>384</v>
      </c>
      <c r="C140" s="251">
        <f>SUM(D140:O140)</f>
        <v>3200</v>
      </c>
      <c r="D140" s="251">
        <v>200</v>
      </c>
      <c r="E140" s="251">
        <v>210</v>
      </c>
      <c r="F140" s="251">
        <v>210</v>
      </c>
      <c r="G140" s="251">
        <v>260</v>
      </c>
      <c r="H140" s="251">
        <v>260</v>
      </c>
      <c r="I140" s="251">
        <v>260</v>
      </c>
      <c r="J140" s="251">
        <v>300</v>
      </c>
      <c r="K140" s="251">
        <v>300</v>
      </c>
      <c r="L140" s="251">
        <v>300</v>
      </c>
      <c r="M140" s="251">
        <v>300</v>
      </c>
      <c r="N140" s="251">
        <v>300</v>
      </c>
      <c r="O140" s="262">
        <v>300</v>
      </c>
      <c r="Q140" s="4"/>
      <c r="R140" s="4"/>
    </row>
    <row r="141" spans="1:18" s="254" customFormat="1" ht="12.75" customHeight="1">
      <c r="A141" s="249"/>
      <c r="B141" s="250" t="s">
        <v>385</v>
      </c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62"/>
      <c r="Q141" s="4"/>
      <c r="R141" s="4"/>
    </row>
    <row r="142" spans="1:18" s="269" customFormat="1" ht="12.75" customHeight="1">
      <c r="A142" s="249"/>
      <c r="B142" s="261" t="s">
        <v>373</v>
      </c>
      <c r="C142" s="251">
        <f>SUM(D142:O142)</f>
        <v>454900</v>
      </c>
      <c r="D142" s="251"/>
      <c r="E142" s="251">
        <v>100000</v>
      </c>
      <c r="F142" s="251"/>
      <c r="G142" s="251">
        <v>120000</v>
      </c>
      <c r="H142" s="251"/>
      <c r="I142" s="251"/>
      <c r="J142" s="251">
        <v>120000</v>
      </c>
      <c r="K142" s="251"/>
      <c r="L142" s="251"/>
      <c r="M142" s="251"/>
      <c r="N142" s="251">
        <v>114900</v>
      </c>
      <c r="O142" s="262"/>
      <c r="Q142" s="4"/>
      <c r="R142" s="4"/>
    </row>
    <row r="143" spans="1:18" s="269" customFormat="1" ht="12.75" customHeight="1">
      <c r="A143" s="306"/>
      <c r="B143" s="307" t="s">
        <v>357</v>
      </c>
      <c r="C143" s="192">
        <f>SUM(D143:O143)</f>
        <v>867046</v>
      </c>
      <c r="D143" s="192">
        <v>43950</v>
      </c>
      <c r="E143" s="192">
        <v>39740</v>
      </c>
      <c r="F143" s="192">
        <v>91450</v>
      </c>
      <c r="G143" s="192">
        <v>148950</v>
      </c>
      <c r="H143" s="192">
        <v>93950</v>
      </c>
      <c r="I143" s="192">
        <v>78706</v>
      </c>
      <c r="J143" s="192">
        <v>63750</v>
      </c>
      <c r="K143" s="192">
        <v>52950</v>
      </c>
      <c r="L143" s="192">
        <v>49550</v>
      </c>
      <c r="M143" s="192">
        <v>59950</v>
      </c>
      <c r="N143" s="192">
        <v>69850</v>
      </c>
      <c r="O143" s="194">
        <v>74250</v>
      </c>
      <c r="Q143" s="4"/>
      <c r="R143" s="4"/>
    </row>
    <row r="144" spans="1:18" s="269" customFormat="1" ht="12.75" customHeight="1">
      <c r="A144" s="276"/>
      <c r="B144" s="277" t="s">
        <v>376</v>
      </c>
      <c r="C144" s="186">
        <f>SUM(D144:O144)</f>
        <v>0</v>
      </c>
      <c r="D144" s="186"/>
      <c r="E144" s="186"/>
      <c r="F144" s="186"/>
      <c r="G144" s="186"/>
      <c r="H144" s="186"/>
      <c r="I144" s="186"/>
      <c r="J144" s="186"/>
      <c r="K144" s="186"/>
      <c r="L144" s="186"/>
      <c r="M144" s="186"/>
      <c r="N144" s="186"/>
      <c r="O144" s="188"/>
      <c r="Q144" s="4"/>
      <c r="R144" s="4"/>
    </row>
    <row r="145" spans="1:18" s="244" customFormat="1" ht="72" customHeight="1" thickBot="1">
      <c r="A145" s="308" t="s">
        <v>121</v>
      </c>
      <c r="B145" s="309" t="s">
        <v>122</v>
      </c>
      <c r="C145" s="310">
        <f>SUM(C146)</f>
        <v>17596</v>
      </c>
      <c r="D145" s="310">
        <f>D146</f>
        <v>700</v>
      </c>
      <c r="E145" s="310">
        <f>E146</f>
        <v>700</v>
      </c>
      <c r="F145" s="310">
        <f aca="true" t="shared" si="46" ref="F145:O146">F146</f>
        <v>2790</v>
      </c>
      <c r="G145" s="310">
        <f t="shared" si="46"/>
        <v>800</v>
      </c>
      <c r="H145" s="310">
        <f t="shared" si="46"/>
        <v>800</v>
      </c>
      <c r="I145" s="310">
        <f t="shared" si="46"/>
        <v>2890</v>
      </c>
      <c r="J145" s="310">
        <f t="shared" si="46"/>
        <v>700</v>
      </c>
      <c r="K145" s="310">
        <f t="shared" si="46"/>
        <v>700</v>
      </c>
      <c r="L145" s="310">
        <f t="shared" si="46"/>
        <v>2900</v>
      </c>
      <c r="M145" s="310">
        <f t="shared" si="46"/>
        <v>800</v>
      </c>
      <c r="N145" s="310">
        <f t="shared" si="46"/>
        <v>800</v>
      </c>
      <c r="O145" s="311">
        <f t="shared" si="46"/>
        <v>3016</v>
      </c>
      <c r="Q145" s="4"/>
      <c r="R145" s="4"/>
    </row>
    <row r="146" spans="1:18" s="258" customFormat="1" ht="48.75" customHeight="1" thickTop="1">
      <c r="A146" s="69" t="s">
        <v>123</v>
      </c>
      <c r="B146" s="255" t="s">
        <v>393</v>
      </c>
      <c r="C146" s="267">
        <f>SUM(C147)</f>
        <v>17596</v>
      </c>
      <c r="D146" s="267">
        <f>D147</f>
        <v>700</v>
      </c>
      <c r="E146" s="267">
        <f>E147</f>
        <v>700</v>
      </c>
      <c r="F146" s="267">
        <f t="shared" si="46"/>
        <v>2790</v>
      </c>
      <c r="G146" s="267">
        <f t="shared" si="46"/>
        <v>800</v>
      </c>
      <c r="H146" s="267">
        <f t="shared" si="46"/>
        <v>800</v>
      </c>
      <c r="I146" s="267">
        <f t="shared" si="46"/>
        <v>2890</v>
      </c>
      <c r="J146" s="267">
        <f t="shared" si="46"/>
        <v>700</v>
      </c>
      <c r="K146" s="267">
        <f t="shared" si="46"/>
        <v>700</v>
      </c>
      <c r="L146" s="267">
        <f t="shared" si="46"/>
        <v>2900</v>
      </c>
      <c r="M146" s="267">
        <f t="shared" si="46"/>
        <v>800</v>
      </c>
      <c r="N146" s="267">
        <f t="shared" si="46"/>
        <v>800</v>
      </c>
      <c r="O146" s="268">
        <f t="shared" si="46"/>
        <v>3016</v>
      </c>
      <c r="Q146" s="4"/>
      <c r="R146" s="4"/>
    </row>
    <row r="147" spans="1:18" s="260" customFormat="1" ht="12.75" customHeight="1">
      <c r="A147" s="274"/>
      <c r="B147" s="293" t="s">
        <v>356</v>
      </c>
      <c r="C147" s="103">
        <f>SUM(D147:O147)</f>
        <v>17596</v>
      </c>
      <c r="D147" s="172">
        <f>SUM(D150)</f>
        <v>700</v>
      </c>
      <c r="E147" s="172">
        <f>SUM(E150)</f>
        <v>700</v>
      </c>
      <c r="F147" s="172">
        <f aca="true" t="shared" si="47" ref="F147:O147">SUM(F150)</f>
        <v>2790</v>
      </c>
      <c r="G147" s="172">
        <f t="shared" si="47"/>
        <v>800</v>
      </c>
      <c r="H147" s="172">
        <f t="shared" si="47"/>
        <v>800</v>
      </c>
      <c r="I147" s="172">
        <f t="shared" si="47"/>
        <v>2890</v>
      </c>
      <c r="J147" s="172">
        <f t="shared" si="47"/>
        <v>700</v>
      </c>
      <c r="K147" s="172">
        <f t="shared" si="47"/>
        <v>700</v>
      </c>
      <c r="L147" s="172">
        <f t="shared" si="47"/>
        <v>2900</v>
      </c>
      <c r="M147" s="172">
        <f t="shared" si="47"/>
        <v>800</v>
      </c>
      <c r="N147" s="172">
        <f t="shared" si="47"/>
        <v>800</v>
      </c>
      <c r="O147" s="174">
        <f t="shared" si="47"/>
        <v>3016</v>
      </c>
      <c r="Q147" s="4"/>
      <c r="R147" s="4"/>
    </row>
    <row r="148" spans="1:18" s="260" customFormat="1" ht="12.75" hidden="1">
      <c r="A148" s="245"/>
      <c r="B148" s="250" t="s">
        <v>384</v>
      </c>
      <c r="C148" s="251">
        <f>SUM(D148:O148)</f>
        <v>0</v>
      </c>
      <c r="D148" s="251"/>
      <c r="E148" s="251">
        <f>G148+I148</f>
        <v>0</v>
      </c>
      <c r="F148" s="247"/>
      <c r="G148" s="247"/>
      <c r="H148" s="247"/>
      <c r="I148" s="247"/>
      <c r="J148" s="251"/>
      <c r="K148" s="251">
        <f>M148+O148</f>
        <v>0</v>
      </c>
      <c r="L148" s="247"/>
      <c r="M148" s="247"/>
      <c r="N148" s="247"/>
      <c r="O148" s="248"/>
      <c r="Q148" s="4"/>
      <c r="R148" s="4"/>
    </row>
    <row r="149" spans="1:18" s="260" customFormat="1" ht="12.75" hidden="1">
      <c r="A149" s="245"/>
      <c r="B149" s="250" t="s">
        <v>385</v>
      </c>
      <c r="C149" s="251">
        <f>SUM(D149:O149)</f>
        <v>0</v>
      </c>
      <c r="D149" s="103"/>
      <c r="E149" s="103"/>
      <c r="F149" s="247"/>
      <c r="G149" s="247"/>
      <c r="H149" s="247"/>
      <c r="I149" s="247"/>
      <c r="J149" s="103"/>
      <c r="K149" s="103"/>
      <c r="L149" s="247"/>
      <c r="M149" s="247"/>
      <c r="N149" s="247"/>
      <c r="O149" s="248"/>
      <c r="Q149" s="4"/>
      <c r="R149" s="4"/>
    </row>
    <row r="150" spans="1:18" s="269" customFormat="1" ht="12.75" customHeight="1" thickBot="1">
      <c r="A150" s="249"/>
      <c r="B150" s="261" t="s">
        <v>357</v>
      </c>
      <c r="C150" s="251">
        <f>SUM(D150:O150)</f>
        <v>17596</v>
      </c>
      <c r="D150" s="251">
        <v>700</v>
      </c>
      <c r="E150" s="251">
        <v>700</v>
      </c>
      <c r="F150" s="251">
        <v>2790</v>
      </c>
      <c r="G150" s="251">
        <v>800</v>
      </c>
      <c r="H150" s="251">
        <v>800</v>
      </c>
      <c r="I150" s="251">
        <v>2890</v>
      </c>
      <c r="J150" s="251">
        <v>700</v>
      </c>
      <c r="K150" s="251">
        <v>700</v>
      </c>
      <c r="L150" s="251">
        <v>2900</v>
      </c>
      <c r="M150" s="251">
        <v>800</v>
      </c>
      <c r="N150" s="251">
        <v>800</v>
      </c>
      <c r="O150" s="262">
        <v>3016</v>
      </c>
      <c r="Q150" s="4"/>
      <c r="R150" s="4"/>
    </row>
    <row r="151" spans="1:18" s="314" customFormat="1" ht="17.25" customHeight="1" thickBot="1" thickTop="1">
      <c r="A151" s="312">
        <v>752</v>
      </c>
      <c r="B151" s="313" t="s">
        <v>132</v>
      </c>
      <c r="C151" s="147">
        <f>C152</f>
        <v>1000</v>
      </c>
      <c r="D151" s="147"/>
      <c r="E151" s="147"/>
      <c r="F151" s="147">
        <f>F152</f>
        <v>500</v>
      </c>
      <c r="G151" s="147">
        <f>G152</f>
        <v>500</v>
      </c>
      <c r="H151" s="147"/>
      <c r="I151" s="147"/>
      <c r="J151" s="147"/>
      <c r="K151" s="147"/>
      <c r="L151" s="147"/>
      <c r="M151" s="147"/>
      <c r="N151" s="147"/>
      <c r="O151" s="149"/>
      <c r="Q151" s="258"/>
      <c r="R151" s="258"/>
    </row>
    <row r="152" spans="1:18" s="260" customFormat="1" ht="12.75" customHeight="1" thickTop="1">
      <c r="A152" s="245"/>
      <c r="B152" s="259" t="s">
        <v>394</v>
      </c>
      <c r="C152" s="103">
        <f>C153</f>
        <v>1000</v>
      </c>
      <c r="D152" s="103"/>
      <c r="E152" s="103"/>
      <c r="F152" s="103">
        <f>F153</f>
        <v>500</v>
      </c>
      <c r="G152" s="103">
        <f>G153</f>
        <v>500</v>
      </c>
      <c r="H152" s="103"/>
      <c r="I152" s="103"/>
      <c r="J152" s="103"/>
      <c r="K152" s="103"/>
      <c r="L152" s="103"/>
      <c r="M152" s="103"/>
      <c r="N152" s="103"/>
      <c r="O152" s="105"/>
      <c r="Q152" s="4"/>
      <c r="R152" s="4"/>
    </row>
    <row r="153" spans="1:18" s="269" customFormat="1" ht="12.75" customHeight="1" thickBot="1">
      <c r="A153" s="249"/>
      <c r="B153" s="261" t="s">
        <v>357</v>
      </c>
      <c r="C153" s="251">
        <f>SUM(D153:O153)</f>
        <v>1000</v>
      </c>
      <c r="D153" s="251"/>
      <c r="E153" s="251"/>
      <c r="F153" s="251">
        <v>500</v>
      </c>
      <c r="G153" s="251">
        <v>500</v>
      </c>
      <c r="H153" s="251"/>
      <c r="I153" s="251"/>
      <c r="J153" s="251"/>
      <c r="K153" s="251"/>
      <c r="L153" s="251"/>
      <c r="M153" s="251"/>
      <c r="N153" s="251"/>
      <c r="O153" s="262"/>
      <c r="Q153" s="4"/>
      <c r="R153" s="4"/>
    </row>
    <row r="154" spans="1:18" s="244" customFormat="1" ht="49.5" customHeight="1" thickBot="1" thickTop="1">
      <c r="A154" s="270">
        <v>754</v>
      </c>
      <c r="B154" s="243" t="s">
        <v>395</v>
      </c>
      <c r="C154" s="147">
        <f aca="true" t="shared" si="48" ref="C154:O154">C155+C163+C171+C174</f>
        <v>5047970</v>
      </c>
      <c r="D154" s="147">
        <f t="shared" si="48"/>
        <v>358814</v>
      </c>
      <c r="E154" s="147">
        <f t="shared" si="48"/>
        <v>371314</v>
      </c>
      <c r="F154" s="147">
        <f t="shared" si="48"/>
        <v>659714</v>
      </c>
      <c r="G154" s="147">
        <f t="shared" si="48"/>
        <v>388814</v>
      </c>
      <c r="H154" s="147">
        <f t="shared" si="48"/>
        <v>541314</v>
      </c>
      <c r="I154" s="147">
        <f t="shared" si="48"/>
        <v>388814</v>
      </c>
      <c r="J154" s="147">
        <f t="shared" si="48"/>
        <v>391314</v>
      </c>
      <c r="K154" s="147">
        <f t="shared" si="48"/>
        <v>388814</v>
      </c>
      <c r="L154" s="147">
        <f t="shared" si="48"/>
        <v>388814</v>
      </c>
      <c r="M154" s="147">
        <f t="shared" si="48"/>
        <v>391314</v>
      </c>
      <c r="N154" s="147">
        <f t="shared" si="48"/>
        <v>389814</v>
      </c>
      <c r="O154" s="149">
        <f t="shared" si="48"/>
        <v>389116</v>
      </c>
      <c r="Q154" s="4"/>
      <c r="R154" s="4"/>
    </row>
    <row r="155" spans="1:18" s="258" customFormat="1" ht="26.25" customHeight="1" hidden="1">
      <c r="A155" s="315">
        <v>75405</v>
      </c>
      <c r="B155" s="316" t="s">
        <v>396</v>
      </c>
      <c r="C155" s="317">
        <f>C156+C161</f>
        <v>0</v>
      </c>
      <c r="D155" s="317">
        <f>D156+D161</f>
        <v>0</v>
      </c>
      <c r="E155" s="317">
        <f>SUM(E156)</f>
        <v>0</v>
      </c>
      <c r="F155" s="317"/>
      <c r="G155" s="317"/>
      <c r="H155" s="317">
        <f>H156+H161</f>
        <v>0</v>
      </c>
      <c r="I155" s="317">
        <f>SUM(I156)</f>
        <v>0</v>
      </c>
      <c r="J155" s="317">
        <f>J156+J161</f>
        <v>0</v>
      </c>
      <c r="K155" s="317">
        <f>SUM(K156)</f>
        <v>0</v>
      </c>
      <c r="L155" s="317"/>
      <c r="M155" s="317"/>
      <c r="N155" s="317">
        <f>N156+N161</f>
        <v>0</v>
      </c>
      <c r="O155" s="318">
        <f>SUM(O156)</f>
        <v>0</v>
      </c>
      <c r="Q155" s="4"/>
      <c r="R155" s="4"/>
    </row>
    <row r="156" spans="1:18" s="258" customFormat="1" ht="12.75" hidden="1" thickTop="1">
      <c r="A156" s="245"/>
      <c r="B156" s="246" t="s">
        <v>356</v>
      </c>
      <c r="C156" s="103">
        <f>SUM(C157:C159)</f>
        <v>0</v>
      </c>
      <c r="D156" s="103">
        <f>F156+H156</f>
        <v>0</v>
      </c>
      <c r="E156" s="103">
        <f>SUM(E157:E159)</f>
        <v>0</v>
      </c>
      <c r="F156" s="138"/>
      <c r="G156" s="138"/>
      <c r="H156" s="103">
        <f>SUM(H157:H159)</f>
        <v>0</v>
      </c>
      <c r="I156" s="103">
        <f>SUM(I157:I159)</f>
        <v>0</v>
      </c>
      <c r="J156" s="103">
        <f>L156+N156</f>
        <v>0</v>
      </c>
      <c r="K156" s="103">
        <f>SUM(K157:K159)</f>
        <v>0</v>
      </c>
      <c r="L156" s="138"/>
      <c r="M156" s="138"/>
      <c r="N156" s="103">
        <f>SUM(N157:N159)</f>
        <v>0</v>
      </c>
      <c r="O156" s="105">
        <f>SUM(O157:O159)</f>
        <v>0</v>
      </c>
      <c r="Q156" s="4"/>
      <c r="R156" s="4"/>
    </row>
    <row r="157" spans="1:18" s="254" customFormat="1" ht="12.75" hidden="1" thickTop="1">
      <c r="A157" s="249"/>
      <c r="B157" s="250" t="s">
        <v>384</v>
      </c>
      <c r="C157" s="251">
        <f>SUM(D157:E157)</f>
        <v>0</v>
      </c>
      <c r="D157" s="251"/>
      <c r="E157" s="251">
        <f>G157+I157</f>
        <v>0</v>
      </c>
      <c r="F157" s="251"/>
      <c r="G157" s="251"/>
      <c r="H157" s="251"/>
      <c r="I157" s="251"/>
      <c r="J157" s="251"/>
      <c r="K157" s="251">
        <f>M157+O157</f>
        <v>0</v>
      </c>
      <c r="L157" s="251"/>
      <c r="M157" s="251"/>
      <c r="N157" s="251"/>
      <c r="O157" s="262"/>
      <c r="Q157" s="4"/>
      <c r="R157" s="4"/>
    </row>
    <row r="158" spans="1:18" s="254" customFormat="1" ht="12.75" hidden="1" thickTop="1">
      <c r="A158" s="249"/>
      <c r="B158" s="250" t="s">
        <v>385</v>
      </c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62"/>
      <c r="Q158" s="4"/>
      <c r="R158" s="4"/>
    </row>
    <row r="159" spans="1:18" s="254" customFormat="1" ht="12.75" hidden="1" thickTop="1">
      <c r="A159" s="249"/>
      <c r="B159" s="250" t="s">
        <v>357</v>
      </c>
      <c r="C159" s="251">
        <f>SUM(D159:E159)</f>
        <v>0</v>
      </c>
      <c r="D159" s="251">
        <f>F159+H159</f>
        <v>0</v>
      </c>
      <c r="E159" s="251">
        <f>G159+I159</f>
        <v>0</v>
      </c>
      <c r="F159" s="251"/>
      <c r="G159" s="251"/>
      <c r="H159" s="251"/>
      <c r="I159" s="251"/>
      <c r="J159" s="251">
        <f>L159+N159</f>
        <v>0</v>
      </c>
      <c r="K159" s="251">
        <f>M159+O159</f>
        <v>0</v>
      </c>
      <c r="L159" s="251"/>
      <c r="M159" s="251"/>
      <c r="N159" s="251"/>
      <c r="O159" s="262"/>
      <c r="Q159" s="4"/>
      <c r="R159" s="4"/>
    </row>
    <row r="160" spans="1:18" s="254" customFormat="1" ht="10.5" customHeight="1" hidden="1">
      <c r="A160" s="276"/>
      <c r="B160" s="277" t="s">
        <v>376</v>
      </c>
      <c r="C160" s="186">
        <f>SUM(D160:E160)</f>
        <v>0</v>
      </c>
      <c r="D160" s="186">
        <f>F160+H160</f>
        <v>0</v>
      </c>
      <c r="E160" s="186"/>
      <c r="F160" s="186"/>
      <c r="G160" s="186"/>
      <c r="H160" s="186"/>
      <c r="I160" s="186"/>
      <c r="J160" s="186">
        <f>L160+N160</f>
        <v>0</v>
      </c>
      <c r="K160" s="186"/>
      <c r="L160" s="186"/>
      <c r="M160" s="186"/>
      <c r="N160" s="186"/>
      <c r="O160" s="188"/>
      <c r="Q160" s="4"/>
      <c r="R160" s="4"/>
    </row>
    <row r="161" spans="1:15" ht="12.75" hidden="1" thickTop="1">
      <c r="A161" s="245"/>
      <c r="B161" s="246" t="s">
        <v>352</v>
      </c>
      <c r="C161" s="103">
        <f>SUM(C162)</f>
        <v>0</v>
      </c>
      <c r="D161" s="103">
        <f>F161+H161</f>
        <v>0</v>
      </c>
      <c r="E161" s="103"/>
      <c r="F161" s="103"/>
      <c r="G161" s="103"/>
      <c r="H161" s="103">
        <f>SUM(H162)</f>
        <v>0</v>
      </c>
      <c r="I161" s="103"/>
      <c r="J161" s="103">
        <f>L161+N161</f>
        <v>0</v>
      </c>
      <c r="K161" s="103"/>
      <c r="L161" s="103"/>
      <c r="M161" s="103"/>
      <c r="N161" s="103">
        <f>SUM(N162)</f>
        <v>0</v>
      </c>
      <c r="O161" s="105"/>
    </row>
    <row r="162" spans="1:15" ht="12.75" hidden="1" thickTop="1">
      <c r="A162" s="245"/>
      <c r="B162" s="250" t="s">
        <v>353</v>
      </c>
      <c r="C162" s="186">
        <f>SUM(D162:E162)</f>
        <v>0</v>
      </c>
      <c r="D162" s="251">
        <f>F162+H162</f>
        <v>0</v>
      </c>
      <c r="E162" s="251"/>
      <c r="F162" s="251"/>
      <c r="G162" s="103"/>
      <c r="H162" s="251"/>
      <c r="I162" s="251"/>
      <c r="J162" s="251">
        <f>L162+N162</f>
        <v>0</v>
      </c>
      <c r="K162" s="251"/>
      <c r="L162" s="251"/>
      <c r="M162" s="103"/>
      <c r="N162" s="251"/>
      <c r="O162" s="262"/>
    </row>
    <row r="163" spans="1:18" s="258" customFormat="1" ht="33" customHeight="1" thickTop="1">
      <c r="A163" s="271">
        <v>75411</v>
      </c>
      <c r="B163" s="279" t="s">
        <v>397</v>
      </c>
      <c r="C163" s="267">
        <f aca="true" t="shared" si="49" ref="C163:O163">C164+C169</f>
        <v>5006000</v>
      </c>
      <c r="D163" s="267">
        <f t="shared" si="49"/>
        <v>356150</v>
      </c>
      <c r="E163" s="267">
        <f t="shared" si="49"/>
        <v>366150</v>
      </c>
      <c r="F163" s="267">
        <f t="shared" si="49"/>
        <v>657050</v>
      </c>
      <c r="G163" s="267">
        <f t="shared" si="49"/>
        <v>386150</v>
      </c>
      <c r="H163" s="267">
        <f t="shared" si="49"/>
        <v>536150</v>
      </c>
      <c r="I163" s="267">
        <f t="shared" si="49"/>
        <v>386150</v>
      </c>
      <c r="J163" s="267">
        <f t="shared" si="49"/>
        <v>386150</v>
      </c>
      <c r="K163" s="267">
        <f t="shared" si="49"/>
        <v>386150</v>
      </c>
      <c r="L163" s="267">
        <f t="shared" si="49"/>
        <v>386150</v>
      </c>
      <c r="M163" s="267">
        <f t="shared" si="49"/>
        <v>386150</v>
      </c>
      <c r="N163" s="267">
        <f t="shared" si="49"/>
        <v>387150</v>
      </c>
      <c r="O163" s="268">
        <f t="shared" si="49"/>
        <v>386450</v>
      </c>
      <c r="Q163" s="4"/>
      <c r="R163" s="4"/>
    </row>
    <row r="164" spans="1:18" s="258" customFormat="1" ht="12.75" customHeight="1">
      <c r="A164" s="245"/>
      <c r="B164" s="246" t="s">
        <v>356</v>
      </c>
      <c r="C164" s="103">
        <f>SUM(D164:O164)</f>
        <v>4906000</v>
      </c>
      <c r="D164" s="103">
        <f>SUM(D165:D167)</f>
        <v>356150</v>
      </c>
      <c r="E164" s="103">
        <f>SUM(E165:E167)</f>
        <v>366150</v>
      </c>
      <c r="F164" s="103">
        <f aca="true" t="shared" si="50" ref="F164:O164">SUM(F165:F167)</f>
        <v>657050</v>
      </c>
      <c r="G164" s="103">
        <f t="shared" si="50"/>
        <v>386150</v>
      </c>
      <c r="H164" s="103">
        <f t="shared" si="50"/>
        <v>436150</v>
      </c>
      <c r="I164" s="103">
        <f t="shared" si="50"/>
        <v>386150</v>
      </c>
      <c r="J164" s="103">
        <f t="shared" si="50"/>
        <v>386150</v>
      </c>
      <c r="K164" s="103">
        <f t="shared" si="50"/>
        <v>386150</v>
      </c>
      <c r="L164" s="103">
        <f t="shared" si="50"/>
        <v>386150</v>
      </c>
      <c r="M164" s="103">
        <f t="shared" si="50"/>
        <v>386150</v>
      </c>
      <c r="N164" s="103">
        <f t="shared" si="50"/>
        <v>387150</v>
      </c>
      <c r="O164" s="105">
        <f t="shared" si="50"/>
        <v>386450</v>
      </c>
      <c r="Q164" s="4"/>
      <c r="R164" s="4"/>
    </row>
    <row r="165" spans="1:18" s="254" customFormat="1" ht="12.75" customHeight="1">
      <c r="A165" s="249"/>
      <c r="B165" s="250" t="s">
        <v>384</v>
      </c>
      <c r="C165" s="251">
        <f>SUM(D165:O165)</f>
        <v>3535000</v>
      </c>
      <c r="D165" s="251">
        <v>271900</v>
      </c>
      <c r="E165" s="251">
        <v>271900</v>
      </c>
      <c r="F165" s="251">
        <v>542800</v>
      </c>
      <c r="G165" s="251">
        <v>271900</v>
      </c>
      <c r="H165" s="251">
        <v>271900</v>
      </c>
      <c r="I165" s="251">
        <v>271900</v>
      </c>
      <c r="J165" s="251">
        <v>271900</v>
      </c>
      <c r="K165" s="251">
        <v>271900</v>
      </c>
      <c r="L165" s="251">
        <v>271900</v>
      </c>
      <c r="M165" s="251">
        <v>271900</v>
      </c>
      <c r="N165" s="251">
        <v>272900</v>
      </c>
      <c r="O165" s="262">
        <v>272200</v>
      </c>
      <c r="Q165" s="4"/>
      <c r="R165" s="4"/>
    </row>
    <row r="166" spans="1:18" s="254" customFormat="1" ht="12.75" customHeight="1">
      <c r="A166" s="249"/>
      <c r="B166" s="250" t="s">
        <v>385</v>
      </c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62"/>
      <c r="Q166" s="4"/>
      <c r="R166" s="4"/>
    </row>
    <row r="167" spans="1:18" s="254" customFormat="1" ht="12.75" customHeight="1">
      <c r="A167" s="249"/>
      <c r="B167" s="250" t="s">
        <v>357</v>
      </c>
      <c r="C167" s="251">
        <f>SUM(D167:O167)</f>
        <v>1371000</v>
      </c>
      <c r="D167" s="251">
        <v>84250</v>
      </c>
      <c r="E167" s="251">
        <v>94250</v>
      </c>
      <c r="F167" s="251">
        <v>114250</v>
      </c>
      <c r="G167" s="251">
        <v>114250</v>
      </c>
      <c r="H167" s="251">
        <v>164250</v>
      </c>
      <c r="I167" s="251">
        <v>114250</v>
      </c>
      <c r="J167" s="251">
        <v>114250</v>
      </c>
      <c r="K167" s="251">
        <v>114250</v>
      </c>
      <c r="L167" s="251">
        <v>114250</v>
      </c>
      <c r="M167" s="251">
        <v>114250</v>
      </c>
      <c r="N167" s="251">
        <v>114250</v>
      </c>
      <c r="O167" s="262">
        <v>114250</v>
      </c>
      <c r="Q167" s="4"/>
      <c r="R167" s="4"/>
    </row>
    <row r="168" spans="1:18" s="254" customFormat="1" ht="12.75" customHeight="1">
      <c r="A168" s="249"/>
      <c r="B168" s="250" t="s">
        <v>376</v>
      </c>
      <c r="C168" s="251">
        <f>SUM(D168:O168)</f>
        <v>47000</v>
      </c>
      <c r="D168" s="251"/>
      <c r="E168" s="251"/>
      <c r="F168" s="251"/>
      <c r="G168" s="251"/>
      <c r="H168" s="251">
        <v>47000</v>
      </c>
      <c r="I168" s="251"/>
      <c r="J168" s="251"/>
      <c r="K168" s="251"/>
      <c r="L168" s="251"/>
      <c r="M168" s="251"/>
      <c r="N168" s="251"/>
      <c r="O168" s="262"/>
      <c r="Q168" s="4"/>
      <c r="R168" s="4"/>
    </row>
    <row r="169" spans="1:15" ht="12.75" customHeight="1">
      <c r="A169" s="245"/>
      <c r="B169" s="246" t="s">
        <v>352</v>
      </c>
      <c r="C169" s="103">
        <f>SUM(D169:O169)</f>
        <v>100000</v>
      </c>
      <c r="D169" s="103"/>
      <c r="E169" s="103"/>
      <c r="F169" s="103"/>
      <c r="G169" s="103"/>
      <c r="H169" s="103">
        <f>SUM(H170)</f>
        <v>100000</v>
      </c>
      <c r="I169" s="103"/>
      <c r="J169" s="103"/>
      <c r="K169" s="103"/>
      <c r="L169" s="103"/>
      <c r="M169" s="103"/>
      <c r="N169" s="103"/>
      <c r="O169" s="105"/>
    </row>
    <row r="170" spans="1:15" ht="12.75" customHeight="1">
      <c r="A170" s="245"/>
      <c r="B170" s="250" t="s">
        <v>368</v>
      </c>
      <c r="C170" s="251">
        <f>SUM(D170:O170)</f>
        <v>100000</v>
      </c>
      <c r="D170" s="251"/>
      <c r="E170" s="251"/>
      <c r="F170" s="251"/>
      <c r="G170" s="103"/>
      <c r="H170" s="251">
        <v>100000</v>
      </c>
      <c r="I170" s="251"/>
      <c r="J170" s="251"/>
      <c r="K170" s="251"/>
      <c r="L170" s="251"/>
      <c r="M170" s="103"/>
      <c r="N170" s="251"/>
      <c r="O170" s="262"/>
    </row>
    <row r="171" spans="1:15" ht="24" customHeight="1">
      <c r="A171" s="271">
        <v>75412</v>
      </c>
      <c r="B171" s="279" t="s">
        <v>398</v>
      </c>
      <c r="C171" s="267">
        <f>SUM(C172)</f>
        <v>10000</v>
      </c>
      <c r="D171" s="267"/>
      <c r="E171" s="267">
        <f>SUM(E172)</f>
        <v>2500</v>
      </c>
      <c r="F171" s="267"/>
      <c r="G171" s="267"/>
      <c r="H171" s="267">
        <f>SUM(H172)</f>
        <v>2500</v>
      </c>
      <c r="I171" s="267"/>
      <c r="J171" s="267">
        <f>SUM(J172)</f>
        <v>2500</v>
      </c>
      <c r="K171" s="267"/>
      <c r="L171" s="267"/>
      <c r="M171" s="267">
        <f>SUM(M172)</f>
        <v>2500</v>
      </c>
      <c r="N171" s="267"/>
      <c r="O171" s="268"/>
    </row>
    <row r="172" spans="1:15" ht="12.75">
      <c r="A172" s="245"/>
      <c r="B172" s="259" t="s">
        <v>356</v>
      </c>
      <c r="C172" s="103">
        <f>SUM(D172:O172)</f>
        <v>10000</v>
      </c>
      <c r="D172" s="103"/>
      <c r="E172" s="247">
        <f>SUM(E173)</f>
        <v>2500</v>
      </c>
      <c r="F172" s="247"/>
      <c r="G172" s="247"/>
      <c r="H172" s="247">
        <f>SUM(H173)</f>
        <v>2500</v>
      </c>
      <c r="I172" s="247"/>
      <c r="J172" s="247">
        <f>SUM(J173)</f>
        <v>2500</v>
      </c>
      <c r="K172" s="247"/>
      <c r="L172" s="247"/>
      <c r="M172" s="247">
        <f>SUM(M173)</f>
        <v>2500</v>
      </c>
      <c r="N172" s="247"/>
      <c r="O172" s="248"/>
    </row>
    <row r="173" spans="1:15" ht="11.25" customHeight="1">
      <c r="A173" s="245"/>
      <c r="B173" s="261" t="s">
        <v>373</v>
      </c>
      <c r="C173" s="251">
        <f>SUM(D173:O173)</f>
        <v>10000</v>
      </c>
      <c r="D173" s="251"/>
      <c r="E173" s="251">
        <v>2500</v>
      </c>
      <c r="F173" s="251"/>
      <c r="G173" s="252"/>
      <c r="H173" s="251">
        <v>2500</v>
      </c>
      <c r="I173" s="252"/>
      <c r="J173" s="251">
        <v>2500</v>
      </c>
      <c r="K173" s="251"/>
      <c r="L173" s="251"/>
      <c r="M173" s="251">
        <v>2500</v>
      </c>
      <c r="N173" s="252"/>
      <c r="O173" s="253"/>
    </row>
    <row r="174" spans="1:15" ht="12.75" customHeight="1">
      <c r="A174" s="271">
        <v>75414</v>
      </c>
      <c r="B174" s="279" t="s">
        <v>140</v>
      </c>
      <c r="C174" s="267">
        <f>SUM(C175+C180)</f>
        <v>31970</v>
      </c>
      <c r="D174" s="267">
        <f>SUM(D175+D180)</f>
        <v>2664</v>
      </c>
      <c r="E174" s="267">
        <f>SUM(E175+E180)</f>
        <v>2664</v>
      </c>
      <c r="F174" s="267">
        <f aca="true" t="shared" si="51" ref="F174:O174">SUM(F175+F180)</f>
        <v>2664</v>
      </c>
      <c r="G174" s="267">
        <f t="shared" si="51"/>
        <v>2664</v>
      </c>
      <c r="H174" s="267">
        <f t="shared" si="51"/>
        <v>2664</v>
      </c>
      <c r="I174" s="267">
        <f t="shared" si="51"/>
        <v>2664</v>
      </c>
      <c r="J174" s="267">
        <f t="shared" si="51"/>
        <v>2664</v>
      </c>
      <c r="K174" s="267">
        <f t="shared" si="51"/>
        <v>2664</v>
      </c>
      <c r="L174" s="267">
        <f t="shared" si="51"/>
        <v>2664</v>
      </c>
      <c r="M174" s="267">
        <f t="shared" si="51"/>
        <v>2664</v>
      </c>
      <c r="N174" s="267">
        <f t="shared" si="51"/>
        <v>2664</v>
      </c>
      <c r="O174" s="268">
        <f t="shared" si="51"/>
        <v>2666</v>
      </c>
    </row>
    <row r="175" spans="1:15" ht="12" customHeight="1">
      <c r="A175" s="274"/>
      <c r="B175" s="293" t="s">
        <v>399</v>
      </c>
      <c r="C175" s="172">
        <f>SUM(D175:O175)</f>
        <v>31970</v>
      </c>
      <c r="D175" s="172">
        <f>SUM(D178)</f>
        <v>2664</v>
      </c>
      <c r="E175" s="172">
        <f aca="true" t="shared" si="52" ref="E175:O175">SUM(E178)</f>
        <v>2664</v>
      </c>
      <c r="F175" s="172">
        <f t="shared" si="52"/>
        <v>2664</v>
      </c>
      <c r="G175" s="172">
        <f t="shared" si="52"/>
        <v>2664</v>
      </c>
      <c r="H175" s="172">
        <f t="shared" si="52"/>
        <v>2664</v>
      </c>
      <c r="I175" s="172">
        <f t="shared" si="52"/>
        <v>2664</v>
      </c>
      <c r="J175" s="172">
        <f t="shared" si="52"/>
        <v>2664</v>
      </c>
      <c r="K175" s="172">
        <f t="shared" si="52"/>
        <v>2664</v>
      </c>
      <c r="L175" s="172">
        <f t="shared" si="52"/>
        <v>2664</v>
      </c>
      <c r="M175" s="172">
        <f t="shared" si="52"/>
        <v>2664</v>
      </c>
      <c r="N175" s="172">
        <f t="shared" si="52"/>
        <v>2664</v>
      </c>
      <c r="O175" s="174">
        <f t="shared" si="52"/>
        <v>2666</v>
      </c>
    </row>
    <row r="176" spans="1:18" s="254" customFormat="1" ht="12" customHeight="1">
      <c r="A176" s="249" t="s">
        <v>400</v>
      </c>
      <c r="B176" s="250" t="s">
        <v>384</v>
      </c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62"/>
      <c r="Q176" s="4"/>
      <c r="R176" s="4"/>
    </row>
    <row r="177" spans="1:18" s="254" customFormat="1" ht="12" customHeight="1">
      <c r="A177" s="249"/>
      <c r="B177" s="250" t="s">
        <v>385</v>
      </c>
      <c r="C177" s="251"/>
      <c r="D177" s="251"/>
      <c r="E177" s="251"/>
      <c r="F177" s="252"/>
      <c r="G177" s="252"/>
      <c r="H177" s="252"/>
      <c r="I177" s="252"/>
      <c r="J177" s="251"/>
      <c r="K177" s="251"/>
      <c r="L177" s="252"/>
      <c r="M177" s="252"/>
      <c r="N177" s="252"/>
      <c r="O177" s="253"/>
      <c r="Q177" s="4"/>
      <c r="R177" s="4"/>
    </row>
    <row r="178" spans="1:18" s="254" customFormat="1" ht="12" customHeight="1">
      <c r="A178" s="249"/>
      <c r="B178" s="250" t="s">
        <v>357</v>
      </c>
      <c r="C178" s="251">
        <f>SUM(D178:O178)</f>
        <v>31970</v>
      </c>
      <c r="D178" s="251">
        <v>2664</v>
      </c>
      <c r="E178" s="251">
        <v>2664</v>
      </c>
      <c r="F178" s="251">
        <v>2664</v>
      </c>
      <c r="G178" s="251">
        <v>2664</v>
      </c>
      <c r="H178" s="251">
        <v>2664</v>
      </c>
      <c r="I178" s="251">
        <v>2664</v>
      </c>
      <c r="J178" s="251">
        <v>2664</v>
      </c>
      <c r="K178" s="251">
        <v>2664</v>
      </c>
      <c r="L178" s="251">
        <v>2664</v>
      </c>
      <c r="M178" s="251">
        <v>2664</v>
      </c>
      <c r="N178" s="251">
        <v>2664</v>
      </c>
      <c r="O178" s="262">
        <v>2666</v>
      </c>
      <c r="Q178" s="4"/>
      <c r="R178" s="4"/>
    </row>
    <row r="179" spans="1:18" s="254" customFormat="1" ht="12" customHeight="1">
      <c r="A179" s="249"/>
      <c r="B179" s="261" t="s">
        <v>367</v>
      </c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62"/>
      <c r="Q179" s="4"/>
      <c r="R179" s="4"/>
    </row>
    <row r="180" spans="1:15" ht="12" customHeight="1">
      <c r="A180" s="245"/>
      <c r="B180" s="246" t="s">
        <v>352</v>
      </c>
      <c r="C180" s="251">
        <f>SUM(D180:O180)</f>
        <v>0</v>
      </c>
      <c r="D180" s="103"/>
      <c r="E180" s="103"/>
      <c r="F180" s="103"/>
      <c r="G180" s="103"/>
      <c r="H180" s="103"/>
      <c r="I180" s="103"/>
      <c r="J180" s="103">
        <f>SUM(J182)</f>
        <v>0</v>
      </c>
      <c r="K180" s="103"/>
      <c r="L180" s="103"/>
      <c r="M180" s="103"/>
      <c r="N180" s="103"/>
      <c r="O180" s="105"/>
    </row>
    <row r="181" spans="1:18" s="254" customFormat="1" ht="12" customHeight="1">
      <c r="A181" s="249"/>
      <c r="B181" s="250" t="s">
        <v>368</v>
      </c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62"/>
      <c r="Q181" s="4"/>
      <c r="R181" s="4"/>
    </row>
    <row r="182" spans="1:15" ht="12" customHeight="1" thickBot="1">
      <c r="A182" s="245"/>
      <c r="B182" s="250" t="s">
        <v>353</v>
      </c>
      <c r="C182" s="251">
        <f>SUM(D182:O182)</f>
        <v>0</v>
      </c>
      <c r="D182" s="251"/>
      <c r="E182" s="251"/>
      <c r="F182" s="251"/>
      <c r="G182" s="103"/>
      <c r="H182" s="103"/>
      <c r="I182" s="319"/>
      <c r="J182" s="251"/>
      <c r="K182" s="251"/>
      <c r="L182" s="251"/>
      <c r="M182" s="103"/>
      <c r="N182" s="103"/>
      <c r="O182" s="320"/>
    </row>
    <row r="183" spans="1:18" s="244" customFormat="1" ht="96" customHeight="1" thickBot="1" thickTop="1">
      <c r="A183" s="321">
        <v>756</v>
      </c>
      <c r="B183" s="322" t="s">
        <v>401</v>
      </c>
      <c r="C183" s="323">
        <f aca="true" t="shared" si="53" ref="C183:O184">SUM(C184)</f>
        <v>399200</v>
      </c>
      <c r="D183" s="323">
        <f t="shared" si="53"/>
        <v>33260</v>
      </c>
      <c r="E183" s="323">
        <f t="shared" si="53"/>
        <v>33260</v>
      </c>
      <c r="F183" s="323">
        <f t="shared" si="53"/>
        <v>33260</v>
      </c>
      <c r="G183" s="323">
        <f t="shared" si="53"/>
        <v>33260</v>
      </c>
      <c r="H183" s="323">
        <f t="shared" si="53"/>
        <v>33260</v>
      </c>
      <c r="I183" s="323">
        <f t="shared" si="53"/>
        <v>33260</v>
      </c>
      <c r="J183" s="323">
        <f t="shared" si="53"/>
        <v>33260</v>
      </c>
      <c r="K183" s="323">
        <f t="shared" si="53"/>
        <v>33260</v>
      </c>
      <c r="L183" s="323">
        <f t="shared" si="53"/>
        <v>33260</v>
      </c>
      <c r="M183" s="323">
        <f t="shared" si="53"/>
        <v>33260</v>
      </c>
      <c r="N183" s="323">
        <f t="shared" si="53"/>
        <v>33260</v>
      </c>
      <c r="O183" s="324">
        <f t="shared" si="53"/>
        <v>33340</v>
      </c>
      <c r="Q183" s="4"/>
      <c r="R183" s="4"/>
    </row>
    <row r="184" spans="1:15" ht="48" customHeight="1" thickTop="1">
      <c r="A184" s="271">
        <v>75647</v>
      </c>
      <c r="B184" s="279" t="s">
        <v>402</v>
      </c>
      <c r="C184" s="267">
        <f t="shared" si="53"/>
        <v>399200</v>
      </c>
      <c r="D184" s="267">
        <f t="shared" si="53"/>
        <v>33260</v>
      </c>
      <c r="E184" s="152">
        <f t="shared" si="53"/>
        <v>33260</v>
      </c>
      <c r="F184" s="152">
        <f t="shared" si="53"/>
        <v>33260</v>
      </c>
      <c r="G184" s="152">
        <f t="shared" si="53"/>
        <v>33260</v>
      </c>
      <c r="H184" s="152">
        <f t="shared" si="53"/>
        <v>33260</v>
      </c>
      <c r="I184" s="152">
        <f t="shared" si="53"/>
        <v>33260</v>
      </c>
      <c r="J184" s="152">
        <f t="shared" si="53"/>
        <v>33260</v>
      </c>
      <c r="K184" s="152">
        <f t="shared" si="53"/>
        <v>33260</v>
      </c>
      <c r="L184" s="152">
        <f t="shared" si="53"/>
        <v>33260</v>
      </c>
      <c r="M184" s="152">
        <f t="shared" si="53"/>
        <v>33260</v>
      </c>
      <c r="N184" s="152">
        <f t="shared" si="53"/>
        <v>33260</v>
      </c>
      <c r="O184" s="154">
        <f t="shared" si="53"/>
        <v>33340</v>
      </c>
    </row>
    <row r="185" spans="1:18" s="258" customFormat="1" ht="12" customHeight="1">
      <c r="A185" s="245"/>
      <c r="B185" s="246" t="s">
        <v>356</v>
      </c>
      <c r="C185" s="172">
        <f>SUM(D185:O185)</f>
        <v>399200</v>
      </c>
      <c r="D185" s="172">
        <f>SUM(D186:D188)</f>
        <v>33260</v>
      </c>
      <c r="E185" s="172">
        <f aca="true" t="shared" si="54" ref="E185:O185">SUM(E186:E188)</f>
        <v>33260</v>
      </c>
      <c r="F185" s="172">
        <f t="shared" si="54"/>
        <v>33260</v>
      </c>
      <c r="G185" s="172">
        <f t="shared" si="54"/>
        <v>33260</v>
      </c>
      <c r="H185" s="172">
        <f t="shared" si="54"/>
        <v>33260</v>
      </c>
      <c r="I185" s="172">
        <f t="shared" si="54"/>
        <v>33260</v>
      </c>
      <c r="J185" s="172">
        <f t="shared" si="54"/>
        <v>33260</v>
      </c>
      <c r="K185" s="172">
        <f t="shared" si="54"/>
        <v>33260</v>
      </c>
      <c r="L185" s="172">
        <f t="shared" si="54"/>
        <v>33260</v>
      </c>
      <c r="M185" s="172">
        <f t="shared" si="54"/>
        <v>33260</v>
      </c>
      <c r="N185" s="172">
        <f t="shared" si="54"/>
        <v>33260</v>
      </c>
      <c r="O185" s="174">
        <f t="shared" si="54"/>
        <v>33340</v>
      </c>
      <c r="Q185" s="4"/>
      <c r="R185" s="4"/>
    </row>
    <row r="186" spans="1:18" s="254" customFormat="1" ht="12" customHeight="1">
      <c r="A186" s="249"/>
      <c r="B186" s="250" t="s">
        <v>384</v>
      </c>
      <c r="C186" s="251">
        <f>SUM(D186:O186)</f>
        <v>94800</v>
      </c>
      <c r="D186" s="251">
        <v>7900</v>
      </c>
      <c r="E186" s="251">
        <v>7900</v>
      </c>
      <c r="F186" s="251">
        <v>7900</v>
      </c>
      <c r="G186" s="251">
        <v>7900</v>
      </c>
      <c r="H186" s="251">
        <v>7900</v>
      </c>
      <c r="I186" s="251">
        <v>7900</v>
      </c>
      <c r="J186" s="251">
        <v>7900</v>
      </c>
      <c r="K186" s="251">
        <v>7900</v>
      </c>
      <c r="L186" s="251">
        <v>7900</v>
      </c>
      <c r="M186" s="251">
        <v>7900</v>
      </c>
      <c r="N186" s="251">
        <v>7900</v>
      </c>
      <c r="O186" s="262">
        <v>7900</v>
      </c>
      <c r="Q186" s="4"/>
      <c r="R186" s="4"/>
    </row>
    <row r="187" spans="1:18" s="254" customFormat="1" ht="12" customHeight="1">
      <c r="A187" s="249"/>
      <c r="B187" s="250" t="s">
        <v>385</v>
      </c>
      <c r="C187" s="251"/>
      <c r="D187" s="251"/>
      <c r="E187" s="251"/>
      <c r="F187" s="251"/>
      <c r="G187" s="251"/>
      <c r="H187" s="252"/>
      <c r="I187" s="251"/>
      <c r="J187" s="251"/>
      <c r="K187" s="251"/>
      <c r="L187" s="251"/>
      <c r="M187" s="251"/>
      <c r="N187" s="252"/>
      <c r="O187" s="262"/>
      <c r="Q187" s="4"/>
      <c r="R187" s="4"/>
    </row>
    <row r="188" spans="1:18" s="254" customFormat="1" ht="12" customHeight="1" thickBot="1">
      <c r="A188" s="249"/>
      <c r="B188" s="250" t="s">
        <v>357</v>
      </c>
      <c r="C188" s="251">
        <f>SUM(D188:O188)</f>
        <v>304400</v>
      </c>
      <c r="D188" s="251">
        <v>25360</v>
      </c>
      <c r="E188" s="251">
        <v>25360</v>
      </c>
      <c r="F188" s="251">
        <v>25360</v>
      </c>
      <c r="G188" s="251">
        <v>25360</v>
      </c>
      <c r="H188" s="251">
        <v>25360</v>
      </c>
      <c r="I188" s="251">
        <v>25360</v>
      </c>
      <c r="J188" s="251">
        <v>25360</v>
      </c>
      <c r="K188" s="251">
        <v>25360</v>
      </c>
      <c r="L188" s="251">
        <v>25360</v>
      </c>
      <c r="M188" s="251">
        <v>25360</v>
      </c>
      <c r="N188" s="251">
        <v>25360</v>
      </c>
      <c r="O188" s="262">
        <v>25440</v>
      </c>
      <c r="Q188" s="4"/>
      <c r="R188" s="4"/>
    </row>
    <row r="189" spans="1:18" s="258" customFormat="1" ht="25.5" customHeight="1" thickBot="1" thickTop="1">
      <c r="A189" s="312">
        <v>757</v>
      </c>
      <c r="B189" s="243" t="s">
        <v>403</v>
      </c>
      <c r="C189" s="147">
        <f aca="true" t="shared" si="55" ref="C189:O191">SUM(C190)</f>
        <v>4050000</v>
      </c>
      <c r="D189" s="147">
        <f t="shared" si="55"/>
        <v>337500</v>
      </c>
      <c r="E189" s="147">
        <f t="shared" si="55"/>
        <v>337500</v>
      </c>
      <c r="F189" s="147">
        <f t="shared" si="55"/>
        <v>337500</v>
      </c>
      <c r="G189" s="147">
        <f t="shared" si="55"/>
        <v>337500</v>
      </c>
      <c r="H189" s="147">
        <f t="shared" si="55"/>
        <v>337500</v>
      </c>
      <c r="I189" s="147">
        <f t="shared" si="55"/>
        <v>337500</v>
      </c>
      <c r="J189" s="147">
        <f t="shared" si="55"/>
        <v>337500</v>
      </c>
      <c r="K189" s="147">
        <f t="shared" si="55"/>
        <v>337500</v>
      </c>
      <c r="L189" s="147">
        <f t="shared" si="55"/>
        <v>337500</v>
      </c>
      <c r="M189" s="147">
        <f t="shared" si="55"/>
        <v>337500</v>
      </c>
      <c r="N189" s="147">
        <f t="shared" si="55"/>
        <v>337500</v>
      </c>
      <c r="O189" s="149">
        <f t="shared" si="55"/>
        <v>337500</v>
      </c>
      <c r="Q189" s="4"/>
      <c r="R189" s="4"/>
    </row>
    <row r="190" spans="1:15" ht="27" customHeight="1" thickTop="1">
      <c r="A190" s="271">
        <v>75705</v>
      </c>
      <c r="B190" s="279" t="s">
        <v>404</v>
      </c>
      <c r="C190" s="267">
        <f t="shared" si="55"/>
        <v>4050000</v>
      </c>
      <c r="D190" s="267">
        <f t="shared" si="55"/>
        <v>337500</v>
      </c>
      <c r="E190" s="152">
        <f t="shared" si="55"/>
        <v>337500</v>
      </c>
      <c r="F190" s="152">
        <f t="shared" si="55"/>
        <v>337500</v>
      </c>
      <c r="G190" s="152">
        <f t="shared" si="55"/>
        <v>337500</v>
      </c>
      <c r="H190" s="152">
        <f t="shared" si="55"/>
        <v>337500</v>
      </c>
      <c r="I190" s="152">
        <f t="shared" si="55"/>
        <v>337500</v>
      </c>
      <c r="J190" s="152">
        <f t="shared" si="55"/>
        <v>337500</v>
      </c>
      <c r="K190" s="152">
        <f t="shared" si="55"/>
        <v>337500</v>
      </c>
      <c r="L190" s="152">
        <f t="shared" si="55"/>
        <v>337500</v>
      </c>
      <c r="M190" s="152">
        <f t="shared" si="55"/>
        <v>337500</v>
      </c>
      <c r="N190" s="152">
        <f t="shared" si="55"/>
        <v>337500</v>
      </c>
      <c r="O190" s="154">
        <f t="shared" si="55"/>
        <v>337500</v>
      </c>
    </row>
    <row r="191" spans="1:15" ht="12">
      <c r="A191" s="245"/>
      <c r="B191" s="259" t="s">
        <v>356</v>
      </c>
      <c r="C191" s="103">
        <f>SUM(C192)</f>
        <v>4050000</v>
      </c>
      <c r="D191" s="103">
        <f>SUM(D192)</f>
        <v>337500</v>
      </c>
      <c r="E191" s="172">
        <f t="shared" si="55"/>
        <v>337500</v>
      </c>
      <c r="F191" s="172">
        <f t="shared" si="55"/>
        <v>337500</v>
      </c>
      <c r="G191" s="172">
        <f t="shared" si="55"/>
        <v>337500</v>
      </c>
      <c r="H191" s="172">
        <f t="shared" si="55"/>
        <v>337500</v>
      </c>
      <c r="I191" s="172">
        <f t="shared" si="55"/>
        <v>337500</v>
      </c>
      <c r="J191" s="172">
        <f t="shared" si="55"/>
        <v>337500</v>
      </c>
      <c r="K191" s="172">
        <f t="shared" si="55"/>
        <v>337500</v>
      </c>
      <c r="L191" s="172">
        <f t="shared" si="55"/>
        <v>337500</v>
      </c>
      <c r="M191" s="172">
        <f t="shared" si="55"/>
        <v>337500</v>
      </c>
      <c r="N191" s="172">
        <f t="shared" si="55"/>
        <v>337500</v>
      </c>
      <c r="O191" s="174">
        <f t="shared" si="55"/>
        <v>337500</v>
      </c>
    </row>
    <row r="192" spans="1:15" ht="12" customHeight="1" thickBot="1">
      <c r="A192" s="245"/>
      <c r="B192" s="261" t="s">
        <v>357</v>
      </c>
      <c r="C192" s="251">
        <f>SUM(D192:O192)</f>
        <v>4050000</v>
      </c>
      <c r="D192" s="251">
        <v>337500</v>
      </c>
      <c r="E192" s="251">
        <v>337500</v>
      </c>
      <c r="F192" s="251">
        <v>337500</v>
      </c>
      <c r="G192" s="251">
        <v>337500</v>
      </c>
      <c r="H192" s="251">
        <v>337500</v>
      </c>
      <c r="I192" s="251">
        <v>337500</v>
      </c>
      <c r="J192" s="251">
        <v>337500</v>
      </c>
      <c r="K192" s="251">
        <v>337500</v>
      </c>
      <c r="L192" s="251">
        <v>337500</v>
      </c>
      <c r="M192" s="251">
        <v>337500</v>
      </c>
      <c r="N192" s="251">
        <v>337500</v>
      </c>
      <c r="O192" s="262">
        <v>337500</v>
      </c>
    </row>
    <row r="193" spans="1:15" ht="18" customHeight="1" thickBot="1" thickTop="1">
      <c r="A193" s="312">
        <v>758</v>
      </c>
      <c r="B193" s="243" t="s">
        <v>201</v>
      </c>
      <c r="C193" s="147">
        <f>SUM(C197+C194)</f>
        <v>4238910</v>
      </c>
      <c r="D193" s="147">
        <f>SUM(D197+D194)</f>
        <v>144909</v>
      </c>
      <c r="E193" s="147">
        <f aca="true" t="shared" si="56" ref="E193:O193">SUM(E197+E194)</f>
        <v>144909</v>
      </c>
      <c r="F193" s="147">
        <f t="shared" si="56"/>
        <v>394909</v>
      </c>
      <c r="G193" s="147">
        <f t="shared" si="56"/>
        <v>394909</v>
      </c>
      <c r="H193" s="147">
        <f t="shared" si="56"/>
        <v>394909</v>
      </c>
      <c r="I193" s="147">
        <f t="shared" si="56"/>
        <v>394909</v>
      </c>
      <c r="J193" s="147">
        <f t="shared" si="56"/>
        <v>394909</v>
      </c>
      <c r="K193" s="147">
        <f t="shared" si="56"/>
        <v>394909</v>
      </c>
      <c r="L193" s="147">
        <f t="shared" si="56"/>
        <v>394909</v>
      </c>
      <c r="M193" s="147">
        <f t="shared" si="56"/>
        <v>394909</v>
      </c>
      <c r="N193" s="147">
        <f t="shared" si="56"/>
        <v>394909</v>
      </c>
      <c r="O193" s="149">
        <f t="shared" si="56"/>
        <v>394911</v>
      </c>
    </row>
    <row r="194" spans="1:15" ht="22.5" customHeight="1" thickTop="1">
      <c r="A194" s="271">
        <v>75818</v>
      </c>
      <c r="B194" s="279" t="s">
        <v>405</v>
      </c>
      <c r="C194" s="267">
        <f>SUM(C196:C196)</f>
        <v>2500000</v>
      </c>
      <c r="D194" s="267">
        <f>SUM(D195)</f>
        <v>0</v>
      </c>
      <c r="E194" s="152">
        <f aca="true" t="shared" si="57" ref="E194:O195">SUM(E195)</f>
        <v>0</v>
      </c>
      <c r="F194" s="152">
        <f t="shared" si="57"/>
        <v>250000</v>
      </c>
      <c r="G194" s="152">
        <f t="shared" si="57"/>
        <v>250000</v>
      </c>
      <c r="H194" s="152">
        <f t="shared" si="57"/>
        <v>250000</v>
      </c>
      <c r="I194" s="152">
        <f t="shared" si="57"/>
        <v>250000</v>
      </c>
      <c r="J194" s="152">
        <f t="shared" si="57"/>
        <v>250000</v>
      </c>
      <c r="K194" s="152">
        <f t="shared" si="57"/>
        <v>250000</v>
      </c>
      <c r="L194" s="152">
        <f t="shared" si="57"/>
        <v>250000</v>
      </c>
      <c r="M194" s="152">
        <f t="shared" si="57"/>
        <v>250000</v>
      </c>
      <c r="N194" s="152">
        <f t="shared" si="57"/>
        <v>250000</v>
      </c>
      <c r="O194" s="154">
        <f t="shared" si="57"/>
        <v>250000</v>
      </c>
    </row>
    <row r="195" spans="1:15" ht="12">
      <c r="A195" s="245"/>
      <c r="B195" s="259" t="s">
        <v>356</v>
      </c>
      <c r="C195" s="103">
        <f>SUM(C196)</f>
        <v>2500000</v>
      </c>
      <c r="D195" s="103">
        <f>SUM(D196)</f>
        <v>0</v>
      </c>
      <c r="E195" s="172">
        <f t="shared" si="57"/>
        <v>0</v>
      </c>
      <c r="F195" s="172">
        <f t="shared" si="57"/>
        <v>250000</v>
      </c>
      <c r="G195" s="172">
        <f t="shared" si="57"/>
        <v>250000</v>
      </c>
      <c r="H195" s="172">
        <f t="shared" si="57"/>
        <v>250000</v>
      </c>
      <c r="I195" s="172">
        <f t="shared" si="57"/>
        <v>250000</v>
      </c>
      <c r="J195" s="172">
        <f t="shared" si="57"/>
        <v>250000</v>
      </c>
      <c r="K195" s="172">
        <f t="shared" si="57"/>
        <v>250000</v>
      </c>
      <c r="L195" s="172">
        <f t="shared" si="57"/>
        <v>250000</v>
      </c>
      <c r="M195" s="172">
        <f t="shared" si="57"/>
        <v>250000</v>
      </c>
      <c r="N195" s="172">
        <f t="shared" si="57"/>
        <v>250000</v>
      </c>
      <c r="O195" s="174">
        <f t="shared" si="57"/>
        <v>250000</v>
      </c>
    </row>
    <row r="196" spans="1:15" ht="12" customHeight="1">
      <c r="A196" s="245"/>
      <c r="B196" s="261" t="s">
        <v>357</v>
      </c>
      <c r="C196" s="251">
        <f>SUM(D196:O196)</f>
        <v>2500000</v>
      </c>
      <c r="D196" s="251">
        <v>0</v>
      </c>
      <c r="E196" s="251">
        <v>0</v>
      </c>
      <c r="F196" s="251">
        <v>250000</v>
      </c>
      <c r="G196" s="251">
        <v>250000</v>
      </c>
      <c r="H196" s="251">
        <v>250000</v>
      </c>
      <c r="I196" s="251">
        <v>250000</v>
      </c>
      <c r="J196" s="251">
        <v>250000</v>
      </c>
      <c r="K196" s="251">
        <v>250000</v>
      </c>
      <c r="L196" s="251">
        <v>250000</v>
      </c>
      <c r="M196" s="251">
        <v>250000</v>
      </c>
      <c r="N196" s="251">
        <v>250000</v>
      </c>
      <c r="O196" s="262">
        <v>250000</v>
      </c>
    </row>
    <row r="197" spans="1:15" ht="36" customHeight="1">
      <c r="A197" s="271">
        <v>75832</v>
      </c>
      <c r="B197" s="279" t="s">
        <v>406</v>
      </c>
      <c r="C197" s="267">
        <f>SUM(C199:C199)</f>
        <v>1738910</v>
      </c>
      <c r="D197" s="267">
        <f>SUM(D198)</f>
        <v>144909</v>
      </c>
      <c r="E197" s="267">
        <f>SUM(E198)</f>
        <v>144909</v>
      </c>
      <c r="F197" s="267">
        <f>SUM(F198)</f>
        <v>144909</v>
      </c>
      <c r="G197" s="267">
        <f>SUM(G198)</f>
        <v>144909</v>
      </c>
      <c r="H197" s="267">
        <f>SUM(H198)</f>
        <v>144909</v>
      </c>
      <c r="I197" s="267">
        <f aca="true" t="shared" si="58" ref="I197:O197">SUM(I198)</f>
        <v>144909</v>
      </c>
      <c r="J197" s="267">
        <f t="shared" si="58"/>
        <v>144909</v>
      </c>
      <c r="K197" s="267">
        <f t="shared" si="58"/>
        <v>144909</v>
      </c>
      <c r="L197" s="267">
        <f t="shared" si="58"/>
        <v>144909</v>
      </c>
      <c r="M197" s="267">
        <f t="shared" si="58"/>
        <v>144909</v>
      </c>
      <c r="N197" s="267">
        <f t="shared" si="58"/>
        <v>144909</v>
      </c>
      <c r="O197" s="268">
        <f t="shared" si="58"/>
        <v>144911</v>
      </c>
    </row>
    <row r="198" spans="1:15" ht="12">
      <c r="A198" s="245"/>
      <c r="B198" s="259" t="s">
        <v>356</v>
      </c>
      <c r="C198" s="172">
        <f>SUM(D198:O198)</f>
        <v>1738910</v>
      </c>
      <c r="D198" s="172">
        <f>SUM(D199)</f>
        <v>144909</v>
      </c>
      <c r="E198" s="172">
        <f aca="true" t="shared" si="59" ref="E198:O198">SUM(E199)</f>
        <v>144909</v>
      </c>
      <c r="F198" s="172">
        <f t="shared" si="59"/>
        <v>144909</v>
      </c>
      <c r="G198" s="172">
        <f t="shared" si="59"/>
        <v>144909</v>
      </c>
      <c r="H198" s="172">
        <f t="shared" si="59"/>
        <v>144909</v>
      </c>
      <c r="I198" s="172">
        <f t="shared" si="59"/>
        <v>144909</v>
      </c>
      <c r="J198" s="172">
        <f t="shared" si="59"/>
        <v>144909</v>
      </c>
      <c r="K198" s="172">
        <f t="shared" si="59"/>
        <v>144909</v>
      </c>
      <c r="L198" s="172">
        <f t="shared" si="59"/>
        <v>144909</v>
      </c>
      <c r="M198" s="172">
        <f t="shared" si="59"/>
        <v>144909</v>
      </c>
      <c r="N198" s="172">
        <f t="shared" si="59"/>
        <v>144909</v>
      </c>
      <c r="O198" s="174">
        <f t="shared" si="59"/>
        <v>144911</v>
      </c>
    </row>
    <row r="199" spans="1:15" ht="12" customHeight="1" thickBot="1">
      <c r="A199" s="245"/>
      <c r="B199" s="261" t="s">
        <v>357</v>
      </c>
      <c r="C199" s="251">
        <f>SUM(D199:O199)</f>
        <v>1738910</v>
      </c>
      <c r="D199" s="251">
        <v>144909</v>
      </c>
      <c r="E199" s="251">
        <v>144909</v>
      </c>
      <c r="F199" s="251">
        <v>144909</v>
      </c>
      <c r="G199" s="251">
        <v>144909</v>
      </c>
      <c r="H199" s="251">
        <v>144909</v>
      </c>
      <c r="I199" s="251">
        <v>144909</v>
      </c>
      <c r="J199" s="251">
        <v>144909</v>
      </c>
      <c r="K199" s="251">
        <v>144909</v>
      </c>
      <c r="L199" s="251">
        <v>144909</v>
      </c>
      <c r="M199" s="251">
        <v>144909</v>
      </c>
      <c r="N199" s="251">
        <v>144909</v>
      </c>
      <c r="O199" s="262">
        <v>144911</v>
      </c>
    </row>
    <row r="200" spans="1:18" s="258" customFormat="1" ht="25.5" customHeight="1" thickBot="1" thickTop="1">
      <c r="A200" s="312">
        <v>801</v>
      </c>
      <c r="B200" s="243" t="s">
        <v>220</v>
      </c>
      <c r="C200" s="147">
        <f>C201+C210+C216+C228+C235+C241+C256+C263+C269+C277+C283+C298+C274+C250+C289+C292+C222</f>
        <v>93872617</v>
      </c>
      <c r="D200" s="147">
        <f>D201+D210+D216+D228+D235+D241+D256+D263+D269+D277+D283+D298+D274+D250+D289+D292+D222</f>
        <v>7476015</v>
      </c>
      <c r="E200" s="147">
        <f aca="true" t="shared" si="60" ref="E200:O200">E201+E210+E216+E228+E235+E241+E256+E263+E269+E277+E283+E298+E274+E250+E289+E292+E222</f>
        <v>7477998</v>
      </c>
      <c r="F200" s="147">
        <f t="shared" si="60"/>
        <v>11464106</v>
      </c>
      <c r="G200" s="147">
        <f t="shared" si="60"/>
        <v>8630198</v>
      </c>
      <c r="H200" s="147">
        <f t="shared" si="60"/>
        <v>7475998</v>
      </c>
      <c r="I200" s="147">
        <f t="shared" si="60"/>
        <v>7333698</v>
      </c>
      <c r="J200" s="147">
        <f t="shared" si="60"/>
        <v>7345698</v>
      </c>
      <c r="K200" s="147">
        <f t="shared" si="60"/>
        <v>7333698</v>
      </c>
      <c r="L200" s="147">
        <f t="shared" si="60"/>
        <v>7642198</v>
      </c>
      <c r="M200" s="147">
        <f t="shared" si="60"/>
        <v>7231098</v>
      </c>
      <c r="N200" s="147">
        <f t="shared" si="60"/>
        <v>7230798</v>
      </c>
      <c r="O200" s="149">
        <f t="shared" si="60"/>
        <v>7231114</v>
      </c>
      <c r="Q200" s="4"/>
      <c r="R200" s="4"/>
    </row>
    <row r="201" spans="1:15" ht="15" customHeight="1" thickTop="1">
      <c r="A201" s="271">
        <v>80101</v>
      </c>
      <c r="B201" s="279" t="s">
        <v>222</v>
      </c>
      <c r="C201" s="267">
        <f>C202+C208</f>
        <v>24566200</v>
      </c>
      <c r="D201" s="267">
        <f>D202+D208</f>
        <v>2007600</v>
      </c>
      <c r="E201" s="152">
        <f aca="true" t="shared" si="61" ref="E201:O201">E202+E208</f>
        <v>2007600</v>
      </c>
      <c r="F201" s="152">
        <f t="shared" si="61"/>
        <v>2745000</v>
      </c>
      <c r="G201" s="152">
        <f t="shared" si="61"/>
        <v>2499200</v>
      </c>
      <c r="H201" s="152">
        <f t="shared" si="61"/>
        <v>2007700</v>
      </c>
      <c r="I201" s="152">
        <f t="shared" si="61"/>
        <v>1925200</v>
      </c>
      <c r="J201" s="152">
        <f t="shared" si="61"/>
        <v>1925200</v>
      </c>
      <c r="K201" s="152">
        <f t="shared" si="61"/>
        <v>1925200</v>
      </c>
      <c r="L201" s="152">
        <f t="shared" si="61"/>
        <v>1925200</v>
      </c>
      <c r="M201" s="152">
        <f t="shared" si="61"/>
        <v>1866200</v>
      </c>
      <c r="N201" s="152">
        <f t="shared" si="61"/>
        <v>1866100</v>
      </c>
      <c r="O201" s="154">
        <f t="shared" si="61"/>
        <v>1866000</v>
      </c>
    </row>
    <row r="202" spans="1:15" ht="12" customHeight="1">
      <c r="A202" s="245"/>
      <c r="B202" s="259" t="s">
        <v>356</v>
      </c>
      <c r="C202" s="103">
        <f>SUM(D202:O202)</f>
        <v>24566200</v>
      </c>
      <c r="D202" s="103">
        <f>SUM(D203:D206)</f>
        <v>2007600</v>
      </c>
      <c r="E202" s="172">
        <f aca="true" t="shared" si="62" ref="E202:O202">SUM(E203:E206)</f>
        <v>2007600</v>
      </c>
      <c r="F202" s="172">
        <f t="shared" si="62"/>
        <v>2745000</v>
      </c>
      <c r="G202" s="172">
        <f t="shared" si="62"/>
        <v>2499200</v>
      </c>
      <c r="H202" s="172">
        <f t="shared" si="62"/>
        <v>2007700</v>
      </c>
      <c r="I202" s="172">
        <f t="shared" si="62"/>
        <v>1925200</v>
      </c>
      <c r="J202" s="172">
        <f t="shared" si="62"/>
        <v>1925200</v>
      </c>
      <c r="K202" s="172">
        <f t="shared" si="62"/>
        <v>1925200</v>
      </c>
      <c r="L202" s="172">
        <f t="shared" si="62"/>
        <v>1925200</v>
      </c>
      <c r="M202" s="172">
        <f t="shared" si="62"/>
        <v>1866200</v>
      </c>
      <c r="N202" s="172">
        <f t="shared" si="62"/>
        <v>1866100</v>
      </c>
      <c r="O202" s="174">
        <f t="shared" si="62"/>
        <v>1866000</v>
      </c>
    </row>
    <row r="203" spans="1:15" ht="12" customHeight="1">
      <c r="A203" s="245"/>
      <c r="B203" s="250" t="s">
        <v>384</v>
      </c>
      <c r="C203" s="251">
        <f>SUM(D203:O203)</f>
        <v>19709000</v>
      </c>
      <c r="D203" s="251">
        <v>1540000</v>
      </c>
      <c r="E203" s="251">
        <v>1540000</v>
      </c>
      <c r="F203" s="251">
        <v>2277400</v>
      </c>
      <c r="G203" s="251">
        <v>2031600</v>
      </c>
      <c r="H203" s="251">
        <v>1540000</v>
      </c>
      <c r="I203" s="251">
        <v>1540000</v>
      </c>
      <c r="J203" s="251">
        <v>1540000</v>
      </c>
      <c r="K203" s="251">
        <v>1540000</v>
      </c>
      <c r="L203" s="251">
        <v>1540000</v>
      </c>
      <c r="M203" s="251">
        <v>1540000</v>
      </c>
      <c r="N203" s="251">
        <v>1540000</v>
      </c>
      <c r="O203" s="262">
        <v>1540000</v>
      </c>
    </row>
    <row r="204" spans="1:15" ht="12" customHeight="1">
      <c r="A204" s="245"/>
      <c r="B204" s="250" t="s">
        <v>385</v>
      </c>
      <c r="C204" s="251"/>
      <c r="D204" s="251"/>
      <c r="E204" s="251"/>
      <c r="F204" s="251"/>
      <c r="G204" s="252"/>
      <c r="H204" s="252"/>
      <c r="I204" s="252"/>
      <c r="J204" s="251"/>
      <c r="K204" s="251"/>
      <c r="L204" s="251"/>
      <c r="M204" s="252"/>
      <c r="N204" s="252"/>
      <c r="O204" s="253"/>
    </row>
    <row r="205" spans="1:15" ht="12" customHeight="1">
      <c r="A205" s="245"/>
      <c r="B205" s="261" t="s">
        <v>373</v>
      </c>
      <c r="C205" s="251">
        <f>SUM(D205:O205)</f>
        <v>650000</v>
      </c>
      <c r="D205" s="251">
        <v>54100</v>
      </c>
      <c r="E205" s="251">
        <v>54100</v>
      </c>
      <c r="F205" s="251">
        <v>54100</v>
      </c>
      <c r="G205" s="251">
        <v>54100</v>
      </c>
      <c r="H205" s="251">
        <v>54200</v>
      </c>
      <c r="I205" s="251">
        <v>54200</v>
      </c>
      <c r="J205" s="251">
        <v>54200</v>
      </c>
      <c r="K205" s="251">
        <v>54200</v>
      </c>
      <c r="L205" s="251">
        <v>54200</v>
      </c>
      <c r="M205" s="251">
        <v>54200</v>
      </c>
      <c r="N205" s="251">
        <v>54200</v>
      </c>
      <c r="O205" s="262">
        <v>54200</v>
      </c>
    </row>
    <row r="206" spans="1:15" ht="12" customHeight="1">
      <c r="A206" s="245"/>
      <c r="B206" s="261" t="s">
        <v>357</v>
      </c>
      <c r="C206" s="251">
        <f>SUM(D206:O206)</f>
        <v>4207200</v>
      </c>
      <c r="D206" s="251">
        <v>413500</v>
      </c>
      <c r="E206" s="251">
        <v>413500</v>
      </c>
      <c r="F206" s="251">
        <v>413500</v>
      </c>
      <c r="G206" s="251">
        <v>413500</v>
      </c>
      <c r="H206" s="251">
        <v>413500</v>
      </c>
      <c r="I206" s="251">
        <v>331000</v>
      </c>
      <c r="J206" s="251">
        <v>331000</v>
      </c>
      <c r="K206" s="251">
        <v>331000</v>
      </c>
      <c r="L206" s="251">
        <v>331000</v>
      </c>
      <c r="M206" s="251">
        <v>272000</v>
      </c>
      <c r="N206" s="251">
        <v>271900</v>
      </c>
      <c r="O206" s="262">
        <v>271800</v>
      </c>
    </row>
    <row r="207" spans="1:15" ht="12" customHeight="1">
      <c r="A207" s="245"/>
      <c r="B207" s="250" t="s">
        <v>376</v>
      </c>
      <c r="C207" s="251">
        <f>SUM(D207:O207)</f>
        <v>88800</v>
      </c>
      <c r="D207" s="251"/>
      <c r="E207" s="251"/>
      <c r="F207" s="251"/>
      <c r="G207" s="252"/>
      <c r="H207" s="252"/>
      <c r="I207" s="252"/>
      <c r="J207" s="251">
        <v>30000</v>
      </c>
      <c r="K207" s="251">
        <v>35000</v>
      </c>
      <c r="L207" s="251">
        <f>15100+8700</f>
        <v>23800</v>
      </c>
      <c r="M207" s="252"/>
      <c r="N207" s="252"/>
      <c r="O207" s="253"/>
    </row>
    <row r="208" spans="1:15" ht="12" customHeight="1">
      <c r="A208" s="245"/>
      <c r="B208" s="246" t="s">
        <v>407</v>
      </c>
      <c r="C208" s="103">
        <f>SUM(D208:O208)</f>
        <v>0</v>
      </c>
      <c r="D208" s="103"/>
      <c r="E208" s="103"/>
      <c r="F208" s="103"/>
      <c r="G208" s="103"/>
      <c r="H208" s="103"/>
      <c r="I208" s="103"/>
      <c r="J208" s="103"/>
      <c r="K208" s="103">
        <f>K209</f>
        <v>0</v>
      </c>
      <c r="L208" s="103"/>
      <c r="M208" s="103"/>
      <c r="N208" s="103"/>
      <c r="O208" s="105"/>
    </row>
    <row r="209" spans="1:18" s="254" customFormat="1" ht="12" customHeight="1">
      <c r="A209" s="276"/>
      <c r="B209" s="277" t="s">
        <v>368</v>
      </c>
      <c r="C209" s="251">
        <f>SUM(D209:O209)</f>
        <v>0</v>
      </c>
      <c r="D209" s="186"/>
      <c r="E209" s="186"/>
      <c r="F209" s="186"/>
      <c r="G209" s="292"/>
      <c r="H209" s="292"/>
      <c r="I209" s="292"/>
      <c r="J209" s="186"/>
      <c r="K209" s="186"/>
      <c r="L209" s="186"/>
      <c r="M209" s="292"/>
      <c r="N209" s="292"/>
      <c r="O209" s="325"/>
      <c r="Q209" s="4"/>
      <c r="R209" s="4"/>
    </row>
    <row r="210" spans="1:18" s="258" customFormat="1" ht="24" customHeight="1">
      <c r="A210" s="271">
        <v>80102</v>
      </c>
      <c r="B210" s="279" t="s">
        <v>227</v>
      </c>
      <c r="C210" s="289">
        <f>SUM(C211)</f>
        <v>2148800</v>
      </c>
      <c r="D210" s="289">
        <f>SUM(D211)</f>
        <v>167052</v>
      </c>
      <c r="E210" s="289">
        <f aca="true" t="shared" si="63" ref="E210:O210">SUM(E211)</f>
        <v>167052</v>
      </c>
      <c r="F210" s="289">
        <f t="shared" si="63"/>
        <v>311228</v>
      </c>
      <c r="G210" s="289">
        <f t="shared" si="63"/>
        <v>167052</v>
      </c>
      <c r="H210" s="289">
        <f t="shared" si="63"/>
        <v>167052</v>
      </c>
      <c r="I210" s="289">
        <f t="shared" si="63"/>
        <v>167052</v>
      </c>
      <c r="J210" s="289">
        <f t="shared" si="63"/>
        <v>167052</v>
      </c>
      <c r="K210" s="289">
        <f t="shared" si="63"/>
        <v>167052</v>
      </c>
      <c r="L210" s="289">
        <f t="shared" si="63"/>
        <v>167052</v>
      </c>
      <c r="M210" s="289">
        <f t="shared" si="63"/>
        <v>167052</v>
      </c>
      <c r="N210" s="289">
        <f t="shared" si="63"/>
        <v>167052</v>
      </c>
      <c r="O210" s="290">
        <f t="shared" si="63"/>
        <v>167052</v>
      </c>
      <c r="Q210" s="4"/>
      <c r="R210" s="4"/>
    </row>
    <row r="211" spans="1:15" ht="12">
      <c r="A211" s="245"/>
      <c r="B211" s="259" t="s">
        <v>356</v>
      </c>
      <c r="C211" s="103">
        <f>SUM(D211:O211)</f>
        <v>2148800</v>
      </c>
      <c r="D211" s="103">
        <f>SUM(D212:D214)</f>
        <v>167052</v>
      </c>
      <c r="E211" s="172">
        <f aca="true" t="shared" si="64" ref="E211:O211">SUM(E212:E214)</f>
        <v>167052</v>
      </c>
      <c r="F211" s="172">
        <f t="shared" si="64"/>
        <v>311228</v>
      </c>
      <c r="G211" s="172">
        <f t="shared" si="64"/>
        <v>167052</v>
      </c>
      <c r="H211" s="172">
        <f t="shared" si="64"/>
        <v>167052</v>
      </c>
      <c r="I211" s="172">
        <f t="shared" si="64"/>
        <v>167052</v>
      </c>
      <c r="J211" s="172">
        <f t="shared" si="64"/>
        <v>167052</v>
      </c>
      <c r="K211" s="172">
        <f t="shared" si="64"/>
        <v>167052</v>
      </c>
      <c r="L211" s="172">
        <f t="shared" si="64"/>
        <v>167052</v>
      </c>
      <c r="M211" s="172">
        <f t="shared" si="64"/>
        <v>167052</v>
      </c>
      <c r="N211" s="172">
        <f t="shared" si="64"/>
        <v>167052</v>
      </c>
      <c r="O211" s="174">
        <f t="shared" si="64"/>
        <v>167052</v>
      </c>
    </row>
    <row r="212" spans="1:15" ht="12">
      <c r="A212" s="245"/>
      <c r="B212" s="250" t="s">
        <v>384</v>
      </c>
      <c r="C212" s="251">
        <f>SUM(D212:O212)</f>
        <v>1874300</v>
      </c>
      <c r="D212" s="251">
        <v>144177</v>
      </c>
      <c r="E212" s="251">
        <v>144177</v>
      </c>
      <c r="F212" s="251">
        <v>288353</v>
      </c>
      <c r="G212" s="251">
        <v>144177</v>
      </c>
      <c r="H212" s="251">
        <v>144177</v>
      </c>
      <c r="I212" s="251">
        <v>144177</v>
      </c>
      <c r="J212" s="251">
        <v>144177</v>
      </c>
      <c r="K212" s="251">
        <v>144177</v>
      </c>
      <c r="L212" s="251">
        <v>144177</v>
      </c>
      <c r="M212" s="251">
        <v>144177</v>
      </c>
      <c r="N212" s="251">
        <v>144177</v>
      </c>
      <c r="O212" s="262">
        <v>144177</v>
      </c>
    </row>
    <row r="213" spans="1:15" ht="12">
      <c r="A213" s="245"/>
      <c r="B213" s="250" t="s">
        <v>385</v>
      </c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62"/>
    </row>
    <row r="214" spans="1:15" ht="12">
      <c r="A214" s="245"/>
      <c r="B214" s="261" t="s">
        <v>357</v>
      </c>
      <c r="C214" s="251">
        <f>SUM(D214:O214)</f>
        <v>274500</v>
      </c>
      <c r="D214" s="251">
        <v>22875</v>
      </c>
      <c r="E214" s="251">
        <v>22875</v>
      </c>
      <c r="F214" s="251">
        <v>22875</v>
      </c>
      <c r="G214" s="251">
        <v>22875</v>
      </c>
      <c r="H214" s="251">
        <v>22875</v>
      </c>
      <c r="I214" s="251">
        <v>22875</v>
      </c>
      <c r="J214" s="251">
        <v>22875</v>
      </c>
      <c r="K214" s="251">
        <v>22875</v>
      </c>
      <c r="L214" s="251">
        <v>22875</v>
      </c>
      <c r="M214" s="251">
        <v>22875</v>
      </c>
      <c r="N214" s="251">
        <v>22875</v>
      </c>
      <c r="O214" s="262">
        <v>22875</v>
      </c>
    </row>
    <row r="215" spans="1:15" ht="12">
      <c r="A215" s="245"/>
      <c r="B215" s="250" t="s">
        <v>376</v>
      </c>
      <c r="C215" s="251">
        <f>SUM(D215:O215)</f>
        <v>2000</v>
      </c>
      <c r="D215" s="251"/>
      <c r="E215" s="251"/>
      <c r="F215" s="251"/>
      <c r="G215" s="251"/>
      <c r="H215" s="251"/>
      <c r="I215" s="251"/>
      <c r="J215" s="251"/>
      <c r="K215" s="251">
        <v>1000</v>
      </c>
      <c r="L215" s="251">
        <v>1000</v>
      </c>
      <c r="M215" s="251"/>
      <c r="N215" s="251"/>
      <c r="O215" s="262"/>
    </row>
    <row r="216" spans="1:15" ht="13.5" customHeight="1">
      <c r="A216" s="326">
        <v>80104</v>
      </c>
      <c r="B216" s="279" t="s">
        <v>408</v>
      </c>
      <c r="C216" s="267">
        <f>SUM(C217)</f>
        <v>9707600</v>
      </c>
      <c r="D216" s="267">
        <f>SUM(D217)</f>
        <v>747700</v>
      </c>
      <c r="E216" s="267">
        <f aca="true" t="shared" si="65" ref="E216:O216">SUM(E217)</f>
        <v>747700</v>
      </c>
      <c r="F216" s="267">
        <f t="shared" si="65"/>
        <v>1189600</v>
      </c>
      <c r="G216" s="267">
        <f t="shared" si="65"/>
        <v>1042700</v>
      </c>
      <c r="H216" s="267">
        <f t="shared" si="65"/>
        <v>747700</v>
      </c>
      <c r="I216" s="267">
        <f t="shared" si="65"/>
        <v>747700</v>
      </c>
      <c r="J216" s="267">
        <f t="shared" si="65"/>
        <v>747700</v>
      </c>
      <c r="K216" s="267">
        <f t="shared" si="65"/>
        <v>747700</v>
      </c>
      <c r="L216" s="267">
        <f t="shared" si="65"/>
        <v>747700</v>
      </c>
      <c r="M216" s="267">
        <f t="shared" si="65"/>
        <v>747100</v>
      </c>
      <c r="N216" s="267">
        <f t="shared" si="65"/>
        <v>747100</v>
      </c>
      <c r="O216" s="268">
        <f t="shared" si="65"/>
        <v>747200</v>
      </c>
    </row>
    <row r="217" spans="1:15" ht="12">
      <c r="A217" s="274"/>
      <c r="B217" s="293" t="s">
        <v>356</v>
      </c>
      <c r="C217" s="172">
        <f>SUM(D217:O217)</f>
        <v>9707600</v>
      </c>
      <c r="D217" s="172">
        <f>SUM(D218:D221)</f>
        <v>747700</v>
      </c>
      <c r="E217" s="172">
        <f aca="true" t="shared" si="66" ref="E217:O217">SUM(E218:E221)</f>
        <v>747700</v>
      </c>
      <c r="F217" s="172">
        <f t="shared" si="66"/>
        <v>1189600</v>
      </c>
      <c r="G217" s="172">
        <f t="shared" si="66"/>
        <v>1042700</v>
      </c>
      <c r="H217" s="172">
        <f t="shared" si="66"/>
        <v>747700</v>
      </c>
      <c r="I217" s="172">
        <f t="shared" si="66"/>
        <v>747700</v>
      </c>
      <c r="J217" s="172">
        <f t="shared" si="66"/>
        <v>747700</v>
      </c>
      <c r="K217" s="172">
        <f t="shared" si="66"/>
        <v>747700</v>
      </c>
      <c r="L217" s="172">
        <f t="shared" si="66"/>
        <v>747700</v>
      </c>
      <c r="M217" s="172">
        <f t="shared" si="66"/>
        <v>747100</v>
      </c>
      <c r="N217" s="172">
        <f t="shared" si="66"/>
        <v>747100</v>
      </c>
      <c r="O217" s="174">
        <f t="shared" si="66"/>
        <v>747200</v>
      </c>
    </row>
    <row r="218" spans="1:15" ht="12">
      <c r="A218" s="245"/>
      <c r="B218" s="250" t="s">
        <v>384</v>
      </c>
      <c r="C218" s="251">
        <f>SUM(D218:O218)</f>
        <v>132500</v>
      </c>
      <c r="D218" s="251">
        <v>10500</v>
      </c>
      <c r="E218" s="251">
        <v>10500</v>
      </c>
      <c r="F218" s="251">
        <v>14300</v>
      </c>
      <c r="G218" s="103">
        <v>13200</v>
      </c>
      <c r="H218" s="251">
        <v>10500</v>
      </c>
      <c r="I218" s="251">
        <v>10500</v>
      </c>
      <c r="J218" s="251">
        <v>10500</v>
      </c>
      <c r="K218" s="251">
        <v>10500</v>
      </c>
      <c r="L218" s="251">
        <v>10500</v>
      </c>
      <c r="M218" s="251">
        <v>10500</v>
      </c>
      <c r="N218" s="251">
        <v>10500</v>
      </c>
      <c r="O218" s="262">
        <v>10500</v>
      </c>
    </row>
    <row r="219" spans="1:15" ht="12">
      <c r="A219" s="245"/>
      <c r="B219" s="250" t="s">
        <v>385</v>
      </c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62"/>
    </row>
    <row r="220" spans="1:15" ht="12">
      <c r="A220" s="245"/>
      <c r="B220" s="261" t="s">
        <v>373</v>
      </c>
      <c r="C220" s="251">
        <f>SUM(D220:O220)</f>
        <v>9567200</v>
      </c>
      <c r="D220" s="251">
        <v>736400</v>
      </c>
      <c r="E220" s="251">
        <v>736400</v>
      </c>
      <c r="F220" s="251">
        <v>1174500</v>
      </c>
      <c r="G220" s="251">
        <v>1028700</v>
      </c>
      <c r="H220" s="251">
        <v>736400</v>
      </c>
      <c r="I220" s="251">
        <v>736400</v>
      </c>
      <c r="J220" s="251">
        <v>736400</v>
      </c>
      <c r="K220" s="251">
        <v>736400</v>
      </c>
      <c r="L220" s="251">
        <v>736400</v>
      </c>
      <c r="M220" s="251">
        <v>736400</v>
      </c>
      <c r="N220" s="251">
        <v>736400</v>
      </c>
      <c r="O220" s="262">
        <v>736400</v>
      </c>
    </row>
    <row r="221" spans="1:15" ht="12">
      <c r="A221" s="283"/>
      <c r="B221" s="291" t="s">
        <v>357</v>
      </c>
      <c r="C221" s="251">
        <f>SUM(D221:O221)</f>
        <v>7900</v>
      </c>
      <c r="D221" s="186">
        <v>800</v>
      </c>
      <c r="E221" s="186">
        <v>800</v>
      </c>
      <c r="F221" s="186">
        <v>800</v>
      </c>
      <c r="G221" s="186">
        <v>800</v>
      </c>
      <c r="H221" s="186">
        <v>800</v>
      </c>
      <c r="I221" s="186">
        <v>800</v>
      </c>
      <c r="J221" s="186">
        <v>800</v>
      </c>
      <c r="K221" s="186">
        <v>800</v>
      </c>
      <c r="L221" s="186">
        <v>800</v>
      </c>
      <c r="M221" s="186">
        <v>200</v>
      </c>
      <c r="N221" s="186">
        <v>200</v>
      </c>
      <c r="O221" s="188">
        <v>300</v>
      </c>
    </row>
    <row r="222" spans="1:18" s="258" customFormat="1" ht="13.5" customHeight="1">
      <c r="A222" s="271">
        <v>80105</v>
      </c>
      <c r="B222" s="279" t="s">
        <v>409</v>
      </c>
      <c r="C222" s="289">
        <f>SUM(C223)</f>
        <v>403800</v>
      </c>
      <c r="D222" s="289">
        <f>SUM(D223)</f>
        <v>31376</v>
      </c>
      <c r="E222" s="289">
        <f aca="true" t="shared" si="67" ref="E222:O222">SUM(E223)</f>
        <v>31376</v>
      </c>
      <c r="F222" s="289">
        <f t="shared" si="67"/>
        <v>58564</v>
      </c>
      <c r="G222" s="289">
        <f t="shared" si="67"/>
        <v>31376</v>
      </c>
      <c r="H222" s="289">
        <f t="shared" si="67"/>
        <v>31376</v>
      </c>
      <c r="I222" s="289">
        <f t="shared" si="67"/>
        <v>31376</v>
      </c>
      <c r="J222" s="289">
        <f t="shared" si="67"/>
        <v>31376</v>
      </c>
      <c r="K222" s="289">
        <f t="shared" si="67"/>
        <v>31376</v>
      </c>
      <c r="L222" s="289">
        <f t="shared" si="67"/>
        <v>31376</v>
      </c>
      <c r="M222" s="289">
        <f t="shared" si="67"/>
        <v>31376</v>
      </c>
      <c r="N222" s="289">
        <f t="shared" si="67"/>
        <v>31376</v>
      </c>
      <c r="O222" s="290">
        <f t="shared" si="67"/>
        <v>31476</v>
      </c>
      <c r="Q222" s="4"/>
      <c r="R222" s="4"/>
    </row>
    <row r="223" spans="1:15" ht="12.75">
      <c r="A223" s="245"/>
      <c r="B223" s="259" t="s">
        <v>356</v>
      </c>
      <c r="C223" s="103">
        <f>SUM(D223:O223)</f>
        <v>403800</v>
      </c>
      <c r="D223" s="247">
        <f>SUM(D224:D226)</f>
        <v>31376</v>
      </c>
      <c r="E223" s="247">
        <f>SUM(E224:E226)</f>
        <v>31376</v>
      </c>
      <c r="F223" s="247">
        <f>SUM(F224:F226)</f>
        <v>58564</v>
      </c>
      <c r="G223" s="247">
        <f>SUM(G224:G226)</f>
        <v>31376</v>
      </c>
      <c r="H223" s="247">
        <f>SUM(H224:H226)</f>
        <v>31376</v>
      </c>
      <c r="I223" s="247">
        <f aca="true" t="shared" si="68" ref="I223:O223">SUM(I224:I226)</f>
        <v>31376</v>
      </c>
      <c r="J223" s="247">
        <f t="shared" si="68"/>
        <v>31376</v>
      </c>
      <c r="K223" s="247">
        <f t="shared" si="68"/>
        <v>31376</v>
      </c>
      <c r="L223" s="247">
        <f t="shared" si="68"/>
        <v>31376</v>
      </c>
      <c r="M223" s="247">
        <f t="shared" si="68"/>
        <v>31376</v>
      </c>
      <c r="N223" s="247">
        <f t="shared" si="68"/>
        <v>31376</v>
      </c>
      <c r="O223" s="248">
        <f t="shared" si="68"/>
        <v>31476</v>
      </c>
    </row>
    <row r="224" spans="1:15" ht="12">
      <c r="A224" s="245"/>
      <c r="B224" s="250" t="s">
        <v>384</v>
      </c>
      <c r="C224" s="251">
        <f>SUM(D224:O224)</f>
        <v>353300</v>
      </c>
      <c r="D224" s="251">
        <v>27176</v>
      </c>
      <c r="E224" s="251">
        <v>27176</v>
      </c>
      <c r="F224" s="251">
        <v>54364</v>
      </c>
      <c r="G224" s="103">
        <v>27176</v>
      </c>
      <c r="H224" s="251">
        <v>27176</v>
      </c>
      <c r="I224" s="251">
        <v>27176</v>
      </c>
      <c r="J224" s="251">
        <v>27176</v>
      </c>
      <c r="K224" s="251">
        <v>27176</v>
      </c>
      <c r="L224" s="251">
        <v>27176</v>
      </c>
      <c r="M224" s="251">
        <v>27176</v>
      </c>
      <c r="N224" s="251">
        <v>27176</v>
      </c>
      <c r="O224" s="262">
        <v>27176</v>
      </c>
    </row>
    <row r="225" spans="1:15" ht="12">
      <c r="A225" s="245"/>
      <c r="B225" s="250" t="s">
        <v>385</v>
      </c>
      <c r="C225" s="251"/>
      <c r="D225" s="251"/>
      <c r="E225" s="251"/>
      <c r="F225" s="251"/>
      <c r="G225" s="103"/>
      <c r="H225" s="251"/>
      <c r="I225" s="103"/>
      <c r="J225" s="251"/>
      <c r="K225" s="251"/>
      <c r="L225" s="251"/>
      <c r="M225" s="103"/>
      <c r="N225" s="251"/>
      <c r="O225" s="105"/>
    </row>
    <row r="226" spans="1:15" ht="12">
      <c r="A226" s="245"/>
      <c r="B226" s="261" t="s">
        <v>357</v>
      </c>
      <c r="C226" s="251">
        <f>SUM(D226:O226)</f>
        <v>50500</v>
      </c>
      <c r="D226" s="251">
        <v>4200</v>
      </c>
      <c r="E226" s="251">
        <v>4200</v>
      </c>
      <c r="F226" s="251">
        <v>4200</v>
      </c>
      <c r="G226" s="251">
        <v>4200</v>
      </c>
      <c r="H226" s="251">
        <v>4200</v>
      </c>
      <c r="I226" s="251">
        <v>4200</v>
      </c>
      <c r="J226" s="251">
        <v>4200</v>
      </c>
      <c r="K226" s="251">
        <v>4200</v>
      </c>
      <c r="L226" s="251">
        <v>4200</v>
      </c>
      <c r="M226" s="251">
        <v>4200</v>
      </c>
      <c r="N226" s="251">
        <v>4200</v>
      </c>
      <c r="O226" s="262">
        <v>4300</v>
      </c>
    </row>
    <row r="227" spans="1:15" ht="12">
      <c r="A227" s="245"/>
      <c r="B227" s="250" t="s">
        <v>376</v>
      </c>
      <c r="C227" s="251">
        <f>SUM(D227:O227)</f>
        <v>2000</v>
      </c>
      <c r="D227" s="251"/>
      <c r="E227" s="251"/>
      <c r="F227" s="251"/>
      <c r="G227" s="103"/>
      <c r="H227" s="251"/>
      <c r="I227" s="103"/>
      <c r="J227" s="251"/>
      <c r="K227" s="251">
        <v>1000</v>
      </c>
      <c r="L227" s="251">
        <v>1000</v>
      </c>
      <c r="M227" s="103"/>
      <c r="N227" s="251"/>
      <c r="O227" s="105"/>
    </row>
    <row r="228" spans="1:15" ht="13.5" customHeight="1">
      <c r="A228" s="271">
        <v>80110</v>
      </c>
      <c r="B228" s="279" t="s">
        <v>230</v>
      </c>
      <c r="C228" s="267">
        <f>SUM(C229)</f>
        <v>17029300</v>
      </c>
      <c r="D228" s="267">
        <f>SUM(D229)</f>
        <v>1392300</v>
      </c>
      <c r="E228" s="267">
        <f aca="true" t="shared" si="69" ref="E228:O228">SUM(E229)</f>
        <v>1392300</v>
      </c>
      <c r="F228" s="267">
        <f t="shared" si="69"/>
        <v>1913700</v>
      </c>
      <c r="G228" s="267">
        <f t="shared" si="69"/>
        <v>1739900</v>
      </c>
      <c r="H228" s="267">
        <f t="shared" si="69"/>
        <v>1392200</v>
      </c>
      <c r="I228" s="267">
        <f t="shared" si="69"/>
        <v>1332500</v>
      </c>
      <c r="J228" s="267">
        <f t="shared" si="69"/>
        <v>1332500</v>
      </c>
      <c r="K228" s="267">
        <f t="shared" si="69"/>
        <v>1332500</v>
      </c>
      <c r="L228" s="267">
        <f t="shared" si="69"/>
        <v>1332500</v>
      </c>
      <c r="M228" s="267">
        <f t="shared" si="69"/>
        <v>1289700</v>
      </c>
      <c r="N228" s="267">
        <f t="shared" si="69"/>
        <v>1289600</v>
      </c>
      <c r="O228" s="268">
        <f t="shared" si="69"/>
        <v>1289600</v>
      </c>
    </row>
    <row r="229" spans="1:15" ht="12">
      <c r="A229" s="284"/>
      <c r="B229" s="327" t="s">
        <v>356</v>
      </c>
      <c r="C229" s="142">
        <f>SUM(D229:O229)</f>
        <v>17029300</v>
      </c>
      <c r="D229" s="142">
        <f>SUM(D230:D233)</f>
        <v>1392300</v>
      </c>
      <c r="E229" s="142">
        <f aca="true" t="shared" si="70" ref="E229:O229">SUM(E230:E233)</f>
        <v>1392300</v>
      </c>
      <c r="F229" s="142">
        <f t="shared" si="70"/>
        <v>1913700</v>
      </c>
      <c r="G229" s="142">
        <f t="shared" si="70"/>
        <v>1739900</v>
      </c>
      <c r="H229" s="142">
        <f t="shared" si="70"/>
        <v>1392200</v>
      </c>
      <c r="I229" s="142">
        <f t="shared" si="70"/>
        <v>1332500</v>
      </c>
      <c r="J229" s="142">
        <f t="shared" si="70"/>
        <v>1332500</v>
      </c>
      <c r="K229" s="142">
        <f t="shared" si="70"/>
        <v>1332500</v>
      </c>
      <c r="L229" s="142">
        <f t="shared" si="70"/>
        <v>1332500</v>
      </c>
      <c r="M229" s="142">
        <f t="shared" si="70"/>
        <v>1289700</v>
      </c>
      <c r="N229" s="142">
        <f t="shared" si="70"/>
        <v>1289600</v>
      </c>
      <c r="O229" s="287">
        <f t="shared" si="70"/>
        <v>1289600</v>
      </c>
    </row>
    <row r="230" spans="1:15" ht="12">
      <c r="A230" s="245"/>
      <c r="B230" s="250" t="s">
        <v>384</v>
      </c>
      <c r="C230" s="251">
        <f>SUM(D230:O230)</f>
        <v>14141000</v>
      </c>
      <c r="D230" s="251">
        <v>1106000</v>
      </c>
      <c r="E230" s="251">
        <v>1106000</v>
      </c>
      <c r="F230" s="251">
        <v>1627400</v>
      </c>
      <c r="G230" s="103">
        <v>1453600</v>
      </c>
      <c r="H230" s="251">
        <v>1106000</v>
      </c>
      <c r="I230" s="251">
        <v>1106000</v>
      </c>
      <c r="J230" s="251">
        <v>1106000</v>
      </c>
      <c r="K230" s="251">
        <v>1106000</v>
      </c>
      <c r="L230" s="251">
        <v>1106000</v>
      </c>
      <c r="M230" s="251">
        <v>1106000</v>
      </c>
      <c r="N230" s="251">
        <v>1106000</v>
      </c>
      <c r="O230" s="262">
        <v>1106000</v>
      </c>
    </row>
    <row r="231" spans="1:15" ht="12">
      <c r="A231" s="245"/>
      <c r="B231" s="250" t="s">
        <v>385</v>
      </c>
      <c r="C231" s="251"/>
      <c r="D231" s="251"/>
      <c r="E231" s="251"/>
      <c r="F231" s="251"/>
      <c r="G231" s="103"/>
      <c r="H231" s="251"/>
      <c r="I231" s="103"/>
      <c r="J231" s="251"/>
      <c r="K231" s="251"/>
      <c r="L231" s="251"/>
      <c r="M231" s="103"/>
      <c r="N231" s="251"/>
      <c r="O231" s="105"/>
    </row>
    <row r="232" spans="1:15" ht="12">
      <c r="A232" s="245"/>
      <c r="B232" s="261" t="s">
        <v>373</v>
      </c>
      <c r="C232" s="251">
        <f>SUM(D232:O232)</f>
        <v>280000</v>
      </c>
      <c r="D232" s="251">
        <v>23400</v>
      </c>
      <c r="E232" s="251">
        <v>23400</v>
      </c>
      <c r="F232" s="251">
        <v>23400</v>
      </c>
      <c r="G232" s="251">
        <v>23400</v>
      </c>
      <c r="H232" s="251">
        <v>23300</v>
      </c>
      <c r="I232" s="251">
        <v>23300</v>
      </c>
      <c r="J232" s="251">
        <v>23300</v>
      </c>
      <c r="K232" s="251">
        <v>23300</v>
      </c>
      <c r="L232" s="251">
        <v>23300</v>
      </c>
      <c r="M232" s="251">
        <v>23300</v>
      </c>
      <c r="N232" s="251">
        <v>23300</v>
      </c>
      <c r="O232" s="262">
        <v>23300</v>
      </c>
    </row>
    <row r="233" spans="1:15" ht="12">
      <c r="A233" s="245"/>
      <c r="B233" s="261" t="s">
        <v>357</v>
      </c>
      <c r="C233" s="251">
        <f>SUM(D233:O233)</f>
        <v>2608300</v>
      </c>
      <c r="D233" s="251">
        <v>262900</v>
      </c>
      <c r="E233" s="251">
        <v>262900</v>
      </c>
      <c r="F233" s="251">
        <v>262900</v>
      </c>
      <c r="G233" s="251">
        <v>262900</v>
      </c>
      <c r="H233" s="251">
        <v>262900</v>
      </c>
      <c r="I233" s="251">
        <v>203200</v>
      </c>
      <c r="J233" s="251">
        <v>203200</v>
      </c>
      <c r="K233" s="251">
        <v>203200</v>
      </c>
      <c r="L233" s="251">
        <v>203200</v>
      </c>
      <c r="M233" s="251">
        <v>160400</v>
      </c>
      <c r="N233" s="251">
        <v>160300</v>
      </c>
      <c r="O233" s="262">
        <v>160300</v>
      </c>
    </row>
    <row r="234" spans="1:15" ht="12">
      <c r="A234" s="283"/>
      <c r="B234" s="277" t="s">
        <v>376</v>
      </c>
      <c r="C234" s="186">
        <f>SUM(D234:O234)</f>
        <v>0</v>
      </c>
      <c r="D234" s="186"/>
      <c r="E234" s="186"/>
      <c r="F234" s="186"/>
      <c r="G234" s="177"/>
      <c r="H234" s="186"/>
      <c r="I234" s="177"/>
      <c r="J234" s="186"/>
      <c r="K234" s="186"/>
      <c r="L234" s="186"/>
      <c r="M234" s="177"/>
      <c r="N234" s="186"/>
      <c r="O234" s="144"/>
    </row>
    <row r="235" spans="1:18" s="254" customFormat="1" ht="13.5" customHeight="1">
      <c r="A235" s="271">
        <v>80111</v>
      </c>
      <c r="B235" s="279" t="s">
        <v>410</v>
      </c>
      <c r="C235" s="267">
        <f>SUM(C236)</f>
        <v>1677300</v>
      </c>
      <c r="D235" s="267">
        <f>SUM(D236)</f>
        <v>130646</v>
      </c>
      <c r="E235" s="267">
        <f aca="true" t="shared" si="71" ref="E235:O235">SUM(E236)</f>
        <v>130646</v>
      </c>
      <c r="F235" s="267">
        <f t="shared" si="71"/>
        <v>240094</v>
      </c>
      <c r="G235" s="267">
        <f t="shared" si="71"/>
        <v>130646</v>
      </c>
      <c r="H235" s="267">
        <f t="shared" si="71"/>
        <v>130646</v>
      </c>
      <c r="I235" s="267">
        <f t="shared" si="71"/>
        <v>130646</v>
      </c>
      <c r="J235" s="267">
        <f t="shared" si="71"/>
        <v>130646</v>
      </c>
      <c r="K235" s="267">
        <f t="shared" si="71"/>
        <v>130646</v>
      </c>
      <c r="L235" s="267">
        <f t="shared" si="71"/>
        <v>130646</v>
      </c>
      <c r="M235" s="267">
        <f t="shared" si="71"/>
        <v>130646</v>
      </c>
      <c r="N235" s="267">
        <f t="shared" si="71"/>
        <v>130646</v>
      </c>
      <c r="O235" s="268">
        <f t="shared" si="71"/>
        <v>130746</v>
      </c>
      <c r="Q235" s="4"/>
      <c r="R235" s="4"/>
    </row>
    <row r="236" spans="1:15" ht="11.25" customHeight="1">
      <c r="A236" s="245"/>
      <c r="B236" s="259" t="s">
        <v>356</v>
      </c>
      <c r="C236" s="103">
        <f>SUM(D236:O236)</f>
        <v>1677300</v>
      </c>
      <c r="D236" s="103">
        <f>SUM(D237:D239)</f>
        <v>130646</v>
      </c>
      <c r="E236" s="172">
        <f aca="true" t="shared" si="72" ref="E236:O236">SUM(E237:E239)</f>
        <v>130646</v>
      </c>
      <c r="F236" s="172">
        <f t="shared" si="72"/>
        <v>240094</v>
      </c>
      <c r="G236" s="172">
        <f t="shared" si="72"/>
        <v>130646</v>
      </c>
      <c r="H236" s="172">
        <f t="shared" si="72"/>
        <v>130646</v>
      </c>
      <c r="I236" s="172">
        <f t="shared" si="72"/>
        <v>130646</v>
      </c>
      <c r="J236" s="172">
        <f t="shared" si="72"/>
        <v>130646</v>
      </c>
      <c r="K236" s="172">
        <f t="shared" si="72"/>
        <v>130646</v>
      </c>
      <c r="L236" s="172">
        <f t="shared" si="72"/>
        <v>130646</v>
      </c>
      <c r="M236" s="172">
        <f t="shared" si="72"/>
        <v>130646</v>
      </c>
      <c r="N236" s="172">
        <f t="shared" si="72"/>
        <v>130646</v>
      </c>
      <c r="O236" s="174">
        <f t="shared" si="72"/>
        <v>130746</v>
      </c>
    </row>
    <row r="237" spans="1:15" ht="12">
      <c r="A237" s="245"/>
      <c r="B237" s="250" t="s">
        <v>384</v>
      </c>
      <c r="C237" s="251">
        <f>SUM(D237:O237)</f>
        <v>1422800</v>
      </c>
      <c r="D237" s="251">
        <v>109446</v>
      </c>
      <c r="E237" s="251">
        <v>109446</v>
      </c>
      <c r="F237" s="251">
        <v>218894</v>
      </c>
      <c r="G237" s="251">
        <v>109446</v>
      </c>
      <c r="H237" s="251">
        <v>109446</v>
      </c>
      <c r="I237" s="251">
        <v>109446</v>
      </c>
      <c r="J237" s="251">
        <v>109446</v>
      </c>
      <c r="K237" s="251">
        <v>109446</v>
      </c>
      <c r="L237" s="251">
        <v>109446</v>
      </c>
      <c r="M237" s="251">
        <v>109446</v>
      </c>
      <c r="N237" s="251">
        <v>109446</v>
      </c>
      <c r="O237" s="262">
        <v>109446</v>
      </c>
    </row>
    <row r="238" spans="1:15" ht="11.25" customHeight="1">
      <c r="A238" s="245"/>
      <c r="B238" s="250" t="s">
        <v>385</v>
      </c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62"/>
    </row>
    <row r="239" spans="1:15" ht="12">
      <c r="A239" s="245"/>
      <c r="B239" s="261" t="s">
        <v>357</v>
      </c>
      <c r="C239" s="251">
        <f>SUM(D239:O239)</f>
        <v>254500</v>
      </c>
      <c r="D239" s="251">
        <v>21200</v>
      </c>
      <c r="E239" s="251">
        <v>21200</v>
      </c>
      <c r="F239" s="251">
        <v>21200</v>
      </c>
      <c r="G239" s="251">
        <v>21200</v>
      </c>
      <c r="H239" s="251">
        <v>21200</v>
      </c>
      <c r="I239" s="251">
        <v>21200</v>
      </c>
      <c r="J239" s="251">
        <v>21200</v>
      </c>
      <c r="K239" s="251">
        <v>21200</v>
      </c>
      <c r="L239" s="251">
        <v>21200</v>
      </c>
      <c r="M239" s="251">
        <v>21200</v>
      </c>
      <c r="N239" s="251">
        <v>21200</v>
      </c>
      <c r="O239" s="262">
        <v>21300</v>
      </c>
    </row>
    <row r="240" spans="1:15" ht="12">
      <c r="A240" s="245"/>
      <c r="B240" s="250" t="s">
        <v>376</v>
      </c>
      <c r="C240" s="251">
        <f>SUM(D240:O240)</f>
        <v>5000</v>
      </c>
      <c r="D240" s="251"/>
      <c r="E240" s="251"/>
      <c r="F240" s="251"/>
      <c r="G240" s="251"/>
      <c r="H240" s="251"/>
      <c r="I240" s="251"/>
      <c r="J240" s="251"/>
      <c r="K240" s="251">
        <v>2500</v>
      </c>
      <c r="L240" s="251">
        <v>2500</v>
      </c>
      <c r="M240" s="251"/>
      <c r="N240" s="251"/>
      <c r="O240" s="262"/>
    </row>
    <row r="241" spans="1:18" s="254" customFormat="1" ht="13.5" customHeight="1">
      <c r="A241" s="271">
        <v>80120</v>
      </c>
      <c r="B241" s="279" t="s">
        <v>411</v>
      </c>
      <c r="C241" s="267">
        <f>C242+C248</f>
        <v>11159100</v>
      </c>
      <c r="D241" s="267">
        <f>D242+D248</f>
        <v>874704</v>
      </c>
      <c r="E241" s="267">
        <f aca="true" t="shared" si="73" ref="E241:O241">E242+E248</f>
        <v>874704</v>
      </c>
      <c r="F241" s="267">
        <f t="shared" si="73"/>
        <v>1537356</v>
      </c>
      <c r="G241" s="267">
        <f t="shared" si="73"/>
        <v>874704</v>
      </c>
      <c r="H241" s="267">
        <f t="shared" si="73"/>
        <v>874704</v>
      </c>
      <c r="I241" s="267">
        <f t="shared" si="73"/>
        <v>874704</v>
      </c>
      <c r="J241" s="267">
        <f t="shared" si="73"/>
        <v>874704</v>
      </c>
      <c r="K241" s="267">
        <f t="shared" si="73"/>
        <v>874704</v>
      </c>
      <c r="L241" s="267">
        <f t="shared" si="73"/>
        <v>874704</v>
      </c>
      <c r="M241" s="267">
        <f t="shared" si="73"/>
        <v>874704</v>
      </c>
      <c r="N241" s="267">
        <f t="shared" si="73"/>
        <v>874704</v>
      </c>
      <c r="O241" s="268">
        <f t="shared" si="73"/>
        <v>874704</v>
      </c>
      <c r="Q241" s="4"/>
      <c r="R241" s="4"/>
    </row>
    <row r="242" spans="1:15" ht="12">
      <c r="A242" s="245"/>
      <c r="B242" s="259" t="s">
        <v>356</v>
      </c>
      <c r="C242" s="103">
        <f>SUM(D242:O242)</f>
        <v>11159100</v>
      </c>
      <c r="D242" s="103">
        <f>SUM(D243:D246)</f>
        <v>874704</v>
      </c>
      <c r="E242" s="172">
        <f aca="true" t="shared" si="74" ref="E242:O242">SUM(E243:E246)</f>
        <v>874704</v>
      </c>
      <c r="F242" s="172">
        <f t="shared" si="74"/>
        <v>1537356</v>
      </c>
      <c r="G242" s="172">
        <f t="shared" si="74"/>
        <v>874704</v>
      </c>
      <c r="H242" s="172">
        <f t="shared" si="74"/>
        <v>874704</v>
      </c>
      <c r="I242" s="172">
        <f t="shared" si="74"/>
        <v>874704</v>
      </c>
      <c r="J242" s="172">
        <f t="shared" si="74"/>
        <v>874704</v>
      </c>
      <c r="K242" s="172">
        <f t="shared" si="74"/>
        <v>874704</v>
      </c>
      <c r="L242" s="172">
        <f t="shared" si="74"/>
        <v>874704</v>
      </c>
      <c r="M242" s="172">
        <f t="shared" si="74"/>
        <v>874704</v>
      </c>
      <c r="N242" s="172">
        <f t="shared" si="74"/>
        <v>874704</v>
      </c>
      <c r="O242" s="174">
        <f t="shared" si="74"/>
        <v>874704</v>
      </c>
    </row>
    <row r="243" spans="1:15" ht="12">
      <c r="A243" s="245"/>
      <c r="B243" s="250" t="s">
        <v>384</v>
      </c>
      <c r="C243" s="251">
        <f>SUM(D243:O243)</f>
        <v>8614500</v>
      </c>
      <c r="D243" s="251">
        <v>662654</v>
      </c>
      <c r="E243" s="251">
        <v>662654</v>
      </c>
      <c r="F243" s="251">
        <v>1325306</v>
      </c>
      <c r="G243" s="251">
        <v>662654</v>
      </c>
      <c r="H243" s="251">
        <v>662654</v>
      </c>
      <c r="I243" s="251">
        <v>662654</v>
      </c>
      <c r="J243" s="251">
        <v>662654</v>
      </c>
      <c r="K243" s="251">
        <v>662654</v>
      </c>
      <c r="L243" s="251">
        <v>662654</v>
      </c>
      <c r="M243" s="251">
        <v>662654</v>
      </c>
      <c r="N243" s="251">
        <v>662654</v>
      </c>
      <c r="O243" s="262">
        <v>662654</v>
      </c>
    </row>
    <row r="244" spans="1:15" ht="12">
      <c r="A244" s="245"/>
      <c r="B244" s="250" t="s">
        <v>385</v>
      </c>
      <c r="C244" s="251"/>
      <c r="D244" s="251"/>
      <c r="E244" s="251"/>
      <c r="F244" s="251"/>
      <c r="G244" s="103"/>
      <c r="H244" s="251"/>
      <c r="I244" s="103"/>
      <c r="J244" s="251"/>
      <c r="K244" s="251"/>
      <c r="L244" s="251"/>
      <c r="M244" s="103"/>
      <c r="N244" s="251"/>
      <c r="O244" s="105"/>
    </row>
    <row r="245" spans="1:15" ht="12">
      <c r="A245" s="245"/>
      <c r="B245" s="261" t="s">
        <v>373</v>
      </c>
      <c r="C245" s="251">
        <f>SUM(D245:O245)</f>
        <v>932000</v>
      </c>
      <c r="D245" s="251">
        <v>77667</v>
      </c>
      <c r="E245" s="251">
        <v>77667</v>
      </c>
      <c r="F245" s="251">
        <v>77667</v>
      </c>
      <c r="G245" s="251">
        <v>77667</v>
      </c>
      <c r="H245" s="251">
        <v>77667</v>
      </c>
      <c r="I245" s="251">
        <v>77667</v>
      </c>
      <c r="J245" s="251">
        <v>77667</v>
      </c>
      <c r="K245" s="251">
        <v>77667</v>
      </c>
      <c r="L245" s="251">
        <v>77667</v>
      </c>
      <c r="M245" s="251">
        <v>77667</v>
      </c>
      <c r="N245" s="251">
        <v>77667</v>
      </c>
      <c r="O245" s="262">
        <v>77663</v>
      </c>
    </row>
    <row r="246" spans="1:15" ht="12">
      <c r="A246" s="245"/>
      <c r="B246" s="261" t="s">
        <v>357</v>
      </c>
      <c r="C246" s="251">
        <f>SUM(D246:O246)</f>
        <v>1612600</v>
      </c>
      <c r="D246" s="251">
        <v>134383</v>
      </c>
      <c r="E246" s="251">
        <v>134383</v>
      </c>
      <c r="F246" s="251">
        <v>134383</v>
      </c>
      <c r="G246" s="251">
        <v>134383</v>
      </c>
      <c r="H246" s="251">
        <v>134383</v>
      </c>
      <c r="I246" s="251">
        <v>134383</v>
      </c>
      <c r="J246" s="251">
        <v>134383</v>
      </c>
      <c r="K246" s="251">
        <v>134383</v>
      </c>
      <c r="L246" s="251">
        <v>134383</v>
      </c>
      <c r="M246" s="251">
        <v>134383</v>
      </c>
      <c r="N246" s="251">
        <v>134383</v>
      </c>
      <c r="O246" s="262">
        <v>134387</v>
      </c>
    </row>
    <row r="247" spans="1:15" ht="12">
      <c r="A247" s="245"/>
      <c r="B247" s="250" t="s">
        <v>376</v>
      </c>
      <c r="C247" s="251">
        <f>SUM(D247:O247)</f>
        <v>36200</v>
      </c>
      <c r="D247" s="251"/>
      <c r="E247" s="251"/>
      <c r="F247" s="251"/>
      <c r="G247" s="103"/>
      <c r="H247" s="251"/>
      <c r="I247" s="103"/>
      <c r="J247" s="251">
        <v>10000</v>
      </c>
      <c r="K247" s="251">
        <v>10000</v>
      </c>
      <c r="L247" s="251">
        <v>16200</v>
      </c>
      <c r="M247" s="103"/>
      <c r="N247" s="251"/>
      <c r="O247" s="105"/>
    </row>
    <row r="248" spans="1:15" ht="12">
      <c r="A248" s="245"/>
      <c r="B248" s="246" t="s">
        <v>407</v>
      </c>
      <c r="C248" s="251">
        <f>SUM(D248:O248)</f>
        <v>0</v>
      </c>
      <c r="D248" s="103">
        <f>D249</f>
        <v>0</v>
      </c>
      <c r="E248" s="103">
        <f aca="true" t="shared" si="75" ref="E248:L248">E249</f>
        <v>0</v>
      </c>
      <c r="F248" s="103">
        <f t="shared" si="75"/>
        <v>0</v>
      </c>
      <c r="G248" s="103">
        <f t="shared" si="75"/>
        <v>0</v>
      </c>
      <c r="H248" s="103">
        <f t="shared" si="75"/>
        <v>0</v>
      </c>
      <c r="I248" s="103">
        <f t="shared" si="75"/>
        <v>0</v>
      </c>
      <c r="J248" s="103">
        <f t="shared" si="75"/>
        <v>0</v>
      </c>
      <c r="K248" s="103">
        <f t="shared" si="75"/>
        <v>0</v>
      </c>
      <c r="L248" s="103">
        <f t="shared" si="75"/>
        <v>0</v>
      </c>
      <c r="M248" s="103"/>
      <c r="N248" s="103"/>
      <c r="O248" s="105"/>
    </row>
    <row r="249" spans="1:18" s="254" customFormat="1" ht="12">
      <c r="A249" s="249"/>
      <c r="B249" s="250" t="s">
        <v>368</v>
      </c>
      <c r="C249" s="251">
        <f>SUM(D249:O249)</f>
        <v>0</v>
      </c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62"/>
      <c r="Q249" s="4"/>
      <c r="R249" s="4"/>
    </row>
    <row r="250" spans="1:18" s="254" customFormat="1" ht="13.5" customHeight="1">
      <c r="A250" s="271">
        <v>80123</v>
      </c>
      <c r="B250" s="279" t="s">
        <v>412</v>
      </c>
      <c r="C250" s="267">
        <f>SUM(C251)</f>
        <v>1508200</v>
      </c>
      <c r="D250" s="267">
        <f>SUM(D251)</f>
        <v>117307</v>
      </c>
      <c r="E250" s="267">
        <f aca="true" t="shared" si="76" ref="E250:O250">SUM(E251)</f>
        <v>117307</v>
      </c>
      <c r="F250" s="267">
        <f t="shared" si="76"/>
        <v>217923</v>
      </c>
      <c r="G250" s="267">
        <f t="shared" si="76"/>
        <v>117307</v>
      </c>
      <c r="H250" s="267">
        <f t="shared" si="76"/>
        <v>117307</v>
      </c>
      <c r="I250" s="267">
        <f t="shared" si="76"/>
        <v>117307</v>
      </c>
      <c r="J250" s="267">
        <f t="shared" si="76"/>
        <v>117307</v>
      </c>
      <c r="K250" s="267">
        <f t="shared" si="76"/>
        <v>117307</v>
      </c>
      <c r="L250" s="267">
        <f t="shared" si="76"/>
        <v>117307</v>
      </c>
      <c r="M250" s="267">
        <f t="shared" si="76"/>
        <v>117307</v>
      </c>
      <c r="N250" s="267">
        <f t="shared" si="76"/>
        <v>117207</v>
      </c>
      <c r="O250" s="268">
        <f t="shared" si="76"/>
        <v>117307</v>
      </c>
      <c r="Q250" s="4"/>
      <c r="R250" s="4"/>
    </row>
    <row r="251" spans="1:15" ht="12" customHeight="1">
      <c r="A251" s="245"/>
      <c r="B251" s="259" t="s">
        <v>356</v>
      </c>
      <c r="C251" s="103">
        <f>SUM(D251:O251)</f>
        <v>1508200</v>
      </c>
      <c r="D251" s="103">
        <f>SUM(D252:D254)</f>
        <v>117307</v>
      </c>
      <c r="E251" s="172">
        <f aca="true" t="shared" si="77" ref="E251:O251">SUM(E252:E254)</f>
        <v>117307</v>
      </c>
      <c r="F251" s="172">
        <f t="shared" si="77"/>
        <v>217923</v>
      </c>
      <c r="G251" s="172">
        <f t="shared" si="77"/>
        <v>117307</v>
      </c>
      <c r="H251" s="172">
        <f t="shared" si="77"/>
        <v>117307</v>
      </c>
      <c r="I251" s="172">
        <f t="shared" si="77"/>
        <v>117307</v>
      </c>
      <c r="J251" s="172">
        <f t="shared" si="77"/>
        <v>117307</v>
      </c>
      <c r="K251" s="172">
        <f t="shared" si="77"/>
        <v>117307</v>
      </c>
      <c r="L251" s="172">
        <f t="shared" si="77"/>
        <v>117307</v>
      </c>
      <c r="M251" s="172">
        <f t="shared" si="77"/>
        <v>117307</v>
      </c>
      <c r="N251" s="172">
        <f t="shared" si="77"/>
        <v>117207</v>
      </c>
      <c r="O251" s="174">
        <f t="shared" si="77"/>
        <v>117307</v>
      </c>
    </row>
    <row r="252" spans="1:15" ht="12" customHeight="1">
      <c r="A252" s="245"/>
      <c r="B252" s="250" t="s">
        <v>384</v>
      </c>
      <c r="C252" s="251">
        <f>SUM(D252:O252)</f>
        <v>1307900</v>
      </c>
      <c r="D252" s="251">
        <v>100607</v>
      </c>
      <c r="E252" s="251">
        <v>100607</v>
      </c>
      <c r="F252" s="251">
        <v>201223</v>
      </c>
      <c r="G252" s="251">
        <v>100607</v>
      </c>
      <c r="H252" s="251">
        <v>100607</v>
      </c>
      <c r="I252" s="251">
        <v>100607</v>
      </c>
      <c r="J252" s="251">
        <v>100607</v>
      </c>
      <c r="K252" s="251">
        <v>100607</v>
      </c>
      <c r="L252" s="251">
        <v>100607</v>
      </c>
      <c r="M252" s="251">
        <v>100607</v>
      </c>
      <c r="N252" s="251">
        <v>100607</v>
      </c>
      <c r="O252" s="262">
        <v>100607</v>
      </c>
    </row>
    <row r="253" spans="1:15" ht="12" customHeight="1">
      <c r="A253" s="245"/>
      <c r="B253" s="250" t="s">
        <v>385</v>
      </c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62"/>
    </row>
    <row r="254" spans="1:15" ht="12" customHeight="1">
      <c r="A254" s="245"/>
      <c r="B254" s="261" t="s">
        <v>357</v>
      </c>
      <c r="C254" s="251">
        <f>SUM(D254:O254)</f>
        <v>200300</v>
      </c>
      <c r="D254" s="251">
        <v>16700</v>
      </c>
      <c r="E254" s="251">
        <v>16700</v>
      </c>
      <c r="F254" s="251">
        <v>16700</v>
      </c>
      <c r="G254" s="251">
        <v>16700</v>
      </c>
      <c r="H254" s="251">
        <v>16700</v>
      </c>
      <c r="I254" s="251">
        <v>16700</v>
      </c>
      <c r="J254" s="251">
        <v>16700</v>
      </c>
      <c r="K254" s="251">
        <v>16700</v>
      </c>
      <c r="L254" s="251">
        <v>16700</v>
      </c>
      <c r="M254" s="251">
        <v>16700</v>
      </c>
      <c r="N254" s="251">
        <v>16600</v>
      </c>
      <c r="O254" s="262">
        <v>16700</v>
      </c>
    </row>
    <row r="255" spans="1:15" ht="12" customHeight="1">
      <c r="A255" s="283"/>
      <c r="B255" s="277" t="s">
        <v>376</v>
      </c>
      <c r="C255" s="186">
        <f>SUM(D255:O255)</f>
        <v>3400</v>
      </c>
      <c r="D255" s="186"/>
      <c r="E255" s="186"/>
      <c r="F255" s="186"/>
      <c r="G255" s="186"/>
      <c r="H255" s="186"/>
      <c r="I255" s="186"/>
      <c r="J255" s="186"/>
      <c r="K255" s="186">
        <v>1400</v>
      </c>
      <c r="L255" s="186">
        <v>2000</v>
      </c>
      <c r="M255" s="186"/>
      <c r="N255" s="186"/>
      <c r="O255" s="188"/>
    </row>
    <row r="256" spans="1:18" s="254" customFormat="1" ht="13.5" customHeight="1">
      <c r="A256" s="271">
        <v>80130</v>
      </c>
      <c r="B256" s="279" t="s">
        <v>413</v>
      </c>
      <c r="C256" s="267">
        <f>SUM(C257)</f>
        <v>15462700</v>
      </c>
      <c r="D256" s="267">
        <f>SUM(D257)</f>
        <v>1212499</v>
      </c>
      <c r="E256" s="267">
        <f aca="true" t="shared" si="78" ref="E256:O256">SUM(E257)</f>
        <v>1212499</v>
      </c>
      <c r="F256" s="267">
        <f t="shared" si="78"/>
        <v>2125215</v>
      </c>
      <c r="G256" s="267">
        <f t="shared" si="78"/>
        <v>1212499</v>
      </c>
      <c r="H256" s="267">
        <f t="shared" si="78"/>
        <v>1212499</v>
      </c>
      <c r="I256" s="267">
        <f t="shared" si="78"/>
        <v>1212499</v>
      </c>
      <c r="J256" s="267">
        <f t="shared" si="78"/>
        <v>1212499</v>
      </c>
      <c r="K256" s="267">
        <f t="shared" si="78"/>
        <v>1212499</v>
      </c>
      <c r="L256" s="267">
        <f t="shared" si="78"/>
        <v>1212499</v>
      </c>
      <c r="M256" s="267">
        <f t="shared" si="78"/>
        <v>1212499</v>
      </c>
      <c r="N256" s="267">
        <f t="shared" si="78"/>
        <v>1212499</v>
      </c>
      <c r="O256" s="268">
        <f t="shared" si="78"/>
        <v>1212495</v>
      </c>
      <c r="Q256" s="4"/>
      <c r="R256" s="4"/>
    </row>
    <row r="257" spans="1:15" ht="12">
      <c r="A257" s="245"/>
      <c r="B257" s="259" t="s">
        <v>356</v>
      </c>
      <c r="C257" s="103">
        <f>SUM(D257:O257)</f>
        <v>15462700</v>
      </c>
      <c r="D257" s="103">
        <f>SUM(D258:D261)</f>
        <v>1212499</v>
      </c>
      <c r="E257" s="172">
        <f aca="true" t="shared" si="79" ref="E257:O257">SUM(E258:E261)</f>
        <v>1212499</v>
      </c>
      <c r="F257" s="172">
        <f t="shared" si="79"/>
        <v>2125215</v>
      </c>
      <c r="G257" s="172">
        <f t="shared" si="79"/>
        <v>1212499</v>
      </c>
      <c r="H257" s="172">
        <f t="shared" si="79"/>
        <v>1212499</v>
      </c>
      <c r="I257" s="172">
        <f t="shared" si="79"/>
        <v>1212499</v>
      </c>
      <c r="J257" s="172">
        <f t="shared" si="79"/>
        <v>1212499</v>
      </c>
      <c r="K257" s="172">
        <f t="shared" si="79"/>
        <v>1212499</v>
      </c>
      <c r="L257" s="172">
        <f t="shared" si="79"/>
        <v>1212499</v>
      </c>
      <c r="M257" s="172">
        <f t="shared" si="79"/>
        <v>1212499</v>
      </c>
      <c r="N257" s="172">
        <f t="shared" si="79"/>
        <v>1212499</v>
      </c>
      <c r="O257" s="174">
        <f t="shared" si="79"/>
        <v>1212495</v>
      </c>
    </row>
    <row r="258" spans="1:15" ht="12">
      <c r="A258" s="245"/>
      <c r="B258" s="250" t="s">
        <v>384</v>
      </c>
      <c r="C258" s="251">
        <f>SUM(D258:O258)</f>
        <v>11865200</v>
      </c>
      <c r="D258" s="251">
        <v>912707</v>
      </c>
      <c r="E258" s="251">
        <v>912707</v>
      </c>
      <c r="F258" s="251">
        <v>1825423</v>
      </c>
      <c r="G258" s="251">
        <v>912707</v>
      </c>
      <c r="H258" s="251">
        <v>912707</v>
      </c>
      <c r="I258" s="251">
        <v>912707</v>
      </c>
      <c r="J258" s="251">
        <v>912707</v>
      </c>
      <c r="K258" s="251">
        <v>912707</v>
      </c>
      <c r="L258" s="251">
        <v>912707</v>
      </c>
      <c r="M258" s="251">
        <v>912707</v>
      </c>
      <c r="N258" s="251">
        <v>912707</v>
      </c>
      <c r="O258" s="262">
        <v>912707</v>
      </c>
    </row>
    <row r="259" spans="1:15" ht="12">
      <c r="A259" s="245"/>
      <c r="B259" s="250" t="s">
        <v>385</v>
      </c>
      <c r="C259" s="251"/>
      <c r="D259" s="251"/>
      <c r="E259" s="251"/>
      <c r="F259" s="251"/>
      <c r="G259" s="103"/>
      <c r="H259" s="251"/>
      <c r="I259" s="103"/>
      <c r="J259" s="251"/>
      <c r="K259" s="251"/>
      <c r="L259" s="251"/>
      <c r="M259" s="103"/>
      <c r="N259" s="251"/>
      <c r="O259" s="105"/>
    </row>
    <row r="260" spans="1:15" ht="12">
      <c r="A260" s="245"/>
      <c r="B260" s="261" t="s">
        <v>373</v>
      </c>
      <c r="C260" s="251">
        <f>SUM(D260:O260)</f>
        <v>1100000</v>
      </c>
      <c r="D260" s="251">
        <v>91667</v>
      </c>
      <c r="E260" s="251">
        <v>91667</v>
      </c>
      <c r="F260" s="251">
        <v>91667</v>
      </c>
      <c r="G260" s="251">
        <v>91667</v>
      </c>
      <c r="H260" s="251">
        <v>91667</v>
      </c>
      <c r="I260" s="251">
        <v>91667</v>
      </c>
      <c r="J260" s="251">
        <v>91667</v>
      </c>
      <c r="K260" s="251">
        <v>91667</v>
      </c>
      <c r="L260" s="251">
        <v>91667</v>
      </c>
      <c r="M260" s="251">
        <v>91667</v>
      </c>
      <c r="N260" s="251">
        <v>91667</v>
      </c>
      <c r="O260" s="262">
        <v>91663</v>
      </c>
    </row>
    <row r="261" spans="1:15" ht="12">
      <c r="A261" s="245"/>
      <c r="B261" s="261" t="s">
        <v>357</v>
      </c>
      <c r="C261" s="251">
        <f>SUM(D261:O261)</f>
        <v>2497500</v>
      </c>
      <c r="D261" s="251">
        <v>208125</v>
      </c>
      <c r="E261" s="251">
        <v>208125</v>
      </c>
      <c r="F261" s="251">
        <v>208125</v>
      </c>
      <c r="G261" s="251">
        <v>208125</v>
      </c>
      <c r="H261" s="251">
        <v>208125</v>
      </c>
      <c r="I261" s="251">
        <v>208125</v>
      </c>
      <c r="J261" s="251">
        <v>208125</v>
      </c>
      <c r="K261" s="251">
        <v>208125</v>
      </c>
      <c r="L261" s="251">
        <v>208125</v>
      </c>
      <c r="M261" s="251">
        <v>208125</v>
      </c>
      <c r="N261" s="251">
        <v>208125</v>
      </c>
      <c r="O261" s="262">
        <v>208125</v>
      </c>
    </row>
    <row r="262" spans="1:15" ht="12" customHeight="1">
      <c r="A262" s="245"/>
      <c r="B262" s="250" t="s">
        <v>376</v>
      </c>
      <c r="C262" s="251">
        <f>SUM(D262:O262)</f>
        <v>59000</v>
      </c>
      <c r="D262" s="251"/>
      <c r="E262" s="251"/>
      <c r="F262" s="251"/>
      <c r="G262" s="103"/>
      <c r="H262" s="251"/>
      <c r="I262" s="103"/>
      <c r="J262" s="251">
        <v>10000</v>
      </c>
      <c r="K262" s="251">
        <v>25000</v>
      </c>
      <c r="L262" s="251">
        <v>24000</v>
      </c>
      <c r="M262" s="103"/>
      <c r="N262" s="251"/>
      <c r="O262" s="105"/>
    </row>
    <row r="263" spans="1:18" s="254" customFormat="1" ht="24" hidden="1">
      <c r="A263" s="271">
        <v>80131</v>
      </c>
      <c r="B263" s="279" t="s">
        <v>414</v>
      </c>
      <c r="C263" s="267">
        <f>SUM(C264)</f>
        <v>0</v>
      </c>
      <c r="D263" s="267">
        <f>SUM(D264)</f>
        <v>0</v>
      </c>
      <c r="E263" s="267"/>
      <c r="F263" s="142"/>
      <c r="G263" s="142"/>
      <c r="H263" s="267"/>
      <c r="I263" s="267"/>
      <c r="J263" s="267">
        <f>SUM(J264)</f>
        <v>0</v>
      </c>
      <c r="K263" s="267"/>
      <c r="L263" s="142"/>
      <c r="M263" s="142"/>
      <c r="N263" s="267"/>
      <c r="O263" s="268"/>
      <c r="Q263" s="4"/>
      <c r="R263" s="4"/>
    </row>
    <row r="264" spans="1:15" ht="12.75" hidden="1">
      <c r="A264" s="245"/>
      <c r="B264" s="259" t="s">
        <v>356</v>
      </c>
      <c r="C264" s="103">
        <f>SUM(C265:C268)</f>
        <v>0</v>
      </c>
      <c r="D264" s="103">
        <f>SUM(D265:D268)</f>
        <v>0</v>
      </c>
      <c r="E264" s="103"/>
      <c r="F264" s="247"/>
      <c r="G264" s="281"/>
      <c r="H264" s="247"/>
      <c r="I264" s="281"/>
      <c r="J264" s="103">
        <f>SUM(J265:J268)</f>
        <v>0</v>
      </c>
      <c r="K264" s="103"/>
      <c r="L264" s="247"/>
      <c r="M264" s="281"/>
      <c r="N264" s="247"/>
      <c r="O264" s="282"/>
    </row>
    <row r="265" spans="1:15" ht="12.75" hidden="1">
      <c r="A265" s="245"/>
      <c r="B265" s="250" t="s">
        <v>384</v>
      </c>
      <c r="C265" s="251">
        <f>SUM(D265:E265)</f>
        <v>0</v>
      </c>
      <c r="D265" s="251">
        <f>F265+H265</f>
        <v>0</v>
      </c>
      <c r="E265" s="251"/>
      <c r="F265" s="252"/>
      <c r="G265" s="247"/>
      <c r="H265" s="252"/>
      <c r="I265" s="247"/>
      <c r="J265" s="251">
        <f>L265+N265</f>
        <v>0</v>
      </c>
      <c r="K265" s="251"/>
      <c r="L265" s="252"/>
      <c r="M265" s="247"/>
      <c r="N265" s="252"/>
      <c r="O265" s="248"/>
    </row>
    <row r="266" spans="1:15" ht="12.75" hidden="1">
      <c r="A266" s="245"/>
      <c r="B266" s="250" t="s">
        <v>385</v>
      </c>
      <c r="C266" s="251"/>
      <c r="D266" s="251"/>
      <c r="E266" s="251"/>
      <c r="F266" s="252"/>
      <c r="G266" s="247"/>
      <c r="H266" s="252"/>
      <c r="I266" s="247"/>
      <c r="J266" s="251"/>
      <c r="K266" s="251"/>
      <c r="L266" s="252"/>
      <c r="M266" s="247"/>
      <c r="N266" s="252"/>
      <c r="O266" s="248"/>
    </row>
    <row r="267" spans="1:15" ht="12.75" hidden="1">
      <c r="A267" s="245"/>
      <c r="B267" s="261" t="s">
        <v>373</v>
      </c>
      <c r="C267" s="251">
        <f>SUM(D267:E267)</f>
        <v>0</v>
      </c>
      <c r="D267" s="251">
        <f>F267+H267</f>
        <v>0</v>
      </c>
      <c r="E267" s="251"/>
      <c r="F267" s="252"/>
      <c r="G267" s="247"/>
      <c r="H267" s="252"/>
      <c r="I267" s="247"/>
      <c r="J267" s="251">
        <f>L267+N267</f>
        <v>0</v>
      </c>
      <c r="K267" s="251"/>
      <c r="L267" s="252"/>
      <c r="M267" s="247"/>
      <c r="N267" s="252"/>
      <c r="O267" s="248"/>
    </row>
    <row r="268" spans="1:15" ht="12.75" hidden="1">
      <c r="A268" s="283"/>
      <c r="B268" s="291" t="s">
        <v>357</v>
      </c>
      <c r="C268" s="186">
        <f>SUM(D268:E268)</f>
        <v>0</v>
      </c>
      <c r="D268" s="186">
        <f>F268+H268</f>
        <v>0</v>
      </c>
      <c r="E268" s="186"/>
      <c r="F268" s="292"/>
      <c r="G268" s="328"/>
      <c r="H268" s="292"/>
      <c r="I268" s="328"/>
      <c r="J268" s="186">
        <f>L268+N268</f>
        <v>0</v>
      </c>
      <c r="K268" s="186"/>
      <c r="L268" s="292"/>
      <c r="M268" s="328"/>
      <c r="N268" s="292"/>
      <c r="O268" s="329"/>
    </row>
    <row r="269" spans="1:18" s="254" customFormat="1" ht="36.75" customHeight="1">
      <c r="A269" s="271">
        <v>80132</v>
      </c>
      <c r="B269" s="279" t="s">
        <v>415</v>
      </c>
      <c r="C269" s="267">
        <f>SUM(C270)</f>
        <v>193400</v>
      </c>
      <c r="D269" s="267">
        <f>SUM(D270)</f>
        <v>15023</v>
      </c>
      <c r="E269" s="267">
        <f aca="true" t="shared" si="80" ref="E269:O269">SUM(E270)</f>
        <v>15023</v>
      </c>
      <c r="F269" s="267">
        <f t="shared" si="80"/>
        <v>28143</v>
      </c>
      <c r="G269" s="267">
        <f t="shared" si="80"/>
        <v>15023</v>
      </c>
      <c r="H269" s="267">
        <f t="shared" si="80"/>
        <v>15023</v>
      </c>
      <c r="I269" s="267">
        <f t="shared" si="80"/>
        <v>15023</v>
      </c>
      <c r="J269" s="267">
        <f t="shared" si="80"/>
        <v>15023</v>
      </c>
      <c r="K269" s="267">
        <f t="shared" si="80"/>
        <v>15023</v>
      </c>
      <c r="L269" s="267">
        <f t="shared" si="80"/>
        <v>15023</v>
      </c>
      <c r="M269" s="267">
        <f t="shared" si="80"/>
        <v>15023</v>
      </c>
      <c r="N269" s="267">
        <f t="shared" si="80"/>
        <v>15023</v>
      </c>
      <c r="O269" s="268">
        <f t="shared" si="80"/>
        <v>15027</v>
      </c>
      <c r="Q269" s="4"/>
      <c r="R269" s="4"/>
    </row>
    <row r="270" spans="1:15" ht="12">
      <c r="A270" s="284"/>
      <c r="B270" s="327" t="s">
        <v>356</v>
      </c>
      <c r="C270" s="142">
        <f>SUM(D270:O270)</f>
        <v>193400</v>
      </c>
      <c r="D270" s="142">
        <f>SUM(D271:D273)</f>
        <v>15023</v>
      </c>
      <c r="E270" s="142">
        <f aca="true" t="shared" si="81" ref="E270:O270">SUM(E271:E273)</f>
        <v>15023</v>
      </c>
      <c r="F270" s="142">
        <f t="shared" si="81"/>
        <v>28143</v>
      </c>
      <c r="G270" s="142">
        <f t="shared" si="81"/>
        <v>15023</v>
      </c>
      <c r="H270" s="142">
        <f t="shared" si="81"/>
        <v>15023</v>
      </c>
      <c r="I270" s="142">
        <f t="shared" si="81"/>
        <v>15023</v>
      </c>
      <c r="J270" s="142">
        <f t="shared" si="81"/>
        <v>15023</v>
      </c>
      <c r="K270" s="142">
        <f t="shared" si="81"/>
        <v>15023</v>
      </c>
      <c r="L270" s="142">
        <f t="shared" si="81"/>
        <v>15023</v>
      </c>
      <c r="M270" s="142">
        <f t="shared" si="81"/>
        <v>15023</v>
      </c>
      <c r="N270" s="142">
        <f t="shared" si="81"/>
        <v>15023</v>
      </c>
      <c r="O270" s="287">
        <f t="shared" si="81"/>
        <v>15027</v>
      </c>
    </row>
    <row r="271" spans="1:15" ht="12">
      <c r="A271" s="245"/>
      <c r="B271" s="250" t="s">
        <v>384</v>
      </c>
      <c r="C271" s="251">
        <f>SUM(D271:O271)</f>
        <v>170500</v>
      </c>
      <c r="D271" s="251">
        <v>13115</v>
      </c>
      <c r="E271" s="251">
        <v>13115</v>
      </c>
      <c r="F271" s="251">
        <v>26235</v>
      </c>
      <c r="G271" s="251">
        <v>13115</v>
      </c>
      <c r="H271" s="251">
        <v>13115</v>
      </c>
      <c r="I271" s="251">
        <v>13115</v>
      </c>
      <c r="J271" s="251">
        <v>13115</v>
      </c>
      <c r="K271" s="251">
        <v>13115</v>
      </c>
      <c r="L271" s="251">
        <v>13115</v>
      </c>
      <c r="M271" s="251">
        <v>13115</v>
      </c>
      <c r="N271" s="251">
        <v>13115</v>
      </c>
      <c r="O271" s="262">
        <v>13115</v>
      </c>
    </row>
    <row r="272" spans="1:15" ht="12">
      <c r="A272" s="245"/>
      <c r="B272" s="250" t="s">
        <v>385</v>
      </c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62"/>
    </row>
    <row r="273" spans="1:15" ht="12">
      <c r="A273" s="245"/>
      <c r="B273" s="261" t="s">
        <v>357</v>
      </c>
      <c r="C273" s="251">
        <f>SUM(D273:O273)</f>
        <v>22900</v>
      </c>
      <c r="D273" s="251">
        <v>1908</v>
      </c>
      <c r="E273" s="251">
        <v>1908</v>
      </c>
      <c r="F273" s="251">
        <v>1908</v>
      </c>
      <c r="G273" s="251">
        <v>1908</v>
      </c>
      <c r="H273" s="251">
        <v>1908</v>
      </c>
      <c r="I273" s="251">
        <v>1908</v>
      </c>
      <c r="J273" s="251">
        <v>1908</v>
      </c>
      <c r="K273" s="251">
        <v>1908</v>
      </c>
      <c r="L273" s="251">
        <v>1908</v>
      </c>
      <c r="M273" s="251">
        <v>1908</v>
      </c>
      <c r="N273" s="251">
        <v>1908</v>
      </c>
      <c r="O273" s="262">
        <v>1912</v>
      </c>
    </row>
    <row r="274" spans="1:18" s="254" customFormat="1" ht="24" hidden="1">
      <c r="A274" s="271">
        <v>80133</v>
      </c>
      <c r="B274" s="279" t="s">
        <v>416</v>
      </c>
      <c r="C274" s="267">
        <f>SUM(C275)</f>
        <v>0</v>
      </c>
      <c r="D274" s="267">
        <f>SUM(D275)</f>
        <v>0</v>
      </c>
      <c r="E274" s="267"/>
      <c r="F274" s="142"/>
      <c r="G274" s="142"/>
      <c r="H274" s="267">
        <f>SUM(H275)</f>
        <v>0</v>
      </c>
      <c r="I274" s="267"/>
      <c r="J274" s="267">
        <f>SUM(J275)</f>
        <v>0</v>
      </c>
      <c r="K274" s="267"/>
      <c r="L274" s="142"/>
      <c r="M274" s="142"/>
      <c r="N274" s="267">
        <f>SUM(N275)</f>
        <v>0</v>
      </c>
      <c r="O274" s="268"/>
      <c r="Q274" s="4"/>
      <c r="R274" s="4"/>
    </row>
    <row r="275" spans="1:15" ht="12.75" hidden="1">
      <c r="A275" s="274"/>
      <c r="B275" s="293" t="s">
        <v>356</v>
      </c>
      <c r="C275" s="172">
        <f>SUM(C276)</f>
        <v>0</v>
      </c>
      <c r="D275" s="172">
        <f>SUM(D276)</f>
        <v>0</v>
      </c>
      <c r="E275" s="172"/>
      <c r="F275" s="330"/>
      <c r="G275" s="331"/>
      <c r="H275" s="330">
        <f>SUM(H276)</f>
        <v>0</v>
      </c>
      <c r="I275" s="331"/>
      <c r="J275" s="172">
        <f>SUM(J276)</f>
        <v>0</v>
      </c>
      <c r="K275" s="172"/>
      <c r="L275" s="330"/>
      <c r="M275" s="331"/>
      <c r="N275" s="330">
        <f>SUM(N276)</f>
        <v>0</v>
      </c>
      <c r="O275" s="332"/>
    </row>
    <row r="276" spans="1:15" ht="12.75" hidden="1">
      <c r="A276" s="283"/>
      <c r="B276" s="291" t="s">
        <v>373</v>
      </c>
      <c r="C276" s="186">
        <f>SUM(D276:E276)</f>
        <v>0</v>
      </c>
      <c r="D276" s="186">
        <f>F276+H276</f>
        <v>0</v>
      </c>
      <c r="E276" s="186"/>
      <c r="F276" s="292"/>
      <c r="G276" s="328"/>
      <c r="H276" s="292"/>
      <c r="I276" s="328"/>
      <c r="J276" s="186">
        <f>L276+N276</f>
        <v>0</v>
      </c>
      <c r="K276" s="186"/>
      <c r="L276" s="292"/>
      <c r="M276" s="328"/>
      <c r="N276" s="292"/>
      <c r="O276" s="329"/>
    </row>
    <row r="277" spans="1:18" s="254" customFormat="1" ht="17.25" customHeight="1">
      <c r="A277" s="271">
        <v>80134</v>
      </c>
      <c r="B277" s="279" t="s">
        <v>417</v>
      </c>
      <c r="C277" s="267">
        <f>SUM(C278)</f>
        <v>1160800</v>
      </c>
      <c r="D277" s="267">
        <f>SUM(D278)</f>
        <v>90158</v>
      </c>
      <c r="E277" s="267">
        <f aca="true" t="shared" si="82" ref="E277:O277">SUM(E278)</f>
        <v>90158</v>
      </c>
      <c r="F277" s="267">
        <f t="shared" si="82"/>
        <v>169058</v>
      </c>
      <c r="G277" s="267">
        <f t="shared" si="82"/>
        <v>90158</v>
      </c>
      <c r="H277" s="267">
        <f t="shared" si="82"/>
        <v>90158</v>
      </c>
      <c r="I277" s="267">
        <f t="shared" si="82"/>
        <v>90158</v>
      </c>
      <c r="J277" s="267">
        <f t="shared" si="82"/>
        <v>90158</v>
      </c>
      <c r="K277" s="267">
        <f t="shared" si="82"/>
        <v>90158</v>
      </c>
      <c r="L277" s="267">
        <f t="shared" si="82"/>
        <v>90158</v>
      </c>
      <c r="M277" s="267">
        <f t="shared" si="82"/>
        <v>90158</v>
      </c>
      <c r="N277" s="267">
        <f t="shared" si="82"/>
        <v>90158</v>
      </c>
      <c r="O277" s="268">
        <f t="shared" si="82"/>
        <v>90162</v>
      </c>
      <c r="Q277" s="4"/>
      <c r="R277" s="4"/>
    </row>
    <row r="278" spans="1:15" ht="12">
      <c r="A278" s="274"/>
      <c r="B278" s="293" t="s">
        <v>356</v>
      </c>
      <c r="C278" s="103">
        <f>SUM(D278:O278)</f>
        <v>1160800</v>
      </c>
      <c r="D278" s="172">
        <f>SUM(D279:D281)</f>
        <v>90158</v>
      </c>
      <c r="E278" s="172">
        <f aca="true" t="shared" si="83" ref="E278:O278">SUM(E279:E281)</f>
        <v>90158</v>
      </c>
      <c r="F278" s="172">
        <f t="shared" si="83"/>
        <v>169058</v>
      </c>
      <c r="G278" s="172">
        <f t="shared" si="83"/>
        <v>90158</v>
      </c>
      <c r="H278" s="172">
        <f t="shared" si="83"/>
        <v>90158</v>
      </c>
      <c r="I278" s="172">
        <f t="shared" si="83"/>
        <v>90158</v>
      </c>
      <c r="J278" s="172">
        <f t="shared" si="83"/>
        <v>90158</v>
      </c>
      <c r="K278" s="172">
        <f t="shared" si="83"/>
        <v>90158</v>
      </c>
      <c r="L278" s="172">
        <f t="shared" si="83"/>
        <v>90158</v>
      </c>
      <c r="M278" s="172">
        <f t="shared" si="83"/>
        <v>90158</v>
      </c>
      <c r="N278" s="172">
        <f t="shared" si="83"/>
        <v>90158</v>
      </c>
      <c r="O278" s="174">
        <f t="shared" si="83"/>
        <v>90162</v>
      </c>
    </row>
    <row r="279" spans="1:15" ht="12">
      <c r="A279" s="245"/>
      <c r="B279" s="250" t="s">
        <v>384</v>
      </c>
      <c r="C279" s="251">
        <f>SUM(D279:O279)</f>
        <v>1029300</v>
      </c>
      <c r="D279" s="251">
        <v>79200</v>
      </c>
      <c r="E279" s="251">
        <v>79200</v>
      </c>
      <c r="F279" s="251">
        <v>158100</v>
      </c>
      <c r="G279" s="251">
        <v>79200</v>
      </c>
      <c r="H279" s="251">
        <v>79200</v>
      </c>
      <c r="I279" s="251">
        <v>79200</v>
      </c>
      <c r="J279" s="251">
        <v>79200</v>
      </c>
      <c r="K279" s="251">
        <v>79200</v>
      </c>
      <c r="L279" s="251">
        <v>79200</v>
      </c>
      <c r="M279" s="251">
        <v>79200</v>
      </c>
      <c r="N279" s="251">
        <v>79200</v>
      </c>
      <c r="O279" s="262">
        <v>79200</v>
      </c>
    </row>
    <row r="280" spans="1:15" ht="12">
      <c r="A280" s="245"/>
      <c r="B280" s="250" t="s">
        <v>385</v>
      </c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M280" s="251"/>
      <c r="N280" s="251"/>
      <c r="O280" s="262"/>
    </row>
    <row r="281" spans="1:15" ht="12">
      <c r="A281" s="245"/>
      <c r="B281" s="261" t="s">
        <v>357</v>
      </c>
      <c r="C281" s="251">
        <f>SUM(D281:O281)</f>
        <v>131500</v>
      </c>
      <c r="D281" s="251">
        <v>10958</v>
      </c>
      <c r="E281" s="251">
        <v>10958</v>
      </c>
      <c r="F281" s="251">
        <v>10958</v>
      </c>
      <c r="G281" s="251">
        <v>10958</v>
      </c>
      <c r="H281" s="251">
        <v>10958</v>
      </c>
      <c r="I281" s="251">
        <v>10958</v>
      </c>
      <c r="J281" s="251">
        <v>10958</v>
      </c>
      <c r="K281" s="251">
        <v>10958</v>
      </c>
      <c r="L281" s="251">
        <v>10958</v>
      </c>
      <c r="M281" s="251">
        <v>10958</v>
      </c>
      <c r="N281" s="251">
        <v>10958</v>
      </c>
      <c r="O281" s="262">
        <v>10962</v>
      </c>
    </row>
    <row r="282" spans="1:15" ht="12" customHeight="1">
      <c r="A282" s="283"/>
      <c r="B282" s="277" t="s">
        <v>376</v>
      </c>
      <c r="C282" s="251">
        <f>SUM(D282:O282)</f>
        <v>700</v>
      </c>
      <c r="D282" s="186"/>
      <c r="E282" s="186"/>
      <c r="F282" s="186"/>
      <c r="G282" s="186"/>
      <c r="H282" s="186"/>
      <c r="I282" s="186"/>
      <c r="J282" s="186"/>
      <c r="K282" s="186"/>
      <c r="L282" s="186">
        <v>700</v>
      </c>
      <c r="M282" s="186"/>
      <c r="N282" s="186"/>
      <c r="O282" s="188"/>
    </row>
    <row r="283" spans="1:18" s="254" customFormat="1" ht="60" customHeight="1">
      <c r="A283" s="271">
        <v>80140</v>
      </c>
      <c r="B283" s="279" t="s">
        <v>418</v>
      </c>
      <c r="C283" s="267">
        <f>SUM(C284)</f>
        <v>3000000</v>
      </c>
      <c r="D283" s="267">
        <f>SUM(D284)</f>
        <v>233355</v>
      </c>
      <c r="E283" s="267">
        <f aca="true" t="shared" si="84" ref="E283:O283">SUM(E284)</f>
        <v>233355</v>
      </c>
      <c r="F283" s="267">
        <f t="shared" si="84"/>
        <v>433099</v>
      </c>
      <c r="G283" s="267">
        <f t="shared" si="84"/>
        <v>233355</v>
      </c>
      <c r="H283" s="267">
        <f t="shared" si="84"/>
        <v>233355</v>
      </c>
      <c r="I283" s="267">
        <f t="shared" si="84"/>
        <v>233355</v>
      </c>
      <c r="J283" s="267">
        <f t="shared" si="84"/>
        <v>233355</v>
      </c>
      <c r="K283" s="267">
        <f t="shared" si="84"/>
        <v>233355</v>
      </c>
      <c r="L283" s="267">
        <f t="shared" si="84"/>
        <v>233355</v>
      </c>
      <c r="M283" s="267">
        <f t="shared" si="84"/>
        <v>233355</v>
      </c>
      <c r="N283" s="267">
        <f t="shared" si="84"/>
        <v>233355</v>
      </c>
      <c r="O283" s="268">
        <f t="shared" si="84"/>
        <v>233351</v>
      </c>
      <c r="Q283" s="4"/>
      <c r="R283" s="4"/>
    </row>
    <row r="284" spans="1:15" ht="12" customHeight="1">
      <c r="A284" s="245"/>
      <c r="B284" s="259" t="s">
        <v>356</v>
      </c>
      <c r="C284" s="103">
        <f>SUM(D284:O284)</f>
        <v>3000000</v>
      </c>
      <c r="D284" s="103">
        <f>SUM(D285:D287)</f>
        <v>233355</v>
      </c>
      <c r="E284" s="172">
        <f aca="true" t="shared" si="85" ref="E284:O284">SUM(E285:E287)</f>
        <v>233355</v>
      </c>
      <c r="F284" s="172">
        <f t="shared" si="85"/>
        <v>433099</v>
      </c>
      <c r="G284" s="172">
        <f t="shared" si="85"/>
        <v>233355</v>
      </c>
      <c r="H284" s="172">
        <f t="shared" si="85"/>
        <v>233355</v>
      </c>
      <c r="I284" s="172">
        <f t="shared" si="85"/>
        <v>233355</v>
      </c>
      <c r="J284" s="172">
        <f t="shared" si="85"/>
        <v>233355</v>
      </c>
      <c r="K284" s="172">
        <f t="shared" si="85"/>
        <v>233355</v>
      </c>
      <c r="L284" s="172">
        <f t="shared" si="85"/>
        <v>233355</v>
      </c>
      <c r="M284" s="172">
        <f t="shared" si="85"/>
        <v>233355</v>
      </c>
      <c r="N284" s="172">
        <f t="shared" si="85"/>
        <v>233355</v>
      </c>
      <c r="O284" s="174">
        <f t="shared" si="85"/>
        <v>233351</v>
      </c>
    </row>
    <row r="285" spans="1:15" ht="12">
      <c r="A285" s="245"/>
      <c r="B285" s="250" t="s">
        <v>384</v>
      </c>
      <c r="C285" s="251">
        <f>SUM(D285:O285)</f>
        <v>2596600</v>
      </c>
      <c r="D285" s="251">
        <v>199738</v>
      </c>
      <c r="E285" s="251">
        <v>199738</v>
      </c>
      <c r="F285" s="251">
        <v>399482</v>
      </c>
      <c r="G285" s="251">
        <v>199738</v>
      </c>
      <c r="H285" s="251">
        <v>199738</v>
      </c>
      <c r="I285" s="251">
        <v>199738</v>
      </c>
      <c r="J285" s="251">
        <v>199738</v>
      </c>
      <c r="K285" s="251">
        <v>199738</v>
      </c>
      <c r="L285" s="251">
        <v>199738</v>
      </c>
      <c r="M285" s="251">
        <v>199738</v>
      </c>
      <c r="N285" s="251">
        <v>199738</v>
      </c>
      <c r="O285" s="262">
        <v>199738</v>
      </c>
    </row>
    <row r="286" spans="1:15" ht="12">
      <c r="A286" s="245"/>
      <c r="B286" s="250" t="s">
        <v>385</v>
      </c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62"/>
    </row>
    <row r="287" spans="1:16" ht="9.75" customHeight="1">
      <c r="A287" s="245"/>
      <c r="B287" s="261" t="s">
        <v>357</v>
      </c>
      <c r="C287" s="251">
        <f>SUM(D287:O287)</f>
        <v>403400</v>
      </c>
      <c r="D287" s="251">
        <v>33617</v>
      </c>
      <c r="E287" s="251">
        <v>33617</v>
      </c>
      <c r="F287" s="251">
        <v>33617</v>
      </c>
      <c r="G287" s="251">
        <v>33617</v>
      </c>
      <c r="H287" s="251">
        <v>33617</v>
      </c>
      <c r="I287" s="251">
        <v>33617</v>
      </c>
      <c r="J287" s="251">
        <v>33617</v>
      </c>
      <c r="K287" s="251">
        <v>33617</v>
      </c>
      <c r="L287" s="251">
        <v>33617</v>
      </c>
      <c r="M287" s="251">
        <v>33617</v>
      </c>
      <c r="N287" s="251">
        <v>33617</v>
      </c>
      <c r="O287" s="262">
        <v>33613</v>
      </c>
      <c r="P287" s="6"/>
    </row>
    <row r="288" spans="1:15" ht="12">
      <c r="A288" s="283"/>
      <c r="B288" s="277" t="s">
        <v>376</v>
      </c>
      <c r="C288" s="251">
        <f>SUM(D288:O288)</f>
        <v>5000</v>
      </c>
      <c r="D288" s="186"/>
      <c r="E288" s="186"/>
      <c r="F288" s="186"/>
      <c r="G288" s="177"/>
      <c r="H288" s="186"/>
      <c r="I288" s="177"/>
      <c r="J288" s="186">
        <v>2500</v>
      </c>
      <c r="K288" s="186">
        <v>2500</v>
      </c>
      <c r="L288" s="186"/>
      <c r="M288" s="177"/>
      <c r="N288" s="186"/>
      <c r="O288" s="144"/>
    </row>
    <row r="289" spans="1:15" ht="17.25" customHeight="1">
      <c r="A289" s="271">
        <v>80145</v>
      </c>
      <c r="B289" s="279" t="s">
        <v>419</v>
      </c>
      <c r="C289" s="267">
        <f>SUM(C290)</f>
        <v>14000</v>
      </c>
      <c r="D289" s="267"/>
      <c r="E289" s="267">
        <f>SUM(E290)</f>
        <v>2000</v>
      </c>
      <c r="F289" s="267"/>
      <c r="G289" s="267"/>
      <c r="H289" s="267"/>
      <c r="I289" s="267">
        <f aca="true" t="shared" si="86" ref="I289:K290">SUM(I290)</f>
        <v>0</v>
      </c>
      <c r="J289" s="267">
        <f t="shared" si="86"/>
        <v>12000</v>
      </c>
      <c r="K289" s="267">
        <f t="shared" si="86"/>
        <v>0</v>
      </c>
      <c r="L289" s="267"/>
      <c r="M289" s="267"/>
      <c r="N289" s="267"/>
      <c r="O289" s="268"/>
    </row>
    <row r="290" spans="1:15" ht="12">
      <c r="A290" s="274"/>
      <c r="B290" s="293" t="s">
        <v>356</v>
      </c>
      <c r="C290" s="103">
        <f>SUM(D290:O290)</f>
        <v>14000</v>
      </c>
      <c r="D290" s="172"/>
      <c r="E290" s="172">
        <f>SUM(E291)</f>
        <v>2000</v>
      </c>
      <c r="F290" s="172"/>
      <c r="G290" s="172"/>
      <c r="H290" s="172"/>
      <c r="I290" s="172">
        <f t="shared" si="86"/>
        <v>0</v>
      </c>
      <c r="J290" s="172">
        <f t="shared" si="86"/>
        <v>12000</v>
      </c>
      <c r="K290" s="172">
        <f t="shared" si="86"/>
        <v>0</v>
      </c>
      <c r="L290" s="172"/>
      <c r="M290" s="172"/>
      <c r="N290" s="172"/>
      <c r="O290" s="174"/>
    </row>
    <row r="291" spans="1:15" ht="12">
      <c r="A291" s="245"/>
      <c r="B291" s="261" t="s">
        <v>357</v>
      </c>
      <c r="C291" s="251">
        <f>SUM(D291:O291)</f>
        <v>14000</v>
      </c>
      <c r="D291" s="251"/>
      <c r="E291" s="251">
        <v>2000</v>
      </c>
      <c r="F291" s="251"/>
      <c r="G291" s="103"/>
      <c r="H291" s="251"/>
      <c r="I291" s="103">
        <v>0</v>
      </c>
      <c r="J291" s="251">
        <f>7000+5000</f>
        <v>12000</v>
      </c>
      <c r="K291" s="251">
        <v>0</v>
      </c>
      <c r="L291" s="251"/>
      <c r="M291" s="103"/>
      <c r="N291" s="251"/>
      <c r="O291" s="105"/>
    </row>
    <row r="292" spans="1:15" ht="23.25" customHeight="1">
      <c r="A292" s="271">
        <v>80146</v>
      </c>
      <c r="B292" s="279" t="s">
        <v>420</v>
      </c>
      <c r="C292" s="267">
        <f>SUM(C293)</f>
        <v>497100</v>
      </c>
      <c r="D292" s="267">
        <f>SUM(D293)</f>
        <v>31254</v>
      </c>
      <c r="E292" s="267">
        <f aca="true" t="shared" si="87" ref="E292:O292">SUM(E293)</f>
        <v>31254</v>
      </c>
      <c r="F292" s="267">
        <f t="shared" si="87"/>
        <v>43202</v>
      </c>
      <c r="G292" s="267">
        <f t="shared" si="87"/>
        <v>33454</v>
      </c>
      <c r="H292" s="267">
        <f t="shared" si="87"/>
        <v>31254</v>
      </c>
      <c r="I292" s="267">
        <f t="shared" si="87"/>
        <v>31254</v>
      </c>
      <c r="J292" s="267">
        <f t="shared" si="87"/>
        <v>31254</v>
      </c>
      <c r="K292" s="267">
        <f t="shared" si="87"/>
        <v>31254</v>
      </c>
      <c r="L292" s="267">
        <f t="shared" si="87"/>
        <v>139754</v>
      </c>
      <c r="M292" s="267">
        <f t="shared" si="87"/>
        <v>31054</v>
      </c>
      <c r="N292" s="267">
        <f t="shared" si="87"/>
        <v>31054</v>
      </c>
      <c r="O292" s="268">
        <f t="shared" si="87"/>
        <v>31058</v>
      </c>
    </row>
    <row r="293" spans="1:15" ht="12">
      <c r="A293" s="274"/>
      <c r="B293" s="293" t="s">
        <v>356</v>
      </c>
      <c r="C293" s="172">
        <f>SUM(D293:O293)</f>
        <v>497100</v>
      </c>
      <c r="D293" s="172">
        <f>SUM(D294:D297)</f>
        <v>31254</v>
      </c>
      <c r="E293" s="172">
        <f aca="true" t="shared" si="88" ref="E293:O293">SUM(E294:E297)</f>
        <v>31254</v>
      </c>
      <c r="F293" s="172">
        <f t="shared" si="88"/>
        <v>43202</v>
      </c>
      <c r="G293" s="172">
        <f t="shared" si="88"/>
        <v>33454</v>
      </c>
      <c r="H293" s="172">
        <f t="shared" si="88"/>
        <v>31254</v>
      </c>
      <c r="I293" s="172">
        <f t="shared" si="88"/>
        <v>31254</v>
      </c>
      <c r="J293" s="172">
        <f t="shared" si="88"/>
        <v>31254</v>
      </c>
      <c r="K293" s="172">
        <f t="shared" si="88"/>
        <v>31254</v>
      </c>
      <c r="L293" s="172">
        <f t="shared" si="88"/>
        <v>139754</v>
      </c>
      <c r="M293" s="172">
        <f t="shared" si="88"/>
        <v>31054</v>
      </c>
      <c r="N293" s="172">
        <f t="shared" si="88"/>
        <v>31054</v>
      </c>
      <c r="O293" s="174">
        <f t="shared" si="88"/>
        <v>31058</v>
      </c>
    </row>
    <row r="294" spans="1:15" ht="12">
      <c r="A294" s="245"/>
      <c r="B294" s="250" t="s">
        <v>384</v>
      </c>
      <c r="C294" s="251">
        <f>SUM(D294:O294)</f>
        <v>222300</v>
      </c>
      <c r="D294" s="251">
        <f>8646+8700</f>
        <v>17346</v>
      </c>
      <c r="E294" s="251">
        <f aca="true" t="shared" si="89" ref="E294:O294">8646+8700</f>
        <v>17346</v>
      </c>
      <c r="F294" s="251">
        <f>17294+12000</f>
        <v>29294</v>
      </c>
      <c r="G294" s="251">
        <f>8646+10900</f>
        <v>19546</v>
      </c>
      <c r="H294" s="251">
        <f t="shared" si="89"/>
        <v>17346</v>
      </c>
      <c r="I294" s="251">
        <f t="shared" si="89"/>
        <v>17346</v>
      </c>
      <c r="J294" s="251">
        <f t="shared" si="89"/>
        <v>17346</v>
      </c>
      <c r="K294" s="251">
        <f t="shared" si="89"/>
        <v>17346</v>
      </c>
      <c r="L294" s="251">
        <f t="shared" si="89"/>
        <v>17346</v>
      </c>
      <c r="M294" s="251">
        <f t="shared" si="89"/>
        <v>17346</v>
      </c>
      <c r="N294" s="251">
        <f t="shared" si="89"/>
        <v>17346</v>
      </c>
      <c r="O294" s="262">
        <f t="shared" si="89"/>
        <v>17346</v>
      </c>
    </row>
    <row r="295" spans="1:15" ht="12">
      <c r="A295" s="245"/>
      <c r="B295" s="250" t="s">
        <v>385</v>
      </c>
      <c r="C295" s="251"/>
      <c r="D295" s="251"/>
      <c r="E295" s="251"/>
      <c r="F295" s="251"/>
      <c r="G295" s="251"/>
      <c r="H295" s="251"/>
      <c r="I295" s="251"/>
      <c r="J295" s="251"/>
      <c r="K295" s="251"/>
      <c r="L295" s="251"/>
      <c r="M295" s="251"/>
      <c r="N295" s="251"/>
      <c r="O295" s="262"/>
    </row>
    <row r="296" spans="1:15" ht="12">
      <c r="A296" s="245"/>
      <c r="B296" s="333" t="s">
        <v>373</v>
      </c>
      <c r="C296" s="251">
        <f>SUM(D296:O296)</f>
        <v>44000</v>
      </c>
      <c r="D296" s="251">
        <v>3700</v>
      </c>
      <c r="E296" s="251">
        <v>3700</v>
      </c>
      <c r="F296" s="251">
        <v>3700</v>
      </c>
      <c r="G296" s="251">
        <v>3700</v>
      </c>
      <c r="H296" s="251">
        <v>3700</v>
      </c>
      <c r="I296" s="251">
        <v>3700</v>
      </c>
      <c r="J296" s="251">
        <v>3700</v>
      </c>
      <c r="K296" s="251">
        <v>3700</v>
      </c>
      <c r="L296" s="251">
        <v>3600</v>
      </c>
      <c r="M296" s="251">
        <v>3600</v>
      </c>
      <c r="N296" s="251">
        <v>3600</v>
      </c>
      <c r="O296" s="262">
        <v>3600</v>
      </c>
    </row>
    <row r="297" spans="1:15" ht="12">
      <c r="A297" s="245"/>
      <c r="B297" s="261" t="s">
        <v>357</v>
      </c>
      <c r="C297" s="251">
        <f>SUM(D297:O297)</f>
        <v>230800</v>
      </c>
      <c r="D297" s="251">
        <f>408+9800</f>
        <v>10208</v>
      </c>
      <c r="E297" s="251">
        <f aca="true" t="shared" si="90" ref="E297:K297">408+9800</f>
        <v>10208</v>
      </c>
      <c r="F297" s="251">
        <f t="shared" si="90"/>
        <v>10208</v>
      </c>
      <c r="G297" s="251">
        <f t="shared" si="90"/>
        <v>10208</v>
      </c>
      <c r="H297" s="251">
        <f t="shared" si="90"/>
        <v>10208</v>
      </c>
      <c r="I297" s="251">
        <f t="shared" si="90"/>
        <v>10208</v>
      </c>
      <c r="J297" s="251">
        <f t="shared" si="90"/>
        <v>10208</v>
      </c>
      <c r="K297" s="251">
        <f t="shared" si="90"/>
        <v>10208</v>
      </c>
      <c r="L297" s="251">
        <f>109008+9800</f>
        <v>118808</v>
      </c>
      <c r="M297" s="251">
        <f>408+9700</f>
        <v>10108</v>
      </c>
      <c r="N297" s="251">
        <f>408+9700</f>
        <v>10108</v>
      </c>
      <c r="O297" s="262">
        <f>412+9700</f>
        <v>10112</v>
      </c>
    </row>
    <row r="298" spans="1:15" ht="15" customHeight="1">
      <c r="A298" s="271">
        <v>80195</v>
      </c>
      <c r="B298" s="279" t="s">
        <v>86</v>
      </c>
      <c r="C298" s="267">
        <f>SUM(C299)</f>
        <v>5344317</v>
      </c>
      <c r="D298" s="267">
        <f>SUM(D299)</f>
        <v>425041</v>
      </c>
      <c r="E298" s="267">
        <f aca="true" t="shared" si="91" ref="E298:O298">SUM(E299)</f>
        <v>425024</v>
      </c>
      <c r="F298" s="267">
        <f t="shared" si="91"/>
        <v>451924</v>
      </c>
      <c r="G298" s="267">
        <f t="shared" si="91"/>
        <v>442824</v>
      </c>
      <c r="H298" s="267">
        <f t="shared" si="91"/>
        <v>425024</v>
      </c>
      <c r="I298" s="267">
        <f t="shared" si="91"/>
        <v>424924</v>
      </c>
      <c r="J298" s="267">
        <f t="shared" si="91"/>
        <v>424924</v>
      </c>
      <c r="K298" s="267">
        <f t="shared" si="91"/>
        <v>424924</v>
      </c>
      <c r="L298" s="267">
        <f t="shared" si="91"/>
        <v>624924</v>
      </c>
      <c r="M298" s="267">
        <f t="shared" si="91"/>
        <v>424924</v>
      </c>
      <c r="N298" s="267">
        <f t="shared" si="91"/>
        <v>424924</v>
      </c>
      <c r="O298" s="268">
        <f t="shared" si="91"/>
        <v>424936</v>
      </c>
    </row>
    <row r="299" spans="1:15" ht="12" customHeight="1">
      <c r="A299" s="274"/>
      <c r="B299" s="293" t="s">
        <v>356</v>
      </c>
      <c r="C299" s="103">
        <f>SUM(D299:O299)</f>
        <v>5344317</v>
      </c>
      <c r="D299" s="172">
        <f>SUM(D300:D303)</f>
        <v>425041</v>
      </c>
      <c r="E299" s="172">
        <f aca="true" t="shared" si="92" ref="E299:O299">SUM(E300:E303)</f>
        <v>425024</v>
      </c>
      <c r="F299" s="172">
        <f t="shared" si="92"/>
        <v>451924</v>
      </c>
      <c r="G299" s="172">
        <f t="shared" si="92"/>
        <v>442824</v>
      </c>
      <c r="H299" s="172">
        <f t="shared" si="92"/>
        <v>425024</v>
      </c>
      <c r="I299" s="172">
        <f t="shared" si="92"/>
        <v>424924</v>
      </c>
      <c r="J299" s="172">
        <f t="shared" si="92"/>
        <v>424924</v>
      </c>
      <c r="K299" s="172">
        <f t="shared" si="92"/>
        <v>424924</v>
      </c>
      <c r="L299" s="172">
        <f t="shared" si="92"/>
        <v>624924</v>
      </c>
      <c r="M299" s="172">
        <f t="shared" si="92"/>
        <v>424924</v>
      </c>
      <c r="N299" s="172">
        <f t="shared" si="92"/>
        <v>424924</v>
      </c>
      <c r="O299" s="174">
        <f t="shared" si="92"/>
        <v>424936</v>
      </c>
    </row>
    <row r="300" spans="1:15" ht="12" customHeight="1">
      <c r="A300" s="245"/>
      <c r="B300" s="250" t="s">
        <v>384</v>
      </c>
      <c r="C300" s="251">
        <f>SUM(D300:O300)</f>
        <v>1804317</v>
      </c>
      <c r="D300" s="251">
        <f>20125+109917</f>
        <v>130042</v>
      </c>
      <c r="E300" s="251">
        <f>109900+20125</f>
        <v>130025</v>
      </c>
      <c r="F300" s="251">
        <f>20125+136800</f>
        <v>156925</v>
      </c>
      <c r="G300" s="251">
        <f>20125+127700</f>
        <v>147825</v>
      </c>
      <c r="H300" s="251">
        <f>20125+109900</f>
        <v>130025</v>
      </c>
      <c r="I300" s="251">
        <f>20125+109800</f>
        <v>129925</v>
      </c>
      <c r="J300" s="251">
        <f>20125+109800</f>
        <v>129925</v>
      </c>
      <c r="K300" s="251">
        <f>20125+109800</f>
        <v>129925</v>
      </c>
      <c r="L300" s="251">
        <f>220125+109800</f>
        <v>329925</v>
      </c>
      <c r="M300" s="251">
        <f>20125+109800</f>
        <v>129925</v>
      </c>
      <c r="N300" s="251">
        <f>20125+109800</f>
        <v>129925</v>
      </c>
      <c r="O300" s="262">
        <f>20125+109800</f>
        <v>129925</v>
      </c>
    </row>
    <row r="301" spans="1:15" ht="12" customHeight="1">
      <c r="A301" s="245"/>
      <c r="B301" s="250" t="s">
        <v>385</v>
      </c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M301" s="251"/>
      <c r="N301" s="251"/>
      <c r="O301" s="262"/>
    </row>
    <row r="302" spans="1:15" ht="12" customHeight="1">
      <c r="A302" s="245"/>
      <c r="B302" s="261" t="s">
        <v>373</v>
      </c>
      <c r="C302" s="251">
        <f>SUM(D302:O302)</f>
        <v>58000</v>
      </c>
      <c r="D302" s="251">
        <f>2500+2333</f>
        <v>4833</v>
      </c>
      <c r="E302" s="251">
        <f aca="true" t="shared" si="93" ref="E302:N302">2500+2333</f>
        <v>4833</v>
      </c>
      <c r="F302" s="251">
        <f t="shared" si="93"/>
        <v>4833</v>
      </c>
      <c r="G302" s="251">
        <f t="shared" si="93"/>
        <v>4833</v>
      </c>
      <c r="H302" s="251">
        <f t="shared" si="93"/>
        <v>4833</v>
      </c>
      <c r="I302" s="251">
        <f t="shared" si="93"/>
        <v>4833</v>
      </c>
      <c r="J302" s="251">
        <f t="shared" si="93"/>
        <v>4833</v>
      </c>
      <c r="K302" s="251">
        <f t="shared" si="93"/>
        <v>4833</v>
      </c>
      <c r="L302" s="251">
        <f t="shared" si="93"/>
        <v>4833</v>
      </c>
      <c r="M302" s="251">
        <f t="shared" si="93"/>
        <v>4833</v>
      </c>
      <c r="N302" s="251">
        <f t="shared" si="93"/>
        <v>4833</v>
      </c>
      <c r="O302" s="262">
        <f>2500+2337</f>
        <v>4837</v>
      </c>
    </row>
    <row r="303" spans="1:15" ht="12" customHeight="1">
      <c r="A303" s="245"/>
      <c r="B303" s="261" t="s">
        <v>357</v>
      </c>
      <c r="C303" s="251">
        <f>SUM(D303:O303)</f>
        <v>3482000</v>
      </c>
      <c r="D303" s="251">
        <f aca="true" t="shared" si="94" ref="D303:N303">138500+5308+146358</f>
        <v>290166</v>
      </c>
      <c r="E303" s="251">
        <f t="shared" si="94"/>
        <v>290166</v>
      </c>
      <c r="F303" s="251">
        <f t="shared" si="94"/>
        <v>290166</v>
      </c>
      <c r="G303" s="251">
        <f t="shared" si="94"/>
        <v>290166</v>
      </c>
      <c r="H303" s="251">
        <f t="shared" si="94"/>
        <v>290166</v>
      </c>
      <c r="I303" s="251">
        <f t="shared" si="94"/>
        <v>290166</v>
      </c>
      <c r="J303" s="251">
        <f t="shared" si="94"/>
        <v>290166</v>
      </c>
      <c r="K303" s="251">
        <f t="shared" si="94"/>
        <v>290166</v>
      </c>
      <c r="L303" s="251">
        <f t="shared" si="94"/>
        <v>290166</v>
      </c>
      <c r="M303" s="251">
        <f t="shared" si="94"/>
        <v>290166</v>
      </c>
      <c r="N303" s="251">
        <f t="shared" si="94"/>
        <v>290166</v>
      </c>
      <c r="O303" s="262">
        <f>138500+5308+146366</f>
        <v>290174</v>
      </c>
    </row>
    <row r="304" spans="1:15" ht="12" customHeight="1">
      <c r="A304" s="283"/>
      <c r="B304" s="291" t="s">
        <v>376</v>
      </c>
      <c r="C304" s="186">
        <f>SUM(D304:O304)</f>
        <v>1226000</v>
      </c>
      <c r="D304" s="186"/>
      <c r="E304" s="186">
        <v>20000</v>
      </c>
      <c r="F304" s="186">
        <v>49000</v>
      </c>
      <c r="G304" s="177">
        <v>49000</v>
      </c>
      <c r="H304" s="186">
        <v>88000</v>
      </c>
      <c r="I304" s="177">
        <v>100000</v>
      </c>
      <c r="J304" s="186">
        <v>110000</v>
      </c>
      <c r="K304" s="186">
        <v>200000</v>
      </c>
      <c r="L304" s="186">
        <v>230000</v>
      </c>
      <c r="M304" s="177">
        <v>230000</v>
      </c>
      <c r="N304" s="186">
        <v>100000</v>
      </c>
      <c r="O304" s="144">
        <v>50000</v>
      </c>
    </row>
    <row r="305" spans="1:15" ht="25.5" customHeight="1" thickBot="1">
      <c r="A305" s="334">
        <v>803</v>
      </c>
      <c r="B305" s="309" t="s">
        <v>421</v>
      </c>
      <c r="C305" s="310">
        <f>SUM(C306+C309)</f>
        <v>78500</v>
      </c>
      <c r="D305" s="310">
        <f>SUM(D306+D309)</f>
        <v>6041</v>
      </c>
      <c r="E305" s="310">
        <f aca="true" t="shared" si="95" ref="E305:O305">SUM(E306+E309)</f>
        <v>6041</v>
      </c>
      <c r="F305" s="310">
        <f t="shared" si="95"/>
        <v>6041</v>
      </c>
      <c r="G305" s="310">
        <f t="shared" si="95"/>
        <v>6041</v>
      </c>
      <c r="H305" s="310">
        <f t="shared" si="95"/>
        <v>6041</v>
      </c>
      <c r="I305" s="310">
        <f t="shared" si="95"/>
        <v>6041</v>
      </c>
      <c r="J305" s="310">
        <f t="shared" si="95"/>
        <v>6041</v>
      </c>
      <c r="K305" s="310">
        <f t="shared" si="95"/>
        <v>12041</v>
      </c>
      <c r="L305" s="310">
        <f t="shared" si="95"/>
        <v>6041</v>
      </c>
      <c r="M305" s="310">
        <f t="shared" si="95"/>
        <v>6041</v>
      </c>
      <c r="N305" s="310">
        <f t="shared" si="95"/>
        <v>6041</v>
      </c>
      <c r="O305" s="311">
        <f t="shared" si="95"/>
        <v>6049</v>
      </c>
    </row>
    <row r="306" spans="1:15" ht="22.5" customHeight="1" thickTop="1">
      <c r="A306" s="271">
        <v>80309</v>
      </c>
      <c r="B306" s="279" t="s">
        <v>422</v>
      </c>
      <c r="C306" s="267">
        <f>SUM(C307)</f>
        <v>72500</v>
      </c>
      <c r="D306" s="267">
        <f>SUM(D307)</f>
        <v>6041</v>
      </c>
      <c r="E306" s="152">
        <f aca="true" t="shared" si="96" ref="E306:O306">SUM(E307)</f>
        <v>6041</v>
      </c>
      <c r="F306" s="152">
        <f t="shared" si="96"/>
        <v>6041</v>
      </c>
      <c r="G306" s="152">
        <f t="shared" si="96"/>
        <v>6041</v>
      </c>
      <c r="H306" s="152">
        <f t="shared" si="96"/>
        <v>6041</v>
      </c>
      <c r="I306" s="152">
        <f t="shared" si="96"/>
        <v>6041</v>
      </c>
      <c r="J306" s="152">
        <f t="shared" si="96"/>
        <v>6041</v>
      </c>
      <c r="K306" s="152">
        <f t="shared" si="96"/>
        <v>6041</v>
      </c>
      <c r="L306" s="152">
        <f t="shared" si="96"/>
        <v>6041</v>
      </c>
      <c r="M306" s="152">
        <f t="shared" si="96"/>
        <v>6041</v>
      </c>
      <c r="N306" s="152">
        <f t="shared" si="96"/>
        <v>6041</v>
      </c>
      <c r="O306" s="154">
        <f t="shared" si="96"/>
        <v>6049</v>
      </c>
    </row>
    <row r="307" spans="1:15" ht="12">
      <c r="A307" s="274"/>
      <c r="B307" s="293" t="s">
        <v>356</v>
      </c>
      <c r="C307" s="172">
        <f>SUM(D307:O307)</f>
        <v>72500</v>
      </c>
      <c r="D307" s="172">
        <f>D308</f>
        <v>6041</v>
      </c>
      <c r="E307" s="172">
        <f aca="true" t="shared" si="97" ref="E307:O307">E308</f>
        <v>6041</v>
      </c>
      <c r="F307" s="172">
        <f t="shared" si="97"/>
        <v>6041</v>
      </c>
      <c r="G307" s="172">
        <f t="shared" si="97"/>
        <v>6041</v>
      </c>
      <c r="H307" s="172">
        <f t="shared" si="97"/>
        <v>6041</v>
      </c>
      <c r="I307" s="172">
        <f t="shared" si="97"/>
        <v>6041</v>
      </c>
      <c r="J307" s="172">
        <f t="shared" si="97"/>
        <v>6041</v>
      </c>
      <c r="K307" s="172">
        <f t="shared" si="97"/>
        <v>6041</v>
      </c>
      <c r="L307" s="172">
        <f t="shared" si="97"/>
        <v>6041</v>
      </c>
      <c r="M307" s="172">
        <f t="shared" si="97"/>
        <v>6041</v>
      </c>
      <c r="N307" s="172">
        <f t="shared" si="97"/>
        <v>6041</v>
      </c>
      <c r="O307" s="174">
        <f t="shared" si="97"/>
        <v>6049</v>
      </c>
    </row>
    <row r="308" spans="1:15" ht="12">
      <c r="A308" s="245"/>
      <c r="B308" s="261" t="s">
        <v>357</v>
      </c>
      <c r="C308" s="251">
        <f>SUM(D308:O308)</f>
        <v>72500</v>
      </c>
      <c r="D308" s="251">
        <v>6041</v>
      </c>
      <c r="E308" s="251">
        <v>6041</v>
      </c>
      <c r="F308" s="251">
        <v>6041</v>
      </c>
      <c r="G308" s="251">
        <v>6041</v>
      </c>
      <c r="H308" s="251">
        <v>6041</v>
      </c>
      <c r="I308" s="251">
        <v>6041</v>
      </c>
      <c r="J308" s="251">
        <v>6041</v>
      </c>
      <c r="K308" s="251">
        <v>6041</v>
      </c>
      <c r="L308" s="251">
        <v>6041</v>
      </c>
      <c r="M308" s="251">
        <v>6041</v>
      </c>
      <c r="N308" s="251">
        <v>6041</v>
      </c>
      <c r="O308" s="262">
        <v>6049</v>
      </c>
    </row>
    <row r="309" spans="1:15" ht="13.5" customHeight="1">
      <c r="A309" s="271">
        <v>80395</v>
      </c>
      <c r="B309" s="279" t="s">
        <v>86</v>
      </c>
      <c r="C309" s="267">
        <f>SUM(C310)</f>
        <v>6000</v>
      </c>
      <c r="D309" s="267"/>
      <c r="E309" s="267"/>
      <c r="F309" s="267"/>
      <c r="G309" s="267"/>
      <c r="H309" s="267"/>
      <c r="I309" s="267"/>
      <c r="J309" s="267"/>
      <c r="K309" s="267">
        <f>SUM(K310)</f>
        <v>6000</v>
      </c>
      <c r="L309" s="267"/>
      <c r="M309" s="267"/>
      <c r="N309" s="267"/>
      <c r="O309" s="268"/>
    </row>
    <row r="310" spans="1:15" ht="12">
      <c r="A310" s="245"/>
      <c r="B310" s="259" t="s">
        <v>356</v>
      </c>
      <c r="C310" s="103">
        <f>SUM(D310:O310)</f>
        <v>6000</v>
      </c>
      <c r="D310" s="103"/>
      <c r="E310" s="172"/>
      <c r="F310" s="172"/>
      <c r="G310" s="172"/>
      <c r="H310" s="172"/>
      <c r="I310" s="172"/>
      <c r="J310" s="172"/>
      <c r="K310" s="172">
        <f>K311</f>
        <v>6000</v>
      </c>
      <c r="L310" s="172"/>
      <c r="M310" s="172"/>
      <c r="N310" s="172"/>
      <c r="O310" s="174"/>
    </row>
    <row r="311" spans="1:15" ht="12.75" thickBot="1">
      <c r="A311" s="245"/>
      <c r="B311" s="261" t="s">
        <v>373</v>
      </c>
      <c r="C311" s="251">
        <f>SUM(D311:O311)</f>
        <v>6000</v>
      </c>
      <c r="D311" s="251"/>
      <c r="E311" s="251"/>
      <c r="F311" s="251"/>
      <c r="G311" s="103"/>
      <c r="H311" s="251"/>
      <c r="I311" s="103"/>
      <c r="J311" s="251"/>
      <c r="K311" s="251">
        <v>6000</v>
      </c>
      <c r="L311" s="251"/>
      <c r="M311" s="103"/>
      <c r="N311" s="251"/>
      <c r="O311" s="105"/>
    </row>
    <row r="312" spans="1:18" s="244" customFormat="1" ht="18" customHeight="1" thickBot="1" thickTop="1">
      <c r="A312" s="270">
        <v>851</v>
      </c>
      <c r="B312" s="243" t="s">
        <v>255</v>
      </c>
      <c r="C312" s="147">
        <f>SUM(C324+C328+C332+C347+C341+C313+C338)</f>
        <v>1875700</v>
      </c>
      <c r="D312" s="147">
        <f>SUM(D324+D328+D332+D347+D341+D313+D338)</f>
        <v>83641</v>
      </c>
      <c r="E312" s="147">
        <f aca="true" t="shared" si="98" ref="E312:O312">SUM(E324+E328+E332+E347+E341+E313+E338)</f>
        <v>92941</v>
      </c>
      <c r="F312" s="147">
        <f t="shared" si="98"/>
        <v>153391</v>
      </c>
      <c r="G312" s="147">
        <f t="shared" si="98"/>
        <v>246941</v>
      </c>
      <c r="H312" s="147">
        <f t="shared" si="98"/>
        <v>143941</v>
      </c>
      <c r="I312" s="147">
        <f t="shared" si="98"/>
        <v>104191</v>
      </c>
      <c r="J312" s="147">
        <f t="shared" si="98"/>
        <v>336141</v>
      </c>
      <c r="K312" s="147">
        <f t="shared" si="98"/>
        <v>86441</v>
      </c>
      <c r="L312" s="147">
        <f t="shared" si="98"/>
        <v>229891</v>
      </c>
      <c r="M312" s="147">
        <f t="shared" si="98"/>
        <v>211141</v>
      </c>
      <c r="N312" s="147">
        <f t="shared" si="98"/>
        <v>83641</v>
      </c>
      <c r="O312" s="149">
        <f t="shared" si="98"/>
        <v>103399</v>
      </c>
      <c r="Q312" s="4"/>
      <c r="R312" s="4"/>
    </row>
    <row r="313" spans="1:18" s="258" customFormat="1" ht="24.75" customHeight="1" thickTop="1">
      <c r="A313" s="271">
        <v>85149</v>
      </c>
      <c r="B313" s="279" t="s">
        <v>423</v>
      </c>
      <c r="C313" s="267">
        <f>SUM(C314)</f>
        <v>27000</v>
      </c>
      <c r="D313" s="267"/>
      <c r="E313" s="152"/>
      <c r="F313" s="152">
        <f>SUM(F314)</f>
        <v>24000</v>
      </c>
      <c r="G313" s="152">
        <f>SUM(G314)</f>
        <v>3000</v>
      </c>
      <c r="H313" s="152"/>
      <c r="I313" s="152"/>
      <c r="J313" s="152"/>
      <c r="K313" s="152"/>
      <c r="L313" s="152"/>
      <c r="M313" s="152"/>
      <c r="N313" s="152"/>
      <c r="O313" s="154"/>
      <c r="Q313" s="4"/>
      <c r="R313" s="4"/>
    </row>
    <row r="314" spans="1:15" ht="12">
      <c r="A314" s="245"/>
      <c r="B314" s="259" t="s">
        <v>356</v>
      </c>
      <c r="C314" s="103">
        <f>SUM(D314:O314)</f>
        <v>27000</v>
      </c>
      <c r="D314" s="103"/>
      <c r="E314" s="172"/>
      <c r="F314" s="172">
        <f>SUM(F315:F316)</f>
        <v>24000</v>
      </c>
      <c r="G314" s="172">
        <f>SUM(G315:G316)</f>
        <v>3000</v>
      </c>
      <c r="H314" s="172"/>
      <c r="I314" s="172"/>
      <c r="J314" s="172"/>
      <c r="K314" s="172"/>
      <c r="L314" s="172"/>
      <c r="M314" s="172"/>
      <c r="N314" s="172"/>
      <c r="O314" s="174"/>
    </row>
    <row r="315" spans="1:15" ht="12">
      <c r="A315" s="245"/>
      <c r="B315" s="261" t="s">
        <v>373</v>
      </c>
      <c r="C315" s="251">
        <f>SUM(D315:O315)</f>
        <v>24000</v>
      </c>
      <c r="D315" s="251"/>
      <c r="E315" s="251"/>
      <c r="F315" s="251">
        <v>24000</v>
      </c>
      <c r="G315" s="103"/>
      <c r="H315" s="251"/>
      <c r="I315" s="103"/>
      <c r="J315" s="251"/>
      <c r="K315" s="251"/>
      <c r="L315" s="251"/>
      <c r="M315" s="103"/>
      <c r="N315" s="251"/>
      <c r="O315" s="105"/>
    </row>
    <row r="316" spans="1:15" ht="12">
      <c r="A316" s="245"/>
      <c r="B316" s="261" t="s">
        <v>357</v>
      </c>
      <c r="C316" s="251">
        <f>SUM(D316:O316)</f>
        <v>3000</v>
      </c>
      <c r="D316" s="251"/>
      <c r="E316" s="251"/>
      <c r="F316" s="251"/>
      <c r="G316" s="103">
        <v>3000</v>
      </c>
      <c r="H316" s="251"/>
      <c r="I316" s="103"/>
      <c r="J316" s="251"/>
      <c r="K316" s="251"/>
      <c r="L316" s="251"/>
      <c r="M316" s="103"/>
      <c r="N316" s="251"/>
      <c r="O316" s="105"/>
    </row>
    <row r="317" spans="1:15" ht="12" hidden="1">
      <c r="A317" s="271">
        <v>85132</v>
      </c>
      <c r="B317" s="279" t="s">
        <v>424</v>
      </c>
      <c r="C317" s="267">
        <f>SUM(C318+C322)</f>
        <v>0</v>
      </c>
      <c r="D317" s="267"/>
      <c r="E317" s="267">
        <f>SUM(E318+E322)</f>
        <v>0</v>
      </c>
      <c r="F317" s="267"/>
      <c r="G317" s="267"/>
      <c r="H317" s="267"/>
      <c r="I317" s="267">
        <f>SUM(I318+I322)</f>
        <v>0</v>
      </c>
      <c r="J317" s="267"/>
      <c r="K317" s="267">
        <f>SUM(K318+K322)</f>
        <v>0</v>
      </c>
      <c r="L317" s="267"/>
      <c r="M317" s="267"/>
      <c r="N317" s="267"/>
      <c r="O317" s="268">
        <f>SUM(O318+O322)</f>
        <v>0</v>
      </c>
    </row>
    <row r="318" spans="1:15" ht="12.75" hidden="1">
      <c r="A318" s="245"/>
      <c r="B318" s="259" t="s">
        <v>356</v>
      </c>
      <c r="C318" s="247">
        <f>SUM(C319:C321)</f>
        <v>0</v>
      </c>
      <c r="D318" s="247"/>
      <c r="E318" s="247">
        <f>SUM(E319:E321)</f>
        <v>0</v>
      </c>
      <c r="F318" s="247"/>
      <c r="G318" s="247"/>
      <c r="H318" s="247"/>
      <c r="I318" s="247">
        <f>SUM(I319:I321)</f>
        <v>0</v>
      </c>
      <c r="J318" s="247"/>
      <c r="K318" s="247">
        <f>SUM(K319:K321)</f>
        <v>0</v>
      </c>
      <c r="L318" s="247"/>
      <c r="M318" s="247"/>
      <c r="N318" s="247"/>
      <c r="O318" s="248">
        <f>SUM(O319:O321)</f>
        <v>0</v>
      </c>
    </row>
    <row r="319" spans="1:18" s="254" customFormat="1" ht="12.75" hidden="1">
      <c r="A319" s="249"/>
      <c r="B319" s="250" t="s">
        <v>384</v>
      </c>
      <c r="C319" s="251">
        <f>SUM(D319:E319)</f>
        <v>0</v>
      </c>
      <c r="D319" s="251"/>
      <c r="E319" s="251">
        <f>G319+I319</f>
        <v>0</v>
      </c>
      <c r="F319" s="252"/>
      <c r="G319" s="252"/>
      <c r="H319" s="252"/>
      <c r="I319" s="252">
        <v>0</v>
      </c>
      <c r="J319" s="251"/>
      <c r="K319" s="251">
        <f>M319+O319</f>
        <v>0</v>
      </c>
      <c r="L319" s="252"/>
      <c r="M319" s="252"/>
      <c r="N319" s="252"/>
      <c r="O319" s="253">
        <v>0</v>
      </c>
      <c r="Q319" s="4"/>
      <c r="R319" s="4"/>
    </row>
    <row r="320" spans="1:18" s="254" customFormat="1" ht="12.75" hidden="1">
      <c r="A320" s="249"/>
      <c r="B320" s="250" t="s">
        <v>385</v>
      </c>
      <c r="C320" s="251"/>
      <c r="D320" s="251"/>
      <c r="E320" s="251"/>
      <c r="F320" s="252"/>
      <c r="G320" s="252"/>
      <c r="H320" s="252"/>
      <c r="I320" s="252"/>
      <c r="J320" s="251"/>
      <c r="K320" s="251"/>
      <c r="L320" s="252"/>
      <c r="M320" s="252"/>
      <c r="N320" s="252"/>
      <c r="O320" s="253"/>
      <c r="Q320" s="4"/>
      <c r="R320" s="4"/>
    </row>
    <row r="321" spans="1:15" ht="12.75" hidden="1">
      <c r="A321" s="245"/>
      <c r="B321" s="261" t="s">
        <v>357</v>
      </c>
      <c r="C321" s="251">
        <f>SUM(D321:E321)</f>
        <v>0</v>
      </c>
      <c r="D321" s="251"/>
      <c r="E321" s="251">
        <f>G321+I321</f>
        <v>0</v>
      </c>
      <c r="F321" s="252"/>
      <c r="G321" s="247"/>
      <c r="H321" s="252"/>
      <c r="I321" s="252">
        <v>0</v>
      </c>
      <c r="J321" s="251"/>
      <c r="K321" s="251">
        <f>M321+O321</f>
        <v>0</v>
      </c>
      <c r="L321" s="252"/>
      <c r="M321" s="247"/>
      <c r="N321" s="252"/>
      <c r="O321" s="253">
        <v>0</v>
      </c>
    </row>
    <row r="322" spans="1:15" ht="12.75" hidden="1">
      <c r="A322" s="245"/>
      <c r="B322" s="246" t="s">
        <v>407</v>
      </c>
      <c r="C322" s="103">
        <f>SUM(C323)</f>
        <v>0</v>
      </c>
      <c r="D322" s="103"/>
      <c r="E322" s="103">
        <f>G322+I322</f>
        <v>0</v>
      </c>
      <c r="F322" s="247"/>
      <c r="G322" s="247"/>
      <c r="H322" s="247"/>
      <c r="I322" s="247">
        <f>SUM(I323)</f>
        <v>0</v>
      </c>
      <c r="J322" s="103"/>
      <c r="K322" s="103">
        <f>M322+O322</f>
        <v>0</v>
      </c>
      <c r="L322" s="247"/>
      <c r="M322" s="247"/>
      <c r="N322" s="247"/>
      <c r="O322" s="248">
        <f>SUM(O323)</f>
        <v>0</v>
      </c>
    </row>
    <row r="323" spans="1:18" s="254" customFormat="1" ht="12.75" hidden="1">
      <c r="A323" s="249"/>
      <c r="B323" s="250" t="s">
        <v>368</v>
      </c>
      <c r="C323" s="251">
        <f>SUM(D323:E323)</f>
        <v>0</v>
      </c>
      <c r="D323" s="251"/>
      <c r="E323" s="251">
        <f>G323+I323</f>
        <v>0</v>
      </c>
      <c r="F323" s="252"/>
      <c r="G323" s="252"/>
      <c r="H323" s="252"/>
      <c r="I323" s="252">
        <v>0</v>
      </c>
      <c r="J323" s="251"/>
      <c r="K323" s="251">
        <f>M323+O323</f>
        <v>0</v>
      </c>
      <c r="L323" s="252"/>
      <c r="M323" s="252"/>
      <c r="N323" s="252"/>
      <c r="O323" s="253">
        <v>0</v>
      </c>
      <c r="Q323" s="4"/>
      <c r="R323" s="4"/>
    </row>
    <row r="324" spans="1:18" s="258" customFormat="1" ht="16.5" customHeight="1">
      <c r="A324" s="271">
        <v>85153</v>
      </c>
      <c r="B324" s="279" t="s">
        <v>425</v>
      </c>
      <c r="C324" s="267">
        <f>SUM(C325)</f>
        <v>55000</v>
      </c>
      <c r="D324" s="267"/>
      <c r="E324" s="267"/>
      <c r="F324" s="267">
        <f>SUM(F325)</f>
        <v>13750</v>
      </c>
      <c r="G324" s="267"/>
      <c r="H324" s="267"/>
      <c r="I324" s="267">
        <f>SUM(I325)</f>
        <v>13750</v>
      </c>
      <c r="J324" s="267"/>
      <c r="K324" s="267"/>
      <c r="L324" s="267">
        <f>SUM(L325)</f>
        <v>13750</v>
      </c>
      <c r="M324" s="267"/>
      <c r="N324" s="267"/>
      <c r="O324" s="268">
        <f>SUM(O325)</f>
        <v>13750</v>
      </c>
      <c r="Q324" s="4"/>
      <c r="R324" s="4"/>
    </row>
    <row r="325" spans="1:15" ht="12.75">
      <c r="A325" s="245"/>
      <c r="B325" s="259" t="s">
        <v>356</v>
      </c>
      <c r="C325" s="251">
        <f>SUM(D325:O325)</f>
        <v>55000</v>
      </c>
      <c r="D325" s="247"/>
      <c r="E325" s="247"/>
      <c r="F325" s="247">
        <f>SUM(F326:F327)</f>
        <v>13750</v>
      </c>
      <c r="G325" s="247"/>
      <c r="H325" s="247"/>
      <c r="I325" s="247">
        <f>SUM(I326:I327)</f>
        <v>13750</v>
      </c>
      <c r="J325" s="247"/>
      <c r="K325" s="247"/>
      <c r="L325" s="247">
        <f>SUM(L326:L327)</f>
        <v>13750</v>
      </c>
      <c r="M325" s="247"/>
      <c r="N325" s="247"/>
      <c r="O325" s="248">
        <f>SUM(O326:O327)</f>
        <v>13750</v>
      </c>
    </row>
    <row r="326" spans="1:18" s="254" customFormat="1" ht="12">
      <c r="A326" s="249"/>
      <c r="B326" s="261" t="s">
        <v>373</v>
      </c>
      <c r="C326" s="251">
        <f>SUM(D326:O326)</f>
        <v>45000</v>
      </c>
      <c r="D326" s="251"/>
      <c r="E326" s="251"/>
      <c r="F326" s="251">
        <v>11250</v>
      </c>
      <c r="G326" s="251"/>
      <c r="H326" s="251"/>
      <c r="I326" s="251">
        <v>11250</v>
      </c>
      <c r="J326" s="251"/>
      <c r="K326" s="251"/>
      <c r="L326" s="251">
        <v>11250</v>
      </c>
      <c r="M326" s="251"/>
      <c r="N326" s="251"/>
      <c r="O326" s="262">
        <v>11250</v>
      </c>
      <c r="Q326" s="4"/>
      <c r="R326" s="4"/>
    </row>
    <row r="327" spans="1:15" ht="12">
      <c r="A327" s="283"/>
      <c r="B327" s="291" t="s">
        <v>357</v>
      </c>
      <c r="C327" s="251">
        <f>SUM(D327:O327)</f>
        <v>10000</v>
      </c>
      <c r="D327" s="186"/>
      <c r="E327" s="186"/>
      <c r="F327" s="186">
        <v>2500</v>
      </c>
      <c r="G327" s="186"/>
      <c r="H327" s="186"/>
      <c r="I327" s="186">
        <v>2500</v>
      </c>
      <c r="J327" s="186"/>
      <c r="K327" s="186"/>
      <c r="L327" s="186">
        <v>2500</v>
      </c>
      <c r="M327" s="186"/>
      <c r="N327" s="186"/>
      <c r="O327" s="188">
        <v>2500</v>
      </c>
    </row>
    <row r="328" spans="1:15" ht="22.5" customHeight="1">
      <c r="A328" s="271">
        <v>85154</v>
      </c>
      <c r="B328" s="279" t="s">
        <v>426</v>
      </c>
      <c r="C328" s="267">
        <f>SUM(C329+C336)</f>
        <v>1274400</v>
      </c>
      <c r="D328" s="267">
        <f aca="true" t="shared" si="99" ref="D328:O328">SUM(D329+D336)</f>
        <v>46200</v>
      </c>
      <c r="E328" s="267">
        <f t="shared" si="99"/>
        <v>46200</v>
      </c>
      <c r="F328" s="267">
        <f t="shared" si="99"/>
        <v>66200</v>
      </c>
      <c r="G328" s="267">
        <f t="shared" si="99"/>
        <v>201200</v>
      </c>
      <c r="H328" s="267">
        <f t="shared" si="99"/>
        <v>96200</v>
      </c>
      <c r="I328" s="267">
        <f t="shared" si="99"/>
        <v>46200</v>
      </c>
      <c r="J328" s="267">
        <f t="shared" si="99"/>
        <v>291200</v>
      </c>
      <c r="K328" s="267">
        <f t="shared" si="99"/>
        <v>46200</v>
      </c>
      <c r="L328" s="267">
        <f t="shared" si="99"/>
        <v>171200</v>
      </c>
      <c r="M328" s="267">
        <f t="shared" si="99"/>
        <v>171200</v>
      </c>
      <c r="N328" s="267">
        <f t="shared" si="99"/>
        <v>46200</v>
      </c>
      <c r="O328" s="268">
        <f t="shared" si="99"/>
        <v>46200</v>
      </c>
    </row>
    <row r="329" spans="1:15" ht="12" customHeight="1">
      <c r="A329" s="245"/>
      <c r="B329" s="259" t="s">
        <v>356</v>
      </c>
      <c r="C329" s="251">
        <f>SUM(D329:O329)</f>
        <v>1174400</v>
      </c>
      <c r="D329" s="247">
        <f>D330+D331</f>
        <v>46200</v>
      </c>
      <c r="E329" s="247">
        <f>E330+E331</f>
        <v>46200</v>
      </c>
      <c r="F329" s="247">
        <f>F330+F331</f>
        <v>46200</v>
      </c>
      <c r="G329" s="103">
        <f aca="true" t="shared" si="100" ref="G329:O329">SUM(G330:G331)</f>
        <v>171200</v>
      </c>
      <c r="H329" s="103">
        <f t="shared" si="100"/>
        <v>46200</v>
      </c>
      <c r="I329" s="103">
        <f t="shared" si="100"/>
        <v>46200</v>
      </c>
      <c r="J329" s="103">
        <f t="shared" si="100"/>
        <v>291200</v>
      </c>
      <c r="K329" s="103">
        <f t="shared" si="100"/>
        <v>46200</v>
      </c>
      <c r="L329" s="103">
        <f t="shared" si="100"/>
        <v>171200</v>
      </c>
      <c r="M329" s="103">
        <f t="shared" si="100"/>
        <v>171200</v>
      </c>
      <c r="N329" s="103">
        <f t="shared" si="100"/>
        <v>46200</v>
      </c>
      <c r="O329" s="105">
        <f t="shared" si="100"/>
        <v>46200</v>
      </c>
    </row>
    <row r="330" spans="1:18" s="254" customFormat="1" ht="12" customHeight="1">
      <c r="A330" s="249"/>
      <c r="B330" s="261" t="s">
        <v>373</v>
      </c>
      <c r="C330" s="251">
        <f>SUM(D330:O330)</f>
        <v>620000</v>
      </c>
      <c r="D330" s="251"/>
      <c r="E330" s="251"/>
      <c r="F330" s="251"/>
      <c r="G330" s="251">
        <v>125000</v>
      </c>
      <c r="H330" s="251"/>
      <c r="I330" s="251"/>
      <c r="J330" s="251">
        <v>245000</v>
      </c>
      <c r="K330" s="251"/>
      <c r="L330" s="251">
        <v>125000</v>
      </c>
      <c r="M330" s="251">
        <v>125000</v>
      </c>
      <c r="N330" s="251"/>
      <c r="O330" s="262"/>
      <c r="Q330" s="4"/>
      <c r="R330" s="4"/>
    </row>
    <row r="331" spans="1:15" ht="12" customHeight="1">
      <c r="A331" s="245"/>
      <c r="B331" s="261" t="s">
        <v>357</v>
      </c>
      <c r="C331" s="251">
        <f>SUM(D331:O331)</f>
        <v>554400</v>
      </c>
      <c r="D331" s="251">
        <v>46200</v>
      </c>
      <c r="E331" s="251">
        <v>46200</v>
      </c>
      <c r="F331" s="251">
        <v>46200</v>
      </c>
      <c r="G331" s="251">
        <v>46200</v>
      </c>
      <c r="H331" s="251">
        <v>46200</v>
      </c>
      <c r="I331" s="251">
        <v>46200</v>
      </c>
      <c r="J331" s="251">
        <v>46200</v>
      </c>
      <c r="K331" s="251">
        <v>46200</v>
      </c>
      <c r="L331" s="251">
        <v>46200</v>
      </c>
      <c r="M331" s="251">
        <v>46200</v>
      </c>
      <c r="N331" s="251">
        <v>46200</v>
      </c>
      <c r="O331" s="262">
        <v>46200</v>
      </c>
    </row>
    <row r="332" spans="1:15" ht="24" hidden="1">
      <c r="A332" s="315">
        <v>85149</v>
      </c>
      <c r="B332" s="316" t="s">
        <v>423</v>
      </c>
      <c r="C332" s="317">
        <f>SUM(C333)</f>
        <v>0</v>
      </c>
      <c r="D332" s="317">
        <f>SUM(D333)</f>
        <v>0</v>
      </c>
      <c r="E332" s="317"/>
      <c r="F332" s="317">
        <f>SUM(F333)</f>
        <v>0</v>
      </c>
      <c r="G332" s="335"/>
      <c r="H332" s="335"/>
      <c r="I332" s="335"/>
      <c r="J332" s="317">
        <f>SUM(J333)</f>
        <v>0</v>
      </c>
      <c r="K332" s="317"/>
      <c r="L332" s="317">
        <f>SUM(L333)</f>
        <v>0</v>
      </c>
      <c r="M332" s="335"/>
      <c r="N332" s="335"/>
      <c r="O332" s="336"/>
    </row>
    <row r="333" spans="1:15" ht="18" customHeight="1" hidden="1">
      <c r="A333" s="284"/>
      <c r="B333" s="327" t="s">
        <v>356</v>
      </c>
      <c r="C333" s="288">
        <f>SUM(C334:C335)</f>
        <v>0</v>
      </c>
      <c r="D333" s="288">
        <f>SUM(D334:D335)</f>
        <v>0</v>
      </c>
      <c r="E333" s="288"/>
      <c r="F333" s="288">
        <f>SUM(F334:F335)</f>
        <v>0</v>
      </c>
      <c r="G333" s="288"/>
      <c r="H333" s="288"/>
      <c r="I333" s="288"/>
      <c r="J333" s="288">
        <f>SUM(J334:J335)</f>
        <v>0</v>
      </c>
      <c r="K333" s="288"/>
      <c r="L333" s="288">
        <f>SUM(L334:L335)</f>
        <v>0</v>
      </c>
      <c r="M333" s="288"/>
      <c r="N333" s="288"/>
      <c r="O333" s="337"/>
    </row>
    <row r="334" spans="1:18" s="254" customFormat="1" ht="12.75" hidden="1">
      <c r="A334" s="249"/>
      <c r="B334" s="261" t="s">
        <v>373</v>
      </c>
      <c r="C334" s="251">
        <f>SUM(D334:E334)</f>
        <v>0</v>
      </c>
      <c r="D334" s="251">
        <f>F334+H334</f>
        <v>0</v>
      </c>
      <c r="E334" s="251"/>
      <c r="F334" s="252"/>
      <c r="G334" s="252"/>
      <c r="H334" s="252"/>
      <c r="I334" s="252"/>
      <c r="J334" s="251">
        <f>L334+N334</f>
        <v>0</v>
      </c>
      <c r="K334" s="251"/>
      <c r="L334" s="252"/>
      <c r="M334" s="252"/>
      <c r="N334" s="252"/>
      <c r="O334" s="253"/>
      <c r="Q334" s="4"/>
      <c r="R334" s="4"/>
    </row>
    <row r="335" spans="1:15" ht="12.75" hidden="1">
      <c r="A335" s="245"/>
      <c r="B335" s="261" t="s">
        <v>357</v>
      </c>
      <c r="C335" s="251">
        <f>SUM(D335:E335)</f>
        <v>0</v>
      </c>
      <c r="D335" s="251">
        <f>F335+H335</f>
        <v>0</v>
      </c>
      <c r="E335" s="251"/>
      <c r="F335" s="252"/>
      <c r="G335" s="247"/>
      <c r="H335" s="252"/>
      <c r="I335" s="247"/>
      <c r="J335" s="251">
        <f>L335+N335</f>
        <v>0</v>
      </c>
      <c r="K335" s="251"/>
      <c r="L335" s="252"/>
      <c r="M335" s="247"/>
      <c r="N335" s="252"/>
      <c r="O335" s="248"/>
    </row>
    <row r="336" spans="1:15" ht="12.75">
      <c r="A336" s="245"/>
      <c r="B336" s="259" t="s">
        <v>352</v>
      </c>
      <c r="C336" s="251">
        <f>SUM(D336:O336)</f>
        <v>100000</v>
      </c>
      <c r="D336" s="103"/>
      <c r="E336" s="103"/>
      <c r="F336" s="247">
        <f>F337</f>
        <v>20000</v>
      </c>
      <c r="G336" s="247">
        <f>G337</f>
        <v>30000</v>
      </c>
      <c r="H336" s="247">
        <f>H337</f>
        <v>50000</v>
      </c>
      <c r="I336" s="247"/>
      <c r="J336" s="103"/>
      <c r="K336" s="103"/>
      <c r="L336" s="247"/>
      <c r="M336" s="247"/>
      <c r="N336" s="247"/>
      <c r="O336" s="248"/>
    </row>
    <row r="337" spans="1:15" ht="12.75">
      <c r="A337" s="283"/>
      <c r="B337" s="338" t="s">
        <v>427</v>
      </c>
      <c r="C337" s="251">
        <f>SUM(D337:O337)</f>
        <v>100000</v>
      </c>
      <c r="D337" s="186"/>
      <c r="E337" s="186"/>
      <c r="F337" s="186">
        <v>20000</v>
      </c>
      <c r="G337" s="186">
        <v>30000</v>
      </c>
      <c r="H337" s="186">
        <v>50000</v>
      </c>
      <c r="I337" s="186"/>
      <c r="J337" s="186"/>
      <c r="K337" s="186"/>
      <c r="L337" s="292"/>
      <c r="M337" s="328"/>
      <c r="N337" s="292"/>
      <c r="O337" s="329"/>
    </row>
    <row r="338" spans="1:18" s="258" customFormat="1" ht="69.75" customHeight="1">
      <c r="A338" s="271">
        <v>85156</v>
      </c>
      <c r="B338" s="279" t="s">
        <v>428</v>
      </c>
      <c r="C338" s="267">
        <f>SUM(C339)</f>
        <v>9000</v>
      </c>
      <c r="D338" s="267">
        <f>SUM(D339)</f>
        <v>750</v>
      </c>
      <c r="E338" s="267">
        <f>SUM(E339)</f>
        <v>750</v>
      </c>
      <c r="F338" s="267">
        <f aca="true" t="shared" si="101" ref="F338:O338">SUM(F339)</f>
        <v>750</v>
      </c>
      <c r="G338" s="267">
        <f t="shared" si="101"/>
        <v>750</v>
      </c>
      <c r="H338" s="267">
        <f t="shared" si="101"/>
        <v>750</v>
      </c>
      <c r="I338" s="267">
        <f t="shared" si="101"/>
        <v>750</v>
      </c>
      <c r="J338" s="267">
        <f t="shared" si="101"/>
        <v>750</v>
      </c>
      <c r="K338" s="267">
        <f t="shared" si="101"/>
        <v>750</v>
      </c>
      <c r="L338" s="267">
        <f t="shared" si="101"/>
        <v>750</v>
      </c>
      <c r="M338" s="267">
        <f t="shared" si="101"/>
        <v>750</v>
      </c>
      <c r="N338" s="267">
        <f t="shared" si="101"/>
        <v>750</v>
      </c>
      <c r="O338" s="268">
        <f t="shared" si="101"/>
        <v>750</v>
      </c>
      <c r="Q338" s="4"/>
      <c r="R338" s="4"/>
    </row>
    <row r="339" spans="1:15" ht="12">
      <c r="A339" s="245"/>
      <c r="B339" s="259" t="s">
        <v>356</v>
      </c>
      <c r="C339" s="251">
        <f>SUM(D339:O339)</f>
        <v>9000</v>
      </c>
      <c r="D339" s="103">
        <f>D340</f>
        <v>750</v>
      </c>
      <c r="E339" s="103">
        <f>E340</f>
        <v>750</v>
      </c>
      <c r="F339" s="103">
        <f aca="true" t="shared" si="102" ref="F339:O339">F340</f>
        <v>750</v>
      </c>
      <c r="G339" s="103">
        <f t="shared" si="102"/>
        <v>750</v>
      </c>
      <c r="H339" s="103">
        <f t="shared" si="102"/>
        <v>750</v>
      </c>
      <c r="I339" s="103">
        <f t="shared" si="102"/>
        <v>750</v>
      </c>
      <c r="J339" s="103">
        <f t="shared" si="102"/>
        <v>750</v>
      </c>
      <c r="K339" s="103">
        <f t="shared" si="102"/>
        <v>750</v>
      </c>
      <c r="L339" s="103">
        <f t="shared" si="102"/>
        <v>750</v>
      </c>
      <c r="M339" s="103">
        <f t="shared" si="102"/>
        <v>750</v>
      </c>
      <c r="N339" s="103">
        <f t="shared" si="102"/>
        <v>750</v>
      </c>
      <c r="O339" s="105">
        <f t="shared" si="102"/>
        <v>750</v>
      </c>
    </row>
    <row r="340" spans="1:15" ht="12">
      <c r="A340" s="245"/>
      <c r="B340" s="261" t="s">
        <v>357</v>
      </c>
      <c r="C340" s="186">
        <f>SUM(D340:O340)</f>
        <v>9000</v>
      </c>
      <c r="D340" s="251">
        <v>750</v>
      </c>
      <c r="E340" s="251">
        <v>750</v>
      </c>
      <c r="F340" s="251">
        <v>750</v>
      </c>
      <c r="G340" s="251">
        <v>750</v>
      </c>
      <c r="H340" s="251">
        <v>750</v>
      </c>
      <c r="I340" s="251">
        <v>750</v>
      </c>
      <c r="J340" s="251">
        <v>750</v>
      </c>
      <c r="K340" s="251">
        <v>750</v>
      </c>
      <c r="L340" s="251">
        <v>750</v>
      </c>
      <c r="M340" s="251">
        <v>750</v>
      </c>
      <c r="N340" s="251">
        <v>750</v>
      </c>
      <c r="O340" s="262">
        <v>750</v>
      </c>
    </row>
    <row r="341" spans="1:15" ht="13.5" customHeight="1">
      <c r="A341" s="271">
        <v>85158</v>
      </c>
      <c r="B341" s="279" t="s">
        <v>429</v>
      </c>
      <c r="C341" s="267">
        <f>SUM(C342)</f>
        <v>0</v>
      </c>
      <c r="D341" s="267">
        <f>SUM(D342)</f>
        <v>0</v>
      </c>
      <c r="E341" s="267">
        <f>SUM(E342)</f>
        <v>0</v>
      </c>
      <c r="F341" s="267">
        <f>SUM(F342)</f>
        <v>0</v>
      </c>
      <c r="G341" s="267">
        <f aca="true" t="shared" si="103" ref="G341:O341">SUM(G342)</f>
        <v>0</v>
      </c>
      <c r="H341" s="267">
        <f t="shared" si="103"/>
        <v>0</v>
      </c>
      <c r="I341" s="267">
        <f t="shared" si="103"/>
        <v>0</v>
      </c>
      <c r="J341" s="267">
        <f t="shared" si="103"/>
        <v>0</v>
      </c>
      <c r="K341" s="267">
        <f t="shared" si="103"/>
        <v>0</v>
      </c>
      <c r="L341" s="267">
        <f t="shared" si="103"/>
        <v>0</v>
      </c>
      <c r="M341" s="267">
        <f t="shared" si="103"/>
        <v>0</v>
      </c>
      <c r="N341" s="267">
        <f t="shared" si="103"/>
        <v>0</v>
      </c>
      <c r="O341" s="268">
        <f t="shared" si="103"/>
        <v>0</v>
      </c>
    </row>
    <row r="342" spans="1:15" ht="12.75">
      <c r="A342" s="284"/>
      <c r="B342" s="327" t="s">
        <v>356</v>
      </c>
      <c r="C342" s="142">
        <f>SUM(D342:O342)</f>
        <v>0</v>
      </c>
      <c r="D342" s="288">
        <f>SUM(D343:D345)</f>
        <v>0</v>
      </c>
      <c r="E342" s="288">
        <f>SUM(E343:E345)</f>
        <v>0</v>
      </c>
      <c r="F342" s="288">
        <f>SUM(F343:F345)</f>
        <v>0</v>
      </c>
      <c r="G342" s="288">
        <f aca="true" t="shared" si="104" ref="G342:O342">SUM(G343:G345)</f>
        <v>0</v>
      </c>
      <c r="H342" s="288">
        <f t="shared" si="104"/>
        <v>0</v>
      </c>
      <c r="I342" s="288">
        <f t="shared" si="104"/>
        <v>0</v>
      </c>
      <c r="J342" s="288">
        <f t="shared" si="104"/>
        <v>0</v>
      </c>
      <c r="K342" s="288">
        <f t="shared" si="104"/>
        <v>0</v>
      </c>
      <c r="L342" s="288">
        <f t="shared" si="104"/>
        <v>0</v>
      </c>
      <c r="M342" s="288">
        <f t="shared" si="104"/>
        <v>0</v>
      </c>
      <c r="N342" s="288">
        <f t="shared" si="104"/>
        <v>0</v>
      </c>
      <c r="O342" s="337">
        <f t="shared" si="104"/>
        <v>0</v>
      </c>
    </row>
    <row r="343" spans="1:18" s="254" customFormat="1" ht="12">
      <c r="A343" s="249"/>
      <c r="B343" s="250" t="s">
        <v>384</v>
      </c>
      <c r="C343" s="251">
        <f>SUM(D343:O343)</f>
        <v>0</v>
      </c>
      <c r="D343" s="251"/>
      <c r="E343" s="251"/>
      <c r="F343" s="251"/>
      <c r="G343" s="251"/>
      <c r="H343" s="251"/>
      <c r="I343" s="251"/>
      <c r="J343" s="251"/>
      <c r="K343" s="251"/>
      <c r="L343" s="251"/>
      <c r="M343" s="251"/>
      <c r="N343" s="251"/>
      <c r="O343" s="262"/>
      <c r="Q343" s="4"/>
      <c r="R343" s="4"/>
    </row>
    <row r="344" spans="1:18" s="254" customFormat="1" ht="12">
      <c r="A344" s="249"/>
      <c r="B344" s="250" t="s">
        <v>385</v>
      </c>
      <c r="C344" s="251"/>
      <c r="D344" s="251"/>
      <c r="E344" s="251"/>
      <c r="F344" s="251"/>
      <c r="G344" s="251"/>
      <c r="H344" s="251"/>
      <c r="I344" s="251"/>
      <c r="J344" s="251"/>
      <c r="K344" s="251"/>
      <c r="L344" s="251"/>
      <c r="M344" s="251"/>
      <c r="N344" s="251"/>
      <c r="O344" s="262"/>
      <c r="Q344" s="4"/>
      <c r="R344" s="4"/>
    </row>
    <row r="345" spans="1:15" ht="12">
      <c r="A345" s="245"/>
      <c r="B345" s="261" t="s">
        <v>357</v>
      </c>
      <c r="C345" s="251">
        <f>SUM(D345:O345)</f>
        <v>0</v>
      </c>
      <c r="D345" s="251"/>
      <c r="E345" s="251"/>
      <c r="F345" s="251"/>
      <c r="G345" s="251"/>
      <c r="H345" s="251"/>
      <c r="I345" s="251"/>
      <c r="J345" s="251"/>
      <c r="K345" s="251"/>
      <c r="L345" s="251"/>
      <c r="M345" s="251"/>
      <c r="N345" s="251"/>
      <c r="O345" s="262"/>
    </row>
    <row r="346" spans="1:15" ht="12">
      <c r="A346" s="245"/>
      <c r="B346" s="261" t="s">
        <v>367</v>
      </c>
      <c r="C346" s="251">
        <f>SUM(D346:O346)</f>
        <v>0</v>
      </c>
      <c r="D346" s="251"/>
      <c r="E346" s="251"/>
      <c r="F346" s="251"/>
      <c r="G346" s="103"/>
      <c r="H346" s="251"/>
      <c r="I346" s="103"/>
      <c r="J346" s="251"/>
      <c r="K346" s="251"/>
      <c r="L346" s="251"/>
      <c r="M346" s="103"/>
      <c r="N346" s="251"/>
      <c r="O346" s="144"/>
    </row>
    <row r="347" spans="1:18" s="304" customFormat="1" ht="13.5" customHeight="1">
      <c r="A347" s="271">
        <v>85195</v>
      </c>
      <c r="B347" s="279" t="s">
        <v>86</v>
      </c>
      <c r="C347" s="267">
        <f>SUM(C348)</f>
        <v>510300</v>
      </c>
      <c r="D347" s="267">
        <f>SUM(D348)</f>
        <v>36691</v>
      </c>
      <c r="E347" s="267">
        <f>SUM(E348)</f>
        <v>45991</v>
      </c>
      <c r="F347" s="267">
        <f>SUM(F348)</f>
        <v>48691</v>
      </c>
      <c r="G347" s="267">
        <f aca="true" t="shared" si="105" ref="G347:O347">SUM(G348)</f>
        <v>41991</v>
      </c>
      <c r="H347" s="267">
        <f t="shared" si="105"/>
        <v>46991</v>
      </c>
      <c r="I347" s="267">
        <f t="shared" si="105"/>
        <v>43491</v>
      </c>
      <c r="J347" s="267">
        <f t="shared" si="105"/>
        <v>44191</v>
      </c>
      <c r="K347" s="267">
        <f t="shared" si="105"/>
        <v>39491</v>
      </c>
      <c r="L347" s="267">
        <f t="shared" si="105"/>
        <v>44191</v>
      </c>
      <c r="M347" s="267">
        <f t="shared" si="105"/>
        <v>39191</v>
      </c>
      <c r="N347" s="267">
        <f>N348</f>
        <v>36691</v>
      </c>
      <c r="O347" s="268">
        <f t="shared" si="105"/>
        <v>42699</v>
      </c>
      <c r="Q347" s="4"/>
      <c r="R347" s="4"/>
    </row>
    <row r="348" spans="1:15" ht="12.75">
      <c r="A348" s="274"/>
      <c r="B348" s="293" t="s">
        <v>356</v>
      </c>
      <c r="C348" s="172">
        <f>SUM(D348:O348)</f>
        <v>510300</v>
      </c>
      <c r="D348" s="330">
        <f>SUM(D349:D350)</f>
        <v>36691</v>
      </c>
      <c r="E348" s="330">
        <f>SUM(E349:E350)</f>
        <v>45991</v>
      </c>
      <c r="F348" s="330">
        <f>SUM(F349:F350)</f>
        <v>48691</v>
      </c>
      <c r="G348" s="330">
        <f aca="true" t="shared" si="106" ref="G348:O348">SUM(G349:G350)</f>
        <v>41991</v>
      </c>
      <c r="H348" s="330">
        <f t="shared" si="106"/>
        <v>46991</v>
      </c>
      <c r="I348" s="330">
        <f t="shared" si="106"/>
        <v>43491</v>
      </c>
      <c r="J348" s="330">
        <f t="shared" si="106"/>
        <v>44191</v>
      </c>
      <c r="K348" s="330">
        <f t="shared" si="106"/>
        <v>39491</v>
      </c>
      <c r="L348" s="330">
        <f t="shared" si="106"/>
        <v>44191</v>
      </c>
      <c r="M348" s="330">
        <f t="shared" si="106"/>
        <v>39191</v>
      </c>
      <c r="N348" s="330">
        <f>SUM(N349:N350)</f>
        <v>36691</v>
      </c>
      <c r="O348" s="280">
        <f t="shared" si="106"/>
        <v>42699</v>
      </c>
    </row>
    <row r="349" spans="1:18" s="254" customFormat="1" ht="12">
      <c r="A349" s="249"/>
      <c r="B349" s="261" t="s">
        <v>373</v>
      </c>
      <c r="C349" s="251">
        <f>SUM(D349:O349)</f>
        <v>70000</v>
      </c>
      <c r="D349" s="251"/>
      <c r="E349" s="251">
        <v>9300</v>
      </c>
      <c r="F349" s="251">
        <v>12000</v>
      </c>
      <c r="G349" s="251">
        <v>5300</v>
      </c>
      <c r="H349" s="251">
        <v>10300</v>
      </c>
      <c r="I349" s="251">
        <v>6800</v>
      </c>
      <c r="J349" s="251">
        <v>7500</v>
      </c>
      <c r="K349" s="251">
        <v>2800</v>
      </c>
      <c r="L349" s="251">
        <v>7500</v>
      </c>
      <c r="M349" s="251">
        <v>2500</v>
      </c>
      <c r="N349" s="251"/>
      <c r="O349" s="262">
        <v>6000</v>
      </c>
      <c r="Q349" s="4"/>
      <c r="R349" s="4"/>
    </row>
    <row r="350" spans="1:15" ht="12" customHeight="1" thickBot="1">
      <c r="A350" s="245"/>
      <c r="B350" s="261" t="s">
        <v>357</v>
      </c>
      <c r="C350" s="251">
        <f>SUM(D350:O350)</f>
        <v>440300</v>
      </c>
      <c r="D350" s="251">
        <v>36691</v>
      </c>
      <c r="E350" s="251">
        <v>36691</v>
      </c>
      <c r="F350" s="251">
        <v>36691</v>
      </c>
      <c r="G350" s="251">
        <v>36691</v>
      </c>
      <c r="H350" s="251">
        <v>36691</v>
      </c>
      <c r="I350" s="251">
        <v>36691</v>
      </c>
      <c r="J350" s="251">
        <v>36691</v>
      </c>
      <c r="K350" s="251">
        <v>36691</v>
      </c>
      <c r="L350" s="251">
        <v>36691</v>
      </c>
      <c r="M350" s="251">
        <v>36691</v>
      </c>
      <c r="N350" s="251">
        <v>36691</v>
      </c>
      <c r="O350" s="262">
        <v>36699</v>
      </c>
    </row>
    <row r="351" spans="1:18" s="244" customFormat="1" ht="18.75" customHeight="1" thickBot="1" thickTop="1">
      <c r="A351" s="270">
        <v>852</v>
      </c>
      <c r="B351" s="243" t="s">
        <v>430</v>
      </c>
      <c r="C351" s="147">
        <f>C352+C359+C362+C368+C374+C379+C382+C387+C390+C393+C400+C408+C411+C417+C422</f>
        <v>38091002</v>
      </c>
      <c r="D351" s="147">
        <f aca="true" t="shared" si="107" ref="D351:O351">D352+D359+D362+D368+D374+D379+D382+D387+D390+D393+D400+D408+D411+D417+D422</f>
        <v>3073912</v>
      </c>
      <c r="E351" s="147">
        <f t="shared" si="107"/>
        <v>3073908</v>
      </c>
      <c r="F351" s="147">
        <f t="shared" si="107"/>
        <v>3616988</v>
      </c>
      <c r="G351" s="147">
        <f t="shared" si="107"/>
        <v>3130408</v>
      </c>
      <c r="H351" s="147">
        <f t="shared" si="107"/>
        <v>3147408</v>
      </c>
      <c r="I351" s="147">
        <f t="shared" si="107"/>
        <v>3152408</v>
      </c>
      <c r="J351" s="147">
        <f t="shared" si="107"/>
        <v>3128908</v>
      </c>
      <c r="K351" s="147">
        <f t="shared" si="107"/>
        <v>3146408</v>
      </c>
      <c r="L351" s="147">
        <f t="shared" si="107"/>
        <v>3134920</v>
      </c>
      <c r="M351" s="147">
        <f t="shared" si="107"/>
        <v>3143414</v>
      </c>
      <c r="N351" s="147">
        <f t="shared" si="107"/>
        <v>3189420</v>
      </c>
      <c r="O351" s="149">
        <f t="shared" si="107"/>
        <v>3152900</v>
      </c>
      <c r="Q351" s="4"/>
      <c r="R351" s="4"/>
    </row>
    <row r="352" spans="1:18" s="258" customFormat="1" ht="36.75" customHeight="1" thickTop="1">
      <c r="A352" s="295">
        <v>85201</v>
      </c>
      <c r="B352" s="296" t="s">
        <v>431</v>
      </c>
      <c r="C352" s="272">
        <f aca="true" t="shared" si="108" ref="C352:O352">SUM(C353)</f>
        <v>702971</v>
      </c>
      <c r="D352" s="272">
        <f t="shared" si="108"/>
        <v>35593</v>
      </c>
      <c r="E352" s="272">
        <f t="shared" si="108"/>
        <v>35593</v>
      </c>
      <c r="F352" s="272">
        <f t="shared" si="108"/>
        <v>74092</v>
      </c>
      <c r="G352" s="272">
        <f t="shared" si="108"/>
        <v>45593</v>
      </c>
      <c r="H352" s="272">
        <f t="shared" si="108"/>
        <v>45593</v>
      </c>
      <c r="I352" s="272">
        <f t="shared" si="108"/>
        <v>67593</v>
      </c>
      <c r="J352" s="272">
        <f t="shared" si="108"/>
        <v>55593</v>
      </c>
      <c r="K352" s="272">
        <f t="shared" si="108"/>
        <v>55593</v>
      </c>
      <c r="L352" s="272">
        <f t="shared" si="108"/>
        <v>65598</v>
      </c>
      <c r="M352" s="272">
        <f t="shared" si="108"/>
        <v>45598</v>
      </c>
      <c r="N352" s="272">
        <f t="shared" si="108"/>
        <v>92605</v>
      </c>
      <c r="O352" s="273">
        <f t="shared" si="108"/>
        <v>83927</v>
      </c>
      <c r="Q352" s="4"/>
      <c r="R352" s="4"/>
    </row>
    <row r="353" spans="1:15" ht="12" customHeight="1">
      <c r="A353" s="245"/>
      <c r="B353" s="259" t="s">
        <v>356</v>
      </c>
      <c r="C353" s="103">
        <f>SUM(D353:O353)</f>
        <v>702971</v>
      </c>
      <c r="D353" s="103">
        <f>SUM(D354:D357)</f>
        <v>35593</v>
      </c>
      <c r="E353" s="172">
        <f aca="true" t="shared" si="109" ref="E353:O353">SUM(E354:E357)</f>
        <v>35593</v>
      </c>
      <c r="F353" s="172">
        <f t="shared" si="109"/>
        <v>74092</v>
      </c>
      <c r="G353" s="172">
        <f t="shared" si="109"/>
        <v>45593</v>
      </c>
      <c r="H353" s="172">
        <f t="shared" si="109"/>
        <v>45593</v>
      </c>
      <c r="I353" s="172">
        <f t="shared" si="109"/>
        <v>67593</v>
      </c>
      <c r="J353" s="172">
        <f t="shared" si="109"/>
        <v>55593</v>
      </c>
      <c r="K353" s="172">
        <f t="shared" si="109"/>
        <v>55593</v>
      </c>
      <c r="L353" s="172">
        <f t="shared" si="109"/>
        <v>65598</v>
      </c>
      <c r="M353" s="172">
        <f t="shared" si="109"/>
        <v>45598</v>
      </c>
      <c r="N353" s="172">
        <f t="shared" si="109"/>
        <v>92605</v>
      </c>
      <c r="O353" s="174">
        <f t="shared" si="109"/>
        <v>83927</v>
      </c>
    </row>
    <row r="354" spans="1:18" s="254" customFormat="1" ht="12">
      <c r="A354" s="249"/>
      <c r="B354" s="250" t="s">
        <v>384</v>
      </c>
      <c r="C354" s="251">
        <f>SUM(D354:O354)</f>
        <v>71480</v>
      </c>
      <c r="D354" s="251">
        <v>5498</v>
      </c>
      <c r="E354" s="251">
        <v>5498</v>
      </c>
      <c r="F354" s="251">
        <v>10997</v>
      </c>
      <c r="G354" s="251">
        <v>5498</v>
      </c>
      <c r="H354" s="251">
        <v>5498</v>
      </c>
      <c r="I354" s="251">
        <v>5498</v>
      </c>
      <c r="J354" s="251">
        <v>5498</v>
      </c>
      <c r="K354" s="251">
        <v>5498</v>
      </c>
      <c r="L354" s="251">
        <v>5498</v>
      </c>
      <c r="M354" s="251">
        <v>5498</v>
      </c>
      <c r="N354" s="251">
        <v>5500</v>
      </c>
      <c r="O354" s="262">
        <v>5501</v>
      </c>
      <c r="Q354" s="4"/>
      <c r="R354" s="4"/>
    </row>
    <row r="355" spans="1:18" s="254" customFormat="1" ht="12">
      <c r="A355" s="249"/>
      <c r="B355" s="250" t="s">
        <v>385</v>
      </c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62"/>
      <c r="Q355" s="4"/>
      <c r="R355" s="4"/>
    </row>
    <row r="356" spans="1:18" s="254" customFormat="1" ht="12">
      <c r="A356" s="249"/>
      <c r="B356" s="261" t="s">
        <v>373</v>
      </c>
      <c r="C356" s="103">
        <f>SUM(D356:O356)</f>
        <v>342000</v>
      </c>
      <c r="D356" s="251">
        <v>22500</v>
      </c>
      <c r="E356" s="251">
        <v>22500</v>
      </c>
      <c r="F356" s="251">
        <f>23000+22500</f>
        <v>45500</v>
      </c>
      <c r="G356" s="251">
        <v>22500</v>
      </c>
      <c r="H356" s="251">
        <v>22500</v>
      </c>
      <c r="I356" s="251">
        <f>22000+22500</f>
        <v>44500</v>
      </c>
      <c r="J356" s="251">
        <v>22500</v>
      </c>
      <c r="K356" s="251">
        <v>22500</v>
      </c>
      <c r="L356" s="251">
        <f>20000+22500</f>
        <v>42500</v>
      </c>
      <c r="M356" s="251">
        <v>22500</v>
      </c>
      <c r="N356" s="251">
        <f>7000+22500</f>
        <v>29500</v>
      </c>
      <c r="O356" s="262">
        <v>22500</v>
      </c>
      <c r="Q356" s="4"/>
      <c r="R356" s="4"/>
    </row>
    <row r="357" spans="1:15" ht="12">
      <c r="A357" s="245"/>
      <c r="B357" s="261" t="s">
        <v>357</v>
      </c>
      <c r="C357" s="251">
        <f>SUM(D357:O357)</f>
        <v>289491</v>
      </c>
      <c r="D357" s="251">
        <v>7595</v>
      </c>
      <c r="E357" s="251">
        <v>7595</v>
      </c>
      <c r="F357" s="251">
        <v>17595</v>
      </c>
      <c r="G357" s="251">
        <v>17595</v>
      </c>
      <c r="H357" s="251">
        <v>17595</v>
      </c>
      <c r="I357" s="251">
        <v>17595</v>
      </c>
      <c r="J357" s="251">
        <v>27595</v>
      </c>
      <c r="K357" s="251">
        <v>27595</v>
      </c>
      <c r="L357" s="251">
        <v>17600</v>
      </c>
      <c r="M357" s="251">
        <v>17600</v>
      </c>
      <c r="N357" s="251">
        <v>57605</v>
      </c>
      <c r="O357" s="262">
        <v>55926</v>
      </c>
    </row>
    <row r="358" spans="1:15" ht="12">
      <c r="A358" s="283"/>
      <c r="B358" s="277" t="s">
        <v>376</v>
      </c>
      <c r="C358" s="251">
        <f>SUM(D358:O358)</f>
        <v>1150</v>
      </c>
      <c r="D358" s="186"/>
      <c r="E358" s="186"/>
      <c r="F358" s="186"/>
      <c r="G358" s="186"/>
      <c r="H358" s="186"/>
      <c r="I358" s="186">
        <v>1000</v>
      </c>
      <c r="J358" s="186">
        <v>150</v>
      </c>
      <c r="K358" s="186"/>
      <c r="L358" s="186"/>
      <c r="M358" s="186"/>
      <c r="N358" s="186"/>
      <c r="O358" s="188"/>
    </row>
    <row r="359" spans="1:15" ht="15.75" customHeight="1">
      <c r="A359" s="271">
        <v>85202</v>
      </c>
      <c r="B359" s="279" t="s">
        <v>432</v>
      </c>
      <c r="C359" s="267">
        <f>SUM(C360)</f>
        <v>300600</v>
      </c>
      <c r="D359" s="267">
        <f>SUM(D360)</f>
        <v>0</v>
      </c>
      <c r="E359" s="267">
        <f>SUM(E360)</f>
        <v>0</v>
      </c>
      <c r="F359" s="267">
        <f>SUM(F360)</f>
        <v>30000</v>
      </c>
      <c r="G359" s="267">
        <f aca="true" t="shared" si="110" ref="G359:O360">SUM(G360)</f>
        <v>30000</v>
      </c>
      <c r="H359" s="267">
        <f t="shared" si="110"/>
        <v>30000</v>
      </c>
      <c r="I359" s="267">
        <f t="shared" si="110"/>
        <v>30000</v>
      </c>
      <c r="J359" s="267">
        <f t="shared" si="110"/>
        <v>30000</v>
      </c>
      <c r="K359" s="267">
        <f t="shared" si="110"/>
        <v>30000</v>
      </c>
      <c r="L359" s="267">
        <f t="shared" si="110"/>
        <v>30000</v>
      </c>
      <c r="M359" s="267">
        <f t="shared" si="110"/>
        <v>30000</v>
      </c>
      <c r="N359" s="267">
        <f t="shared" si="110"/>
        <v>30000</v>
      </c>
      <c r="O359" s="268">
        <f t="shared" si="110"/>
        <v>30600</v>
      </c>
    </row>
    <row r="360" spans="1:18" s="213" customFormat="1" ht="12.75">
      <c r="A360" s="339"/>
      <c r="B360" s="340" t="s">
        <v>399</v>
      </c>
      <c r="C360" s="103">
        <f>SUM(D360:O360)</f>
        <v>300600</v>
      </c>
      <c r="D360" s="103">
        <f>SUM(D361)</f>
        <v>0</v>
      </c>
      <c r="E360" s="103">
        <f>SUM(E361)</f>
        <v>0</v>
      </c>
      <c r="F360" s="103">
        <f>SUM(F361)</f>
        <v>30000</v>
      </c>
      <c r="G360" s="103">
        <f t="shared" si="110"/>
        <v>30000</v>
      </c>
      <c r="H360" s="103">
        <f t="shared" si="110"/>
        <v>30000</v>
      </c>
      <c r="I360" s="103">
        <f t="shared" si="110"/>
        <v>30000</v>
      </c>
      <c r="J360" s="103">
        <f t="shared" si="110"/>
        <v>30000</v>
      </c>
      <c r="K360" s="103">
        <f t="shared" si="110"/>
        <v>30000</v>
      </c>
      <c r="L360" s="103">
        <f t="shared" si="110"/>
        <v>30000</v>
      </c>
      <c r="M360" s="103">
        <f t="shared" si="110"/>
        <v>30000</v>
      </c>
      <c r="N360" s="103">
        <f t="shared" si="110"/>
        <v>30000</v>
      </c>
      <c r="O360" s="105">
        <f t="shared" si="110"/>
        <v>30600</v>
      </c>
      <c r="Q360" s="4"/>
      <c r="R360" s="4"/>
    </row>
    <row r="361" spans="1:18" s="254" customFormat="1" ht="12">
      <c r="A361" s="276"/>
      <c r="B361" s="277" t="s">
        <v>357</v>
      </c>
      <c r="C361" s="251">
        <f>SUM(D361:O361)</f>
        <v>300600</v>
      </c>
      <c r="D361" s="251"/>
      <c r="E361" s="251"/>
      <c r="F361" s="251">
        <v>30000</v>
      </c>
      <c r="G361" s="251">
        <v>30000</v>
      </c>
      <c r="H361" s="251">
        <v>30000</v>
      </c>
      <c r="I361" s="251">
        <v>30000</v>
      </c>
      <c r="J361" s="251">
        <v>30000</v>
      </c>
      <c r="K361" s="251">
        <v>30000</v>
      </c>
      <c r="L361" s="251">
        <v>30000</v>
      </c>
      <c r="M361" s="251">
        <v>30000</v>
      </c>
      <c r="N361" s="251">
        <v>30000</v>
      </c>
      <c r="O361" s="262">
        <v>30600</v>
      </c>
      <c r="Q361" s="4"/>
      <c r="R361" s="4"/>
    </row>
    <row r="362" spans="1:15" ht="14.25" customHeight="1">
      <c r="A362" s="271">
        <v>85203</v>
      </c>
      <c r="B362" s="279" t="s">
        <v>265</v>
      </c>
      <c r="C362" s="267">
        <f>SUM(C363)</f>
        <v>942920</v>
      </c>
      <c r="D362" s="267">
        <f>SUM(D363)</f>
        <v>74693</v>
      </c>
      <c r="E362" s="267">
        <f>SUM(E363)</f>
        <v>74693</v>
      </c>
      <c r="F362" s="267">
        <f aca="true" t="shared" si="111" ref="F362:O362">SUM(F363)</f>
        <v>121293</v>
      </c>
      <c r="G362" s="267">
        <f t="shared" si="111"/>
        <v>74693</v>
      </c>
      <c r="H362" s="267">
        <f t="shared" si="111"/>
        <v>74693</v>
      </c>
      <c r="I362" s="267">
        <f t="shared" si="111"/>
        <v>74693</v>
      </c>
      <c r="J362" s="267">
        <f t="shared" si="111"/>
        <v>74693</v>
      </c>
      <c r="K362" s="267">
        <f t="shared" si="111"/>
        <v>74693</v>
      </c>
      <c r="L362" s="267">
        <f t="shared" si="111"/>
        <v>74693</v>
      </c>
      <c r="M362" s="267">
        <f t="shared" si="111"/>
        <v>74693</v>
      </c>
      <c r="N362" s="267">
        <f t="shared" si="111"/>
        <v>74693</v>
      </c>
      <c r="O362" s="268">
        <f t="shared" si="111"/>
        <v>74697</v>
      </c>
    </row>
    <row r="363" spans="1:15" ht="12">
      <c r="A363" s="245"/>
      <c r="B363" s="246" t="s">
        <v>399</v>
      </c>
      <c r="C363" s="103">
        <f>SUM(D363:O363)</f>
        <v>942920</v>
      </c>
      <c r="D363" s="103">
        <f>SUM(D364:D366)</f>
        <v>74693</v>
      </c>
      <c r="E363" s="103">
        <f>SUM(E364:E366)</f>
        <v>74693</v>
      </c>
      <c r="F363" s="103">
        <f aca="true" t="shared" si="112" ref="F363:O363">SUM(F364:F366)</f>
        <v>121293</v>
      </c>
      <c r="G363" s="103">
        <f t="shared" si="112"/>
        <v>74693</v>
      </c>
      <c r="H363" s="103">
        <f t="shared" si="112"/>
        <v>74693</v>
      </c>
      <c r="I363" s="103">
        <f t="shared" si="112"/>
        <v>74693</v>
      </c>
      <c r="J363" s="103">
        <f t="shared" si="112"/>
        <v>74693</v>
      </c>
      <c r="K363" s="103">
        <f t="shared" si="112"/>
        <v>74693</v>
      </c>
      <c r="L363" s="103">
        <f t="shared" si="112"/>
        <v>74693</v>
      </c>
      <c r="M363" s="103">
        <f t="shared" si="112"/>
        <v>74693</v>
      </c>
      <c r="N363" s="103">
        <f t="shared" si="112"/>
        <v>74693</v>
      </c>
      <c r="O363" s="105">
        <f t="shared" si="112"/>
        <v>74697</v>
      </c>
    </row>
    <row r="364" spans="1:18" s="254" customFormat="1" ht="12">
      <c r="A364" s="249"/>
      <c r="B364" s="250" t="s">
        <v>384</v>
      </c>
      <c r="C364" s="251">
        <f>SUM(D364:O364)</f>
        <v>605800</v>
      </c>
      <c r="D364" s="251">
        <v>46600</v>
      </c>
      <c r="E364" s="251">
        <v>46600</v>
      </c>
      <c r="F364" s="251">
        <v>93200</v>
      </c>
      <c r="G364" s="251">
        <v>46600</v>
      </c>
      <c r="H364" s="251">
        <v>46600</v>
      </c>
      <c r="I364" s="251">
        <v>46600</v>
      </c>
      <c r="J364" s="251">
        <v>46600</v>
      </c>
      <c r="K364" s="251">
        <v>46600</v>
      </c>
      <c r="L364" s="251">
        <v>46600</v>
      </c>
      <c r="M364" s="251">
        <v>46600</v>
      </c>
      <c r="N364" s="251">
        <v>46600</v>
      </c>
      <c r="O364" s="262">
        <v>46600</v>
      </c>
      <c r="Q364" s="4"/>
      <c r="R364" s="4"/>
    </row>
    <row r="365" spans="1:18" s="254" customFormat="1" ht="12">
      <c r="A365" s="249"/>
      <c r="B365" s="250" t="s">
        <v>385</v>
      </c>
      <c r="C365" s="251"/>
      <c r="D365" s="251"/>
      <c r="E365" s="251"/>
      <c r="F365" s="251"/>
      <c r="G365" s="251"/>
      <c r="H365" s="251"/>
      <c r="I365" s="251"/>
      <c r="J365" s="251"/>
      <c r="K365" s="251"/>
      <c r="L365" s="251"/>
      <c r="M365" s="251"/>
      <c r="N365" s="251"/>
      <c r="O365" s="262"/>
      <c r="Q365" s="4"/>
      <c r="R365" s="4"/>
    </row>
    <row r="366" spans="1:18" s="254" customFormat="1" ht="12">
      <c r="A366" s="249"/>
      <c r="B366" s="250" t="s">
        <v>357</v>
      </c>
      <c r="C366" s="251">
        <f>SUM(D366:O366)</f>
        <v>337120</v>
      </c>
      <c r="D366" s="251">
        <v>28093</v>
      </c>
      <c r="E366" s="251">
        <v>28093</v>
      </c>
      <c r="F366" s="251">
        <v>28093</v>
      </c>
      <c r="G366" s="251">
        <v>28093</v>
      </c>
      <c r="H366" s="251">
        <v>28093</v>
      </c>
      <c r="I366" s="251">
        <v>28093</v>
      </c>
      <c r="J366" s="251">
        <v>28093</v>
      </c>
      <c r="K366" s="251">
        <v>28093</v>
      </c>
      <c r="L366" s="251">
        <v>28093</v>
      </c>
      <c r="M366" s="251">
        <v>28093</v>
      </c>
      <c r="N366" s="251">
        <v>28093</v>
      </c>
      <c r="O366" s="262">
        <v>28097</v>
      </c>
      <c r="Q366" s="4"/>
      <c r="R366" s="4"/>
    </row>
    <row r="367" spans="1:18" s="254" customFormat="1" ht="12">
      <c r="A367" s="249"/>
      <c r="B367" s="250" t="s">
        <v>376</v>
      </c>
      <c r="C367" s="251">
        <f>SUM(D367:O367)</f>
        <v>2000</v>
      </c>
      <c r="D367" s="251"/>
      <c r="E367" s="251"/>
      <c r="F367" s="251"/>
      <c r="G367" s="251"/>
      <c r="H367" s="251"/>
      <c r="I367" s="251"/>
      <c r="J367" s="251"/>
      <c r="K367" s="251">
        <v>2000</v>
      </c>
      <c r="L367" s="251"/>
      <c r="M367" s="251"/>
      <c r="N367" s="251"/>
      <c r="O367" s="188"/>
      <c r="Q367" s="4"/>
      <c r="R367" s="4"/>
    </row>
    <row r="368" spans="1:18" s="258" customFormat="1" ht="14.25" customHeight="1">
      <c r="A368" s="271">
        <v>85204</v>
      </c>
      <c r="B368" s="279" t="s">
        <v>271</v>
      </c>
      <c r="C368" s="267">
        <f>SUM(C369)</f>
        <v>2223575</v>
      </c>
      <c r="D368" s="267">
        <f>SUM(D369)</f>
        <v>185301</v>
      </c>
      <c r="E368" s="267">
        <f aca="true" t="shared" si="113" ref="E368:O368">SUM(E369)</f>
        <v>185297</v>
      </c>
      <c r="F368" s="267">
        <f t="shared" si="113"/>
        <v>185297</v>
      </c>
      <c r="G368" s="267">
        <f t="shared" si="113"/>
        <v>185297</v>
      </c>
      <c r="H368" s="267">
        <f t="shared" si="113"/>
        <v>185297</v>
      </c>
      <c r="I368" s="267">
        <f t="shared" si="113"/>
        <v>185297</v>
      </c>
      <c r="J368" s="267">
        <f t="shared" si="113"/>
        <v>185297</v>
      </c>
      <c r="K368" s="267">
        <f t="shared" si="113"/>
        <v>185297</v>
      </c>
      <c r="L368" s="267">
        <f t="shared" si="113"/>
        <v>185297</v>
      </c>
      <c r="M368" s="267">
        <f t="shared" si="113"/>
        <v>185297</v>
      </c>
      <c r="N368" s="267">
        <f t="shared" si="113"/>
        <v>185297</v>
      </c>
      <c r="O368" s="268">
        <f t="shared" si="113"/>
        <v>185304</v>
      </c>
      <c r="Q368" s="4"/>
      <c r="R368" s="4"/>
    </row>
    <row r="369" spans="1:15" ht="12" customHeight="1">
      <c r="A369" s="245"/>
      <c r="B369" s="246" t="s">
        <v>399</v>
      </c>
      <c r="C369" s="103">
        <f>SUM(D369:O369)</f>
        <v>2223575</v>
      </c>
      <c r="D369" s="103">
        <f>SUM(D370:D373)</f>
        <v>185301</v>
      </c>
      <c r="E369" s="172">
        <f aca="true" t="shared" si="114" ref="E369:O369">SUM(E370:E373)</f>
        <v>185297</v>
      </c>
      <c r="F369" s="172">
        <f t="shared" si="114"/>
        <v>185297</v>
      </c>
      <c r="G369" s="172">
        <f t="shared" si="114"/>
        <v>185297</v>
      </c>
      <c r="H369" s="172">
        <f t="shared" si="114"/>
        <v>185297</v>
      </c>
      <c r="I369" s="172">
        <f t="shared" si="114"/>
        <v>185297</v>
      </c>
      <c r="J369" s="172">
        <f t="shared" si="114"/>
        <v>185297</v>
      </c>
      <c r="K369" s="172">
        <f t="shared" si="114"/>
        <v>185297</v>
      </c>
      <c r="L369" s="172">
        <f t="shared" si="114"/>
        <v>185297</v>
      </c>
      <c r="M369" s="172">
        <f t="shared" si="114"/>
        <v>185297</v>
      </c>
      <c r="N369" s="172">
        <f t="shared" si="114"/>
        <v>185297</v>
      </c>
      <c r="O369" s="174">
        <f t="shared" si="114"/>
        <v>185304</v>
      </c>
    </row>
    <row r="370" spans="1:18" s="254" customFormat="1" ht="12" customHeight="1">
      <c r="A370" s="249"/>
      <c r="B370" s="250" t="s">
        <v>384</v>
      </c>
      <c r="C370" s="251">
        <f>SUM(D370:O370)</f>
        <v>51000</v>
      </c>
      <c r="D370" s="251">
        <v>4250</v>
      </c>
      <c r="E370" s="251">
        <v>4250</v>
      </c>
      <c r="F370" s="251">
        <v>4250</v>
      </c>
      <c r="G370" s="251">
        <v>4250</v>
      </c>
      <c r="H370" s="251">
        <v>4250</v>
      </c>
      <c r="I370" s="251">
        <v>4250</v>
      </c>
      <c r="J370" s="251">
        <v>4250</v>
      </c>
      <c r="K370" s="251">
        <v>4250</v>
      </c>
      <c r="L370" s="251">
        <v>4250</v>
      </c>
      <c r="M370" s="251">
        <v>4250</v>
      </c>
      <c r="N370" s="251">
        <v>4250</v>
      </c>
      <c r="O370" s="262">
        <v>4250</v>
      </c>
      <c r="Q370" s="4"/>
      <c r="R370" s="4"/>
    </row>
    <row r="371" spans="1:18" s="254" customFormat="1" ht="12" customHeight="1">
      <c r="A371" s="249"/>
      <c r="B371" s="250" t="s">
        <v>385</v>
      </c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M371" s="251"/>
      <c r="N371" s="251"/>
      <c r="O371" s="262"/>
      <c r="Q371" s="4"/>
      <c r="R371" s="4"/>
    </row>
    <row r="372" spans="1:18" s="254" customFormat="1" ht="12" customHeight="1">
      <c r="A372" s="249"/>
      <c r="B372" s="250" t="s">
        <v>373</v>
      </c>
      <c r="C372" s="251">
        <f>SUM(D372:O372)</f>
        <v>100000</v>
      </c>
      <c r="D372" s="251">
        <v>8337</v>
      </c>
      <c r="E372" s="251">
        <v>8333</v>
      </c>
      <c r="F372" s="251">
        <v>8333</v>
      </c>
      <c r="G372" s="251">
        <v>8333</v>
      </c>
      <c r="H372" s="251">
        <v>8333</v>
      </c>
      <c r="I372" s="251">
        <v>8333</v>
      </c>
      <c r="J372" s="251">
        <v>8333</v>
      </c>
      <c r="K372" s="251">
        <v>8333</v>
      </c>
      <c r="L372" s="251">
        <v>8333</v>
      </c>
      <c r="M372" s="251">
        <v>8333</v>
      </c>
      <c r="N372" s="251">
        <v>8333</v>
      </c>
      <c r="O372" s="262">
        <v>8333</v>
      </c>
      <c r="Q372" s="4"/>
      <c r="R372" s="4"/>
    </row>
    <row r="373" spans="1:18" s="254" customFormat="1" ht="12" customHeight="1">
      <c r="A373" s="249"/>
      <c r="B373" s="250" t="s">
        <v>357</v>
      </c>
      <c r="C373" s="251">
        <f>SUM(D373:O373)</f>
        <v>2072575</v>
      </c>
      <c r="D373" s="251">
        <v>172714</v>
      </c>
      <c r="E373" s="251">
        <v>172714</v>
      </c>
      <c r="F373" s="251">
        <v>172714</v>
      </c>
      <c r="G373" s="251">
        <v>172714</v>
      </c>
      <c r="H373" s="251">
        <v>172714</v>
      </c>
      <c r="I373" s="251">
        <v>172714</v>
      </c>
      <c r="J373" s="251">
        <v>172714</v>
      </c>
      <c r="K373" s="251">
        <v>172714</v>
      </c>
      <c r="L373" s="251">
        <v>172714</v>
      </c>
      <c r="M373" s="251">
        <v>172714</v>
      </c>
      <c r="N373" s="251">
        <v>172714</v>
      </c>
      <c r="O373" s="262">
        <v>172721</v>
      </c>
      <c r="Q373" s="4"/>
      <c r="R373" s="4"/>
    </row>
    <row r="374" spans="1:15" ht="47.25" customHeight="1">
      <c r="A374" s="271">
        <v>85212</v>
      </c>
      <c r="B374" s="279" t="s">
        <v>433</v>
      </c>
      <c r="C374" s="267">
        <f aca="true" t="shared" si="115" ref="C374:O374">SUM(C375)</f>
        <v>17182000</v>
      </c>
      <c r="D374" s="267">
        <f t="shared" si="115"/>
        <v>1431833</v>
      </c>
      <c r="E374" s="267">
        <f t="shared" si="115"/>
        <v>1431833</v>
      </c>
      <c r="F374" s="267">
        <f t="shared" si="115"/>
        <v>1431833</v>
      </c>
      <c r="G374" s="267">
        <f t="shared" si="115"/>
        <v>1431833</v>
      </c>
      <c r="H374" s="267">
        <f t="shared" si="115"/>
        <v>1431833</v>
      </c>
      <c r="I374" s="267">
        <f t="shared" si="115"/>
        <v>1431833</v>
      </c>
      <c r="J374" s="267">
        <f t="shared" si="115"/>
        <v>1431833</v>
      </c>
      <c r="K374" s="267">
        <f t="shared" si="115"/>
        <v>1431833</v>
      </c>
      <c r="L374" s="267">
        <f t="shared" si="115"/>
        <v>1431833</v>
      </c>
      <c r="M374" s="267">
        <f t="shared" si="115"/>
        <v>1431833</v>
      </c>
      <c r="N374" s="267">
        <f t="shared" si="115"/>
        <v>1431833</v>
      </c>
      <c r="O374" s="268">
        <f t="shared" si="115"/>
        <v>1431837</v>
      </c>
    </row>
    <row r="375" spans="1:18" s="254" customFormat="1" ht="12" customHeight="1">
      <c r="A375" s="249"/>
      <c r="B375" s="246" t="s">
        <v>399</v>
      </c>
      <c r="C375" s="251">
        <f>C376+C378</f>
        <v>17182000</v>
      </c>
      <c r="D375" s="251">
        <f aca="true" t="shared" si="116" ref="D375:O375">D376+D378</f>
        <v>1431833</v>
      </c>
      <c r="E375" s="251">
        <f t="shared" si="116"/>
        <v>1431833</v>
      </c>
      <c r="F375" s="251">
        <f t="shared" si="116"/>
        <v>1431833</v>
      </c>
      <c r="G375" s="251">
        <f t="shared" si="116"/>
        <v>1431833</v>
      </c>
      <c r="H375" s="251">
        <f t="shared" si="116"/>
        <v>1431833</v>
      </c>
      <c r="I375" s="251">
        <f t="shared" si="116"/>
        <v>1431833</v>
      </c>
      <c r="J375" s="251">
        <f t="shared" si="116"/>
        <v>1431833</v>
      </c>
      <c r="K375" s="251">
        <f t="shared" si="116"/>
        <v>1431833</v>
      </c>
      <c r="L375" s="251">
        <f t="shared" si="116"/>
        <v>1431833</v>
      </c>
      <c r="M375" s="251">
        <f t="shared" si="116"/>
        <v>1431833</v>
      </c>
      <c r="N375" s="251">
        <f t="shared" si="116"/>
        <v>1431833</v>
      </c>
      <c r="O375" s="262">
        <f t="shared" si="116"/>
        <v>1431837</v>
      </c>
      <c r="Q375" s="4"/>
      <c r="R375" s="4"/>
    </row>
    <row r="376" spans="1:18" s="254" customFormat="1" ht="12" customHeight="1">
      <c r="A376" s="249"/>
      <c r="B376" s="250" t="s">
        <v>384</v>
      </c>
      <c r="C376" s="251">
        <f>SUM(D376:O376)</f>
        <v>399900</v>
      </c>
      <c r="D376" s="251">
        <v>33325</v>
      </c>
      <c r="E376" s="251">
        <v>33325</v>
      </c>
      <c r="F376" s="251">
        <v>33325</v>
      </c>
      <c r="G376" s="251">
        <v>33325</v>
      </c>
      <c r="H376" s="251">
        <v>33325</v>
      </c>
      <c r="I376" s="251">
        <v>33325</v>
      </c>
      <c r="J376" s="251">
        <v>33325</v>
      </c>
      <c r="K376" s="251">
        <v>33325</v>
      </c>
      <c r="L376" s="251">
        <v>33325</v>
      </c>
      <c r="M376" s="251">
        <v>33325</v>
      </c>
      <c r="N376" s="251">
        <v>33325</v>
      </c>
      <c r="O376" s="262">
        <v>33325</v>
      </c>
      <c r="Q376" s="4"/>
      <c r="R376" s="4"/>
    </row>
    <row r="377" spans="1:18" s="254" customFormat="1" ht="12" customHeight="1">
      <c r="A377" s="249"/>
      <c r="B377" s="250" t="s">
        <v>385</v>
      </c>
      <c r="C377" s="251"/>
      <c r="D377" s="251"/>
      <c r="E377" s="251"/>
      <c r="F377" s="251"/>
      <c r="G377" s="251"/>
      <c r="H377" s="251"/>
      <c r="I377" s="251"/>
      <c r="J377" s="251"/>
      <c r="K377" s="251"/>
      <c r="L377" s="251"/>
      <c r="M377" s="251"/>
      <c r="N377" s="251"/>
      <c r="O377" s="262"/>
      <c r="Q377" s="4"/>
      <c r="R377" s="4"/>
    </row>
    <row r="378" spans="1:18" s="254" customFormat="1" ht="12" customHeight="1">
      <c r="A378" s="249"/>
      <c r="B378" s="250" t="s">
        <v>357</v>
      </c>
      <c r="C378" s="251">
        <f>SUM(D378:O378)</f>
        <v>16782100</v>
      </c>
      <c r="D378" s="251">
        <v>1398508</v>
      </c>
      <c r="E378" s="251">
        <v>1398508</v>
      </c>
      <c r="F378" s="251">
        <v>1398508</v>
      </c>
      <c r="G378" s="251">
        <v>1398508</v>
      </c>
      <c r="H378" s="251">
        <v>1398508</v>
      </c>
      <c r="I378" s="251">
        <v>1398508</v>
      </c>
      <c r="J378" s="251">
        <v>1398508</v>
      </c>
      <c r="K378" s="251">
        <v>1398508</v>
      </c>
      <c r="L378" s="251">
        <v>1398508</v>
      </c>
      <c r="M378" s="251">
        <v>1398508</v>
      </c>
      <c r="N378" s="251">
        <v>1398508</v>
      </c>
      <c r="O378" s="262">
        <v>1398512</v>
      </c>
      <c r="Q378" s="4"/>
      <c r="R378" s="4"/>
    </row>
    <row r="379" spans="1:15" ht="59.25" customHeight="1">
      <c r="A379" s="271">
        <v>85213</v>
      </c>
      <c r="B379" s="279" t="s">
        <v>434</v>
      </c>
      <c r="C379" s="267">
        <f aca="true" t="shared" si="117" ref="C379:O380">SUM(C380)</f>
        <v>197000</v>
      </c>
      <c r="D379" s="267">
        <f t="shared" si="117"/>
        <v>16416</v>
      </c>
      <c r="E379" s="267">
        <f t="shared" si="117"/>
        <v>16416</v>
      </c>
      <c r="F379" s="267">
        <f t="shared" si="117"/>
        <v>16416</v>
      </c>
      <c r="G379" s="267">
        <f t="shared" si="117"/>
        <v>16416</v>
      </c>
      <c r="H379" s="267">
        <f t="shared" si="117"/>
        <v>16416</v>
      </c>
      <c r="I379" s="267">
        <f t="shared" si="117"/>
        <v>16416</v>
      </c>
      <c r="J379" s="267">
        <f t="shared" si="117"/>
        <v>16416</v>
      </c>
      <c r="K379" s="267">
        <f t="shared" si="117"/>
        <v>16416</v>
      </c>
      <c r="L379" s="267">
        <f t="shared" si="117"/>
        <v>16416</v>
      </c>
      <c r="M379" s="267">
        <f t="shared" si="117"/>
        <v>16416</v>
      </c>
      <c r="N379" s="267">
        <f t="shared" si="117"/>
        <v>16416</v>
      </c>
      <c r="O379" s="268">
        <f t="shared" si="117"/>
        <v>16424</v>
      </c>
    </row>
    <row r="380" spans="1:18" s="213" customFormat="1" ht="12.75">
      <c r="A380" s="339"/>
      <c r="B380" s="340" t="s">
        <v>399</v>
      </c>
      <c r="C380" s="103">
        <f>SUM(D380:O380)</f>
        <v>197000</v>
      </c>
      <c r="D380" s="103">
        <f t="shared" si="117"/>
        <v>16416</v>
      </c>
      <c r="E380" s="103">
        <f t="shared" si="117"/>
        <v>16416</v>
      </c>
      <c r="F380" s="103">
        <f t="shared" si="117"/>
        <v>16416</v>
      </c>
      <c r="G380" s="103">
        <f t="shared" si="117"/>
        <v>16416</v>
      </c>
      <c r="H380" s="103">
        <f t="shared" si="117"/>
        <v>16416</v>
      </c>
      <c r="I380" s="103">
        <f t="shared" si="117"/>
        <v>16416</v>
      </c>
      <c r="J380" s="103">
        <f t="shared" si="117"/>
        <v>16416</v>
      </c>
      <c r="K380" s="103">
        <f t="shared" si="117"/>
        <v>16416</v>
      </c>
      <c r="L380" s="103">
        <f t="shared" si="117"/>
        <v>16416</v>
      </c>
      <c r="M380" s="103">
        <f t="shared" si="117"/>
        <v>16416</v>
      </c>
      <c r="N380" s="103">
        <f t="shared" si="117"/>
        <v>16416</v>
      </c>
      <c r="O380" s="105">
        <f t="shared" si="117"/>
        <v>16424</v>
      </c>
      <c r="Q380" s="4"/>
      <c r="R380" s="4"/>
    </row>
    <row r="381" spans="1:18" s="254" customFormat="1" ht="12">
      <c r="A381" s="276"/>
      <c r="B381" s="277" t="s">
        <v>357</v>
      </c>
      <c r="C381" s="186">
        <f>SUM(D381:O381)</f>
        <v>197000</v>
      </c>
      <c r="D381" s="186">
        <v>16416</v>
      </c>
      <c r="E381" s="186">
        <v>16416</v>
      </c>
      <c r="F381" s="186">
        <v>16416</v>
      </c>
      <c r="G381" s="186">
        <v>16416</v>
      </c>
      <c r="H381" s="186">
        <v>16416</v>
      </c>
      <c r="I381" s="186">
        <v>16416</v>
      </c>
      <c r="J381" s="186">
        <v>16416</v>
      </c>
      <c r="K381" s="186">
        <v>16416</v>
      </c>
      <c r="L381" s="186">
        <v>16416</v>
      </c>
      <c r="M381" s="186">
        <v>16416</v>
      </c>
      <c r="N381" s="186">
        <v>16416</v>
      </c>
      <c r="O381" s="188">
        <v>16424</v>
      </c>
      <c r="P381" s="341"/>
      <c r="Q381" s="4"/>
      <c r="R381" s="4"/>
    </row>
    <row r="382" spans="1:15" ht="34.5" customHeight="1">
      <c r="A382" s="315">
        <v>85214</v>
      </c>
      <c r="B382" s="316" t="s">
        <v>435</v>
      </c>
      <c r="C382" s="317">
        <f>SUM(C383)</f>
        <v>4792000</v>
      </c>
      <c r="D382" s="317">
        <f>SUM(D383)</f>
        <v>399333</v>
      </c>
      <c r="E382" s="317">
        <f>SUM(E383)</f>
        <v>399333</v>
      </c>
      <c r="F382" s="317">
        <f aca="true" t="shared" si="118" ref="F382:O382">SUM(F383)</f>
        <v>399333</v>
      </c>
      <c r="G382" s="317">
        <f t="shared" si="118"/>
        <v>399333</v>
      </c>
      <c r="H382" s="317">
        <f t="shared" si="118"/>
        <v>399333</v>
      </c>
      <c r="I382" s="317">
        <f t="shared" si="118"/>
        <v>399333</v>
      </c>
      <c r="J382" s="317">
        <f t="shared" si="118"/>
        <v>399333</v>
      </c>
      <c r="K382" s="317">
        <f t="shared" si="118"/>
        <v>399333</v>
      </c>
      <c r="L382" s="317">
        <f t="shared" si="118"/>
        <v>399333</v>
      </c>
      <c r="M382" s="317">
        <f t="shared" si="118"/>
        <v>399333</v>
      </c>
      <c r="N382" s="317">
        <f t="shared" si="118"/>
        <v>399333</v>
      </c>
      <c r="O382" s="318">
        <f t="shared" si="118"/>
        <v>399337</v>
      </c>
    </row>
    <row r="383" spans="1:15" ht="12">
      <c r="A383" s="245"/>
      <c r="B383" s="246" t="s">
        <v>399</v>
      </c>
      <c r="C383" s="251">
        <f>SUM(D383:O383)</f>
        <v>4792000</v>
      </c>
      <c r="D383" s="103">
        <f>SUM(D384:D386)</f>
        <v>399333</v>
      </c>
      <c r="E383" s="103">
        <f>SUM(E384:E386)</f>
        <v>399333</v>
      </c>
      <c r="F383" s="103">
        <f aca="true" t="shared" si="119" ref="F383:O383">SUM(F384:F386)</f>
        <v>399333</v>
      </c>
      <c r="G383" s="103">
        <f t="shared" si="119"/>
        <v>399333</v>
      </c>
      <c r="H383" s="103">
        <f t="shared" si="119"/>
        <v>399333</v>
      </c>
      <c r="I383" s="103">
        <f t="shared" si="119"/>
        <v>399333</v>
      </c>
      <c r="J383" s="103">
        <f t="shared" si="119"/>
        <v>399333</v>
      </c>
      <c r="K383" s="103">
        <f t="shared" si="119"/>
        <v>399333</v>
      </c>
      <c r="L383" s="103">
        <f t="shared" si="119"/>
        <v>399333</v>
      </c>
      <c r="M383" s="103">
        <f t="shared" si="119"/>
        <v>399333</v>
      </c>
      <c r="N383" s="103">
        <f t="shared" si="119"/>
        <v>399333</v>
      </c>
      <c r="O383" s="174">
        <f t="shared" si="119"/>
        <v>399337</v>
      </c>
    </row>
    <row r="384" spans="1:18" s="254" customFormat="1" ht="12">
      <c r="A384" s="249"/>
      <c r="B384" s="250" t="s">
        <v>384</v>
      </c>
      <c r="C384" s="251">
        <f>SUM(D384:O384)</f>
        <v>0</v>
      </c>
      <c r="D384" s="251"/>
      <c r="E384" s="251"/>
      <c r="F384" s="251"/>
      <c r="G384" s="251"/>
      <c r="H384" s="251"/>
      <c r="I384" s="251"/>
      <c r="J384" s="251"/>
      <c r="K384" s="251"/>
      <c r="L384" s="251"/>
      <c r="M384" s="251"/>
      <c r="N384" s="251"/>
      <c r="O384" s="262"/>
      <c r="Q384" s="4"/>
      <c r="R384" s="4"/>
    </row>
    <row r="385" spans="1:18" s="254" customFormat="1" ht="12">
      <c r="A385" s="249"/>
      <c r="B385" s="250" t="s">
        <v>385</v>
      </c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M385" s="251"/>
      <c r="N385" s="251"/>
      <c r="O385" s="262"/>
      <c r="Q385" s="4"/>
      <c r="R385" s="4"/>
    </row>
    <row r="386" spans="1:18" s="254" customFormat="1" ht="12">
      <c r="A386" s="276"/>
      <c r="B386" s="277" t="s">
        <v>357</v>
      </c>
      <c r="C386" s="251">
        <f>SUM(D386:O386)</f>
        <v>4792000</v>
      </c>
      <c r="D386" s="186">
        <v>399333</v>
      </c>
      <c r="E386" s="186">
        <v>399333</v>
      </c>
      <c r="F386" s="186">
        <v>399333</v>
      </c>
      <c r="G386" s="186">
        <v>399333</v>
      </c>
      <c r="H386" s="186">
        <v>399333</v>
      </c>
      <c r="I386" s="186">
        <v>399333</v>
      </c>
      <c r="J386" s="186">
        <v>399333</v>
      </c>
      <c r="K386" s="186">
        <v>399333</v>
      </c>
      <c r="L386" s="186">
        <v>399333</v>
      </c>
      <c r="M386" s="186">
        <v>399333</v>
      </c>
      <c r="N386" s="186">
        <v>399333</v>
      </c>
      <c r="O386" s="188">
        <v>399337</v>
      </c>
      <c r="Q386" s="4"/>
      <c r="R386" s="4"/>
    </row>
    <row r="387" spans="1:15" ht="15" customHeight="1">
      <c r="A387" s="271">
        <v>85215</v>
      </c>
      <c r="B387" s="279" t="s">
        <v>285</v>
      </c>
      <c r="C387" s="267">
        <f aca="true" t="shared" si="120" ref="C387:O388">SUM(C388)</f>
        <v>5800000</v>
      </c>
      <c r="D387" s="267">
        <f t="shared" si="120"/>
        <v>483333</v>
      </c>
      <c r="E387" s="267">
        <f t="shared" si="120"/>
        <v>483333</v>
      </c>
      <c r="F387" s="267">
        <f t="shared" si="120"/>
        <v>483333</v>
      </c>
      <c r="G387" s="267">
        <f t="shared" si="120"/>
        <v>483333</v>
      </c>
      <c r="H387" s="267">
        <f t="shared" si="120"/>
        <v>483333</v>
      </c>
      <c r="I387" s="267">
        <f t="shared" si="120"/>
        <v>483333</v>
      </c>
      <c r="J387" s="267">
        <f t="shared" si="120"/>
        <v>483333</v>
      </c>
      <c r="K387" s="267">
        <f t="shared" si="120"/>
        <v>483333</v>
      </c>
      <c r="L387" s="267">
        <f t="shared" si="120"/>
        <v>483333</v>
      </c>
      <c r="M387" s="267">
        <f t="shared" si="120"/>
        <v>483333</v>
      </c>
      <c r="N387" s="267">
        <f t="shared" si="120"/>
        <v>483333</v>
      </c>
      <c r="O387" s="268">
        <f t="shared" si="120"/>
        <v>483337</v>
      </c>
    </row>
    <row r="388" spans="1:15" ht="12" customHeight="1">
      <c r="A388" s="245"/>
      <c r="B388" s="246" t="s">
        <v>399</v>
      </c>
      <c r="C388" s="103">
        <f>SUM(D388:O388)</f>
        <v>5800000</v>
      </c>
      <c r="D388" s="103">
        <f t="shared" si="120"/>
        <v>483333</v>
      </c>
      <c r="E388" s="103">
        <f t="shared" si="120"/>
        <v>483333</v>
      </c>
      <c r="F388" s="103">
        <f t="shared" si="120"/>
        <v>483333</v>
      </c>
      <c r="G388" s="103">
        <f t="shared" si="120"/>
        <v>483333</v>
      </c>
      <c r="H388" s="103">
        <f t="shared" si="120"/>
        <v>483333</v>
      </c>
      <c r="I388" s="103">
        <f t="shared" si="120"/>
        <v>483333</v>
      </c>
      <c r="J388" s="103">
        <f t="shared" si="120"/>
        <v>483333</v>
      </c>
      <c r="K388" s="103">
        <f t="shared" si="120"/>
        <v>483333</v>
      </c>
      <c r="L388" s="103">
        <f t="shared" si="120"/>
        <v>483333</v>
      </c>
      <c r="M388" s="103">
        <f t="shared" si="120"/>
        <v>483333</v>
      </c>
      <c r="N388" s="103">
        <f t="shared" si="120"/>
        <v>483333</v>
      </c>
      <c r="O388" s="105">
        <f t="shared" si="120"/>
        <v>483337</v>
      </c>
    </row>
    <row r="389" spans="1:18" s="254" customFormat="1" ht="12">
      <c r="A389" s="249"/>
      <c r="B389" s="250" t="s">
        <v>357</v>
      </c>
      <c r="C389" s="251">
        <f>SUM(D389:O389)</f>
        <v>5800000</v>
      </c>
      <c r="D389" s="251">
        <v>483333</v>
      </c>
      <c r="E389" s="251">
        <v>483333</v>
      </c>
      <c r="F389" s="251">
        <v>483333</v>
      </c>
      <c r="G389" s="251">
        <v>483333</v>
      </c>
      <c r="H389" s="251">
        <v>483333</v>
      </c>
      <c r="I389" s="251">
        <v>483333</v>
      </c>
      <c r="J389" s="251">
        <v>483333</v>
      </c>
      <c r="K389" s="251">
        <v>483333</v>
      </c>
      <c r="L389" s="251">
        <v>483333</v>
      </c>
      <c r="M389" s="251">
        <v>483333</v>
      </c>
      <c r="N389" s="251">
        <v>483333</v>
      </c>
      <c r="O389" s="262">
        <v>483337</v>
      </c>
      <c r="Q389" s="4"/>
      <c r="R389" s="4"/>
    </row>
    <row r="390" spans="1:15" ht="36.75" customHeight="1">
      <c r="A390" s="271">
        <v>85216</v>
      </c>
      <c r="B390" s="279" t="s">
        <v>288</v>
      </c>
      <c r="C390" s="267">
        <f>SUM(C391)</f>
        <v>0</v>
      </c>
      <c r="D390" s="267">
        <f>SUM(D391)</f>
        <v>0</v>
      </c>
      <c r="E390" s="267">
        <f>SUM(E391)</f>
        <v>0</v>
      </c>
      <c r="F390" s="267">
        <f aca="true" t="shared" si="121" ref="F390:O391">SUM(F391)</f>
        <v>0</v>
      </c>
      <c r="G390" s="267">
        <f t="shared" si="121"/>
        <v>0</v>
      </c>
      <c r="H390" s="267">
        <f t="shared" si="121"/>
        <v>0</v>
      </c>
      <c r="I390" s="267">
        <f t="shared" si="121"/>
        <v>0</v>
      </c>
      <c r="J390" s="267">
        <f t="shared" si="121"/>
        <v>0</v>
      </c>
      <c r="K390" s="267">
        <f t="shared" si="121"/>
        <v>0</v>
      </c>
      <c r="L390" s="267">
        <f t="shared" si="121"/>
        <v>0</v>
      </c>
      <c r="M390" s="267">
        <f t="shared" si="121"/>
        <v>0</v>
      </c>
      <c r="N390" s="267">
        <f t="shared" si="121"/>
        <v>0</v>
      </c>
      <c r="O390" s="268">
        <f t="shared" si="121"/>
        <v>0</v>
      </c>
    </row>
    <row r="391" spans="1:16" ht="12.75">
      <c r="A391" s="245"/>
      <c r="B391" s="246" t="s">
        <v>399</v>
      </c>
      <c r="C391" s="103">
        <f>SUM(D391:O391)</f>
        <v>0</v>
      </c>
      <c r="D391" s="103">
        <f>SUM(D392)</f>
        <v>0</v>
      </c>
      <c r="E391" s="103">
        <f>SUM(E392)</f>
        <v>0</v>
      </c>
      <c r="F391" s="103">
        <f t="shared" si="121"/>
        <v>0</v>
      </c>
      <c r="G391" s="103">
        <f>SUM(G392)</f>
        <v>0</v>
      </c>
      <c r="H391" s="103">
        <f t="shared" si="121"/>
        <v>0</v>
      </c>
      <c r="I391" s="103">
        <f t="shared" si="121"/>
        <v>0</v>
      </c>
      <c r="J391" s="103">
        <f t="shared" si="121"/>
        <v>0</v>
      </c>
      <c r="K391" s="103">
        <f t="shared" si="121"/>
        <v>0</v>
      </c>
      <c r="L391" s="103">
        <f t="shared" si="121"/>
        <v>0</v>
      </c>
      <c r="M391" s="103">
        <f t="shared" si="121"/>
        <v>0</v>
      </c>
      <c r="N391" s="103">
        <f t="shared" si="121"/>
        <v>0</v>
      </c>
      <c r="O391" s="105">
        <f t="shared" si="121"/>
        <v>0</v>
      </c>
      <c r="P391" s="342"/>
    </row>
    <row r="392" spans="1:18" s="254" customFormat="1" ht="12">
      <c r="A392" s="249"/>
      <c r="B392" s="250" t="s">
        <v>357</v>
      </c>
      <c r="C392" s="251">
        <f>SUM(D392:O392)</f>
        <v>0</v>
      </c>
      <c r="D392" s="251"/>
      <c r="E392" s="251"/>
      <c r="F392" s="251"/>
      <c r="G392" s="251"/>
      <c r="H392" s="251"/>
      <c r="I392" s="251"/>
      <c r="J392" s="251"/>
      <c r="K392" s="251"/>
      <c r="L392" s="251"/>
      <c r="M392" s="251"/>
      <c r="N392" s="251"/>
      <c r="O392" s="262"/>
      <c r="Q392" s="4"/>
      <c r="R392" s="4"/>
    </row>
    <row r="393" spans="1:15" ht="25.5" customHeight="1">
      <c r="A393" s="271">
        <v>85218</v>
      </c>
      <c r="B393" s="279" t="s">
        <v>436</v>
      </c>
      <c r="C393" s="267">
        <f aca="true" t="shared" si="122" ref="C393:O393">C394+C398</f>
        <v>581335</v>
      </c>
      <c r="D393" s="267">
        <f t="shared" si="122"/>
        <v>44285</v>
      </c>
      <c r="E393" s="267">
        <f t="shared" si="122"/>
        <v>44285</v>
      </c>
      <c r="F393" s="267">
        <f t="shared" si="122"/>
        <v>84192</v>
      </c>
      <c r="G393" s="267">
        <f t="shared" si="122"/>
        <v>44285</v>
      </c>
      <c r="H393" s="267">
        <f t="shared" si="122"/>
        <v>54285</v>
      </c>
      <c r="I393" s="267">
        <f t="shared" si="122"/>
        <v>44285</v>
      </c>
      <c r="J393" s="267">
        <f t="shared" si="122"/>
        <v>44285</v>
      </c>
      <c r="K393" s="267">
        <f t="shared" si="122"/>
        <v>44285</v>
      </c>
      <c r="L393" s="267">
        <f t="shared" si="122"/>
        <v>44285</v>
      </c>
      <c r="M393" s="267">
        <f t="shared" si="122"/>
        <v>44285</v>
      </c>
      <c r="N393" s="267">
        <f t="shared" si="122"/>
        <v>44285</v>
      </c>
      <c r="O393" s="268">
        <f t="shared" si="122"/>
        <v>44293</v>
      </c>
    </row>
    <row r="394" spans="1:15" ht="11.25" customHeight="1">
      <c r="A394" s="245"/>
      <c r="B394" s="246" t="s">
        <v>399</v>
      </c>
      <c r="C394" s="172">
        <f>SUM(D394:O394)</f>
        <v>571335</v>
      </c>
      <c r="D394" s="172">
        <f>SUM(D395:D397)</f>
        <v>44285</v>
      </c>
      <c r="E394" s="172">
        <f aca="true" t="shared" si="123" ref="E394:O394">SUM(E395:E397)</f>
        <v>44285</v>
      </c>
      <c r="F394" s="172">
        <f t="shared" si="123"/>
        <v>84192</v>
      </c>
      <c r="G394" s="172">
        <f t="shared" si="123"/>
        <v>44285</v>
      </c>
      <c r="H394" s="172">
        <f t="shared" si="123"/>
        <v>44285</v>
      </c>
      <c r="I394" s="172">
        <f t="shared" si="123"/>
        <v>44285</v>
      </c>
      <c r="J394" s="172">
        <f t="shared" si="123"/>
        <v>44285</v>
      </c>
      <c r="K394" s="172">
        <f t="shared" si="123"/>
        <v>44285</v>
      </c>
      <c r="L394" s="172">
        <f t="shared" si="123"/>
        <v>44285</v>
      </c>
      <c r="M394" s="172">
        <f t="shared" si="123"/>
        <v>44285</v>
      </c>
      <c r="N394" s="172">
        <f t="shared" si="123"/>
        <v>44285</v>
      </c>
      <c r="O394" s="174">
        <f t="shared" si="123"/>
        <v>44293</v>
      </c>
    </row>
    <row r="395" spans="1:15" ht="12">
      <c r="A395" s="245"/>
      <c r="B395" s="250" t="s">
        <v>384</v>
      </c>
      <c r="C395" s="251">
        <f>SUM(D395:O395)</f>
        <v>518785</v>
      </c>
      <c r="D395" s="251">
        <v>39906</v>
      </c>
      <c r="E395" s="251">
        <v>39906</v>
      </c>
      <c r="F395" s="251">
        <v>79813</v>
      </c>
      <c r="G395" s="251">
        <v>39906</v>
      </c>
      <c r="H395" s="251">
        <v>39906</v>
      </c>
      <c r="I395" s="251">
        <v>39906</v>
      </c>
      <c r="J395" s="251">
        <v>39906</v>
      </c>
      <c r="K395" s="251">
        <v>39906</v>
      </c>
      <c r="L395" s="251">
        <v>39906</v>
      </c>
      <c r="M395" s="251">
        <v>39906</v>
      </c>
      <c r="N395" s="251">
        <v>39906</v>
      </c>
      <c r="O395" s="262">
        <v>39912</v>
      </c>
    </row>
    <row r="396" spans="1:15" ht="12">
      <c r="A396" s="245"/>
      <c r="B396" s="250" t="s">
        <v>385</v>
      </c>
      <c r="C396" s="251"/>
      <c r="D396" s="103"/>
      <c r="E396" s="103"/>
      <c r="F396" s="103"/>
      <c r="G396" s="103"/>
      <c r="H396" s="251"/>
      <c r="I396" s="251"/>
      <c r="J396" s="103"/>
      <c r="K396" s="103"/>
      <c r="L396" s="103"/>
      <c r="M396" s="103"/>
      <c r="N396" s="251"/>
      <c r="O396" s="262"/>
    </row>
    <row r="397" spans="1:15" ht="12">
      <c r="A397" s="245"/>
      <c r="B397" s="246" t="s">
        <v>357</v>
      </c>
      <c r="C397" s="251">
        <f>SUM(D397:O397)</f>
        <v>52550</v>
      </c>
      <c r="D397" s="251">
        <v>4379</v>
      </c>
      <c r="E397" s="251">
        <v>4379</v>
      </c>
      <c r="F397" s="251">
        <v>4379</v>
      </c>
      <c r="G397" s="251">
        <v>4379</v>
      </c>
      <c r="H397" s="251">
        <v>4379</v>
      </c>
      <c r="I397" s="251">
        <v>4379</v>
      </c>
      <c r="J397" s="251">
        <v>4379</v>
      </c>
      <c r="K397" s="251">
        <v>4379</v>
      </c>
      <c r="L397" s="251">
        <v>4379</v>
      </c>
      <c r="M397" s="251">
        <v>4379</v>
      </c>
      <c r="N397" s="251">
        <v>4379</v>
      </c>
      <c r="O397" s="262">
        <v>4381</v>
      </c>
    </row>
    <row r="398" spans="1:15" ht="12">
      <c r="A398" s="283"/>
      <c r="B398" s="343" t="s">
        <v>352</v>
      </c>
      <c r="C398" s="186">
        <f>SUM(D398:O398)</f>
        <v>10000</v>
      </c>
      <c r="D398" s="177"/>
      <c r="E398" s="177"/>
      <c r="F398" s="177"/>
      <c r="G398" s="177"/>
      <c r="H398" s="177">
        <f>SUM(H399)</f>
        <v>10000</v>
      </c>
      <c r="I398" s="177"/>
      <c r="J398" s="177"/>
      <c r="K398" s="177"/>
      <c r="L398" s="177"/>
      <c r="M398" s="177"/>
      <c r="N398" s="177"/>
      <c r="O398" s="144"/>
    </row>
    <row r="399" spans="1:18" s="254" customFormat="1" ht="12">
      <c r="A399" s="276"/>
      <c r="B399" s="277" t="s">
        <v>353</v>
      </c>
      <c r="C399" s="186">
        <f>SUM(D399:O399)</f>
        <v>10000</v>
      </c>
      <c r="D399" s="186"/>
      <c r="E399" s="186"/>
      <c r="F399" s="186"/>
      <c r="G399" s="186"/>
      <c r="H399" s="186">
        <v>10000</v>
      </c>
      <c r="I399" s="186"/>
      <c r="J399" s="186"/>
      <c r="K399" s="186"/>
      <c r="L399" s="186"/>
      <c r="M399" s="186"/>
      <c r="N399" s="186"/>
      <c r="O399" s="188"/>
      <c r="Q399" s="4"/>
      <c r="R399" s="4"/>
    </row>
    <row r="400" spans="1:15" ht="16.5" customHeight="1">
      <c r="A400" s="271">
        <v>85219</v>
      </c>
      <c r="B400" s="279" t="s">
        <v>291</v>
      </c>
      <c r="C400" s="267">
        <f>SUM(C401+C406)</f>
        <v>4873421</v>
      </c>
      <c r="D400" s="267">
        <f>SUM(D401+D406)</f>
        <v>377779</v>
      </c>
      <c r="E400" s="267">
        <f>SUM(E401+E406)</f>
        <v>377779</v>
      </c>
      <c r="F400" s="267">
        <f>SUM(F401+F406)</f>
        <v>697833</v>
      </c>
      <c r="G400" s="267">
        <f aca="true" t="shared" si="124" ref="G400:O400">SUM(G401+G406)</f>
        <v>377779</v>
      </c>
      <c r="H400" s="267">
        <f t="shared" si="124"/>
        <v>397779</v>
      </c>
      <c r="I400" s="267">
        <f t="shared" si="124"/>
        <v>377779</v>
      </c>
      <c r="J400" s="267">
        <f t="shared" si="124"/>
        <v>377779</v>
      </c>
      <c r="K400" s="267">
        <f t="shared" si="124"/>
        <v>377779</v>
      </c>
      <c r="L400" s="267">
        <f t="shared" si="124"/>
        <v>377786</v>
      </c>
      <c r="M400" s="267">
        <f t="shared" si="124"/>
        <v>377780</v>
      </c>
      <c r="N400" s="267">
        <f t="shared" si="124"/>
        <v>377779</v>
      </c>
      <c r="O400" s="268">
        <f t="shared" si="124"/>
        <v>377790</v>
      </c>
    </row>
    <row r="401" spans="1:15" ht="12">
      <c r="A401" s="274"/>
      <c r="B401" s="275" t="s">
        <v>356</v>
      </c>
      <c r="C401" s="103">
        <f>SUM(D401:O401)</f>
        <v>4853421</v>
      </c>
      <c r="D401" s="172">
        <f>SUM(D402:D404)</f>
        <v>377779</v>
      </c>
      <c r="E401" s="172">
        <f>SUM(E402:E404)</f>
        <v>377779</v>
      </c>
      <c r="F401" s="172">
        <f aca="true" t="shared" si="125" ref="F401:O401">SUM(F402:F404)</f>
        <v>697833</v>
      </c>
      <c r="G401" s="172">
        <f t="shared" si="125"/>
        <v>377779</v>
      </c>
      <c r="H401" s="172">
        <f t="shared" si="125"/>
        <v>377779</v>
      </c>
      <c r="I401" s="172">
        <f t="shared" si="125"/>
        <v>377779</v>
      </c>
      <c r="J401" s="172">
        <f t="shared" si="125"/>
        <v>377779</v>
      </c>
      <c r="K401" s="172">
        <f t="shared" si="125"/>
        <v>377779</v>
      </c>
      <c r="L401" s="172">
        <f t="shared" si="125"/>
        <v>377786</v>
      </c>
      <c r="M401" s="172">
        <f t="shared" si="125"/>
        <v>377780</v>
      </c>
      <c r="N401" s="172">
        <f t="shared" si="125"/>
        <v>377779</v>
      </c>
      <c r="O401" s="174">
        <f t="shared" si="125"/>
        <v>377790</v>
      </c>
    </row>
    <row r="402" spans="1:18" s="254" customFormat="1" ht="12">
      <c r="A402" s="249"/>
      <c r="B402" s="250" t="s">
        <v>384</v>
      </c>
      <c r="C402" s="251">
        <f>SUM(D402:O402)</f>
        <v>4160701</v>
      </c>
      <c r="D402" s="251">
        <v>320053</v>
      </c>
      <c r="E402" s="251">
        <v>320053</v>
      </c>
      <c r="F402" s="251">
        <v>640107</v>
      </c>
      <c r="G402" s="251">
        <v>320053</v>
      </c>
      <c r="H402" s="251">
        <v>320053</v>
      </c>
      <c r="I402" s="251">
        <v>320053</v>
      </c>
      <c r="J402" s="251">
        <v>320053</v>
      </c>
      <c r="K402" s="251">
        <v>320053</v>
      </c>
      <c r="L402" s="251">
        <v>320053</v>
      </c>
      <c r="M402" s="251">
        <v>320053</v>
      </c>
      <c r="N402" s="251">
        <v>320053</v>
      </c>
      <c r="O402" s="262">
        <v>320064</v>
      </c>
      <c r="Q402" s="4"/>
      <c r="R402" s="4"/>
    </row>
    <row r="403" spans="1:18" s="254" customFormat="1" ht="12">
      <c r="A403" s="249"/>
      <c r="B403" s="250" t="s">
        <v>385</v>
      </c>
      <c r="C403" s="251"/>
      <c r="D403" s="251"/>
      <c r="E403" s="251"/>
      <c r="F403" s="251"/>
      <c r="G403" s="251"/>
      <c r="H403" s="251"/>
      <c r="I403" s="251"/>
      <c r="J403" s="251"/>
      <c r="K403" s="251"/>
      <c r="L403" s="251"/>
      <c r="M403" s="251"/>
      <c r="N403" s="251"/>
      <c r="O403" s="262"/>
      <c r="Q403" s="4"/>
      <c r="R403" s="4"/>
    </row>
    <row r="404" spans="1:18" s="254" customFormat="1" ht="12">
      <c r="A404" s="249"/>
      <c r="B404" s="250" t="s">
        <v>357</v>
      </c>
      <c r="C404" s="251">
        <f>SUM(D404:O404)</f>
        <v>692720</v>
      </c>
      <c r="D404" s="251">
        <v>57726</v>
      </c>
      <c r="E404" s="251">
        <v>57726</v>
      </c>
      <c r="F404" s="251">
        <v>57726</v>
      </c>
      <c r="G404" s="251">
        <v>57726</v>
      </c>
      <c r="H404" s="251">
        <v>57726</v>
      </c>
      <c r="I404" s="251">
        <v>57726</v>
      </c>
      <c r="J404" s="251">
        <v>57726</v>
      </c>
      <c r="K404" s="251">
        <v>57726</v>
      </c>
      <c r="L404" s="251">
        <v>57733</v>
      </c>
      <c r="M404" s="251">
        <v>57727</v>
      </c>
      <c r="N404" s="251">
        <v>57726</v>
      </c>
      <c r="O404" s="262">
        <v>57726</v>
      </c>
      <c r="Q404" s="4"/>
      <c r="R404" s="4"/>
    </row>
    <row r="405" spans="1:18" s="254" customFormat="1" ht="12">
      <c r="A405" s="249"/>
      <c r="B405" s="250" t="s">
        <v>376</v>
      </c>
      <c r="C405" s="251">
        <f>SUM(D405:O405)</f>
        <v>45000</v>
      </c>
      <c r="D405" s="251"/>
      <c r="E405" s="251"/>
      <c r="F405" s="251"/>
      <c r="G405" s="251"/>
      <c r="H405" s="251">
        <v>10000</v>
      </c>
      <c r="I405" s="251">
        <v>15000</v>
      </c>
      <c r="J405" s="251">
        <v>10000</v>
      </c>
      <c r="K405" s="251">
        <v>10000</v>
      </c>
      <c r="L405" s="251"/>
      <c r="M405" s="251"/>
      <c r="N405" s="251"/>
      <c r="O405" s="262"/>
      <c r="Q405" s="4"/>
      <c r="R405" s="4"/>
    </row>
    <row r="406" spans="1:15" ht="12">
      <c r="A406" s="245"/>
      <c r="B406" s="246" t="s">
        <v>352</v>
      </c>
      <c r="C406" s="251">
        <f>SUM(D406:O406)</f>
        <v>20000</v>
      </c>
      <c r="D406" s="103"/>
      <c r="E406" s="103"/>
      <c r="F406" s="103"/>
      <c r="G406" s="103"/>
      <c r="H406" s="103">
        <f>SUM(H407)</f>
        <v>20000</v>
      </c>
      <c r="I406" s="103"/>
      <c r="J406" s="103"/>
      <c r="K406" s="103"/>
      <c r="L406" s="103"/>
      <c r="M406" s="103"/>
      <c r="N406" s="103"/>
      <c r="O406" s="105"/>
    </row>
    <row r="407" spans="1:18" s="254" customFormat="1" ht="12">
      <c r="A407" s="276"/>
      <c r="B407" s="277" t="s">
        <v>353</v>
      </c>
      <c r="C407" s="186">
        <f>SUM(D407:O407)</f>
        <v>20000</v>
      </c>
      <c r="D407" s="186"/>
      <c r="E407" s="186"/>
      <c r="F407" s="186"/>
      <c r="G407" s="186"/>
      <c r="H407" s="186">
        <v>20000</v>
      </c>
      <c r="I407" s="186"/>
      <c r="J407" s="186"/>
      <c r="K407" s="186"/>
      <c r="L407" s="186"/>
      <c r="M407" s="186"/>
      <c r="N407" s="186"/>
      <c r="O407" s="188"/>
      <c r="Q407" s="4"/>
      <c r="R407" s="4"/>
    </row>
    <row r="408" spans="1:18" s="258" customFormat="1" ht="59.25" customHeight="1">
      <c r="A408" s="271">
        <v>85220</v>
      </c>
      <c r="B408" s="279" t="s">
        <v>437</v>
      </c>
      <c r="C408" s="267">
        <f aca="true" t="shared" si="126" ref="C408:O409">SUM(C409)</f>
        <v>7920</v>
      </c>
      <c r="D408" s="267">
        <f t="shared" si="126"/>
        <v>660</v>
      </c>
      <c r="E408" s="267">
        <f t="shared" si="126"/>
        <v>660</v>
      </c>
      <c r="F408" s="267">
        <f t="shared" si="126"/>
        <v>660</v>
      </c>
      <c r="G408" s="267">
        <f t="shared" si="126"/>
        <v>660</v>
      </c>
      <c r="H408" s="267">
        <f t="shared" si="126"/>
        <v>660</v>
      </c>
      <c r="I408" s="267">
        <f t="shared" si="126"/>
        <v>660</v>
      </c>
      <c r="J408" s="267">
        <f t="shared" si="126"/>
        <v>660</v>
      </c>
      <c r="K408" s="267">
        <f t="shared" si="126"/>
        <v>660</v>
      </c>
      <c r="L408" s="267">
        <f t="shared" si="126"/>
        <v>660</v>
      </c>
      <c r="M408" s="267">
        <f t="shared" si="126"/>
        <v>660</v>
      </c>
      <c r="N408" s="267">
        <f t="shared" si="126"/>
        <v>660</v>
      </c>
      <c r="O408" s="268">
        <f t="shared" si="126"/>
        <v>660</v>
      </c>
      <c r="Q408" s="4"/>
      <c r="R408" s="4"/>
    </row>
    <row r="409" spans="1:15" ht="12" customHeight="1">
      <c r="A409" s="245"/>
      <c r="B409" s="246" t="s">
        <v>399</v>
      </c>
      <c r="C409" s="251">
        <f>SUM(D409:O409)</f>
        <v>7920</v>
      </c>
      <c r="D409" s="103">
        <f>SUM(D410)</f>
        <v>660</v>
      </c>
      <c r="E409" s="103">
        <f>SUM(E410)</f>
        <v>660</v>
      </c>
      <c r="F409" s="103">
        <f>SUM(F410)</f>
        <v>660</v>
      </c>
      <c r="G409" s="103">
        <f>SUM(G410)</f>
        <v>660</v>
      </c>
      <c r="H409" s="103">
        <f>SUM(H410)</f>
        <v>660</v>
      </c>
      <c r="I409" s="103">
        <f t="shared" si="126"/>
        <v>660</v>
      </c>
      <c r="J409" s="103">
        <f t="shared" si="126"/>
        <v>660</v>
      </c>
      <c r="K409" s="103">
        <f t="shared" si="126"/>
        <v>660</v>
      </c>
      <c r="L409" s="103">
        <f t="shared" si="126"/>
        <v>660</v>
      </c>
      <c r="M409" s="103">
        <f t="shared" si="126"/>
        <v>660</v>
      </c>
      <c r="N409" s="103">
        <f t="shared" si="126"/>
        <v>660</v>
      </c>
      <c r="O409" s="105">
        <f t="shared" si="126"/>
        <v>660</v>
      </c>
    </row>
    <row r="410" spans="1:18" s="254" customFormat="1" ht="12" customHeight="1">
      <c r="A410" s="276"/>
      <c r="B410" s="277" t="s">
        <v>357</v>
      </c>
      <c r="C410" s="251">
        <f>SUM(D410:O410)</f>
        <v>7920</v>
      </c>
      <c r="D410" s="186">
        <v>660</v>
      </c>
      <c r="E410" s="186">
        <v>660</v>
      </c>
      <c r="F410" s="186">
        <v>660</v>
      </c>
      <c r="G410" s="186">
        <v>660</v>
      </c>
      <c r="H410" s="186">
        <v>660</v>
      </c>
      <c r="I410" s="186">
        <v>660</v>
      </c>
      <c r="J410" s="186">
        <v>660</v>
      </c>
      <c r="K410" s="186">
        <v>660</v>
      </c>
      <c r="L410" s="186">
        <v>660</v>
      </c>
      <c r="M410" s="186">
        <v>660</v>
      </c>
      <c r="N410" s="186">
        <v>660</v>
      </c>
      <c r="O410" s="188">
        <v>660</v>
      </c>
      <c r="Q410" s="4"/>
      <c r="R410" s="4"/>
    </row>
    <row r="411" spans="1:18" s="258" customFormat="1" ht="25.5" customHeight="1">
      <c r="A411" s="271">
        <v>85226</v>
      </c>
      <c r="B411" s="279" t="s">
        <v>295</v>
      </c>
      <c r="C411" s="267">
        <f>SUM(C412)</f>
        <v>254860</v>
      </c>
      <c r="D411" s="267">
        <f>SUM(D412)</f>
        <v>19820</v>
      </c>
      <c r="E411" s="267">
        <f aca="true" t="shared" si="127" ref="E411:O411">SUM(E412)</f>
        <v>19820</v>
      </c>
      <c r="F411" s="267">
        <f t="shared" si="127"/>
        <v>36840</v>
      </c>
      <c r="G411" s="267">
        <f t="shared" si="127"/>
        <v>19820</v>
      </c>
      <c r="H411" s="267">
        <f t="shared" si="127"/>
        <v>19820</v>
      </c>
      <c r="I411" s="267">
        <f t="shared" si="127"/>
        <v>19820</v>
      </c>
      <c r="J411" s="267">
        <f t="shared" si="127"/>
        <v>19820</v>
      </c>
      <c r="K411" s="267">
        <f t="shared" si="127"/>
        <v>19820</v>
      </c>
      <c r="L411" s="267">
        <f t="shared" si="127"/>
        <v>19820</v>
      </c>
      <c r="M411" s="267">
        <f t="shared" si="127"/>
        <v>19820</v>
      </c>
      <c r="N411" s="267">
        <f t="shared" si="127"/>
        <v>19820</v>
      </c>
      <c r="O411" s="268">
        <f t="shared" si="127"/>
        <v>19820</v>
      </c>
      <c r="Q411" s="4"/>
      <c r="R411" s="4"/>
    </row>
    <row r="412" spans="1:15" ht="12">
      <c r="A412" s="245"/>
      <c r="B412" s="259" t="s">
        <v>356</v>
      </c>
      <c r="C412" s="251">
        <f>SUM(D412:O412)</f>
        <v>254860</v>
      </c>
      <c r="D412" s="103">
        <f>SUM(D413:D415)</f>
        <v>19820</v>
      </c>
      <c r="E412" s="172">
        <f aca="true" t="shared" si="128" ref="E412:O412">SUM(E413:E415)</f>
        <v>19820</v>
      </c>
      <c r="F412" s="172">
        <f t="shared" si="128"/>
        <v>36840</v>
      </c>
      <c r="G412" s="172">
        <f t="shared" si="128"/>
        <v>19820</v>
      </c>
      <c r="H412" s="172">
        <f t="shared" si="128"/>
        <v>19820</v>
      </c>
      <c r="I412" s="172">
        <f t="shared" si="128"/>
        <v>19820</v>
      </c>
      <c r="J412" s="172">
        <f t="shared" si="128"/>
        <v>19820</v>
      </c>
      <c r="K412" s="172">
        <f t="shared" si="128"/>
        <v>19820</v>
      </c>
      <c r="L412" s="172">
        <f t="shared" si="128"/>
        <v>19820</v>
      </c>
      <c r="M412" s="172">
        <f t="shared" si="128"/>
        <v>19820</v>
      </c>
      <c r="N412" s="172">
        <f t="shared" si="128"/>
        <v>19820</v>
      </c>
      <c r="O412" s="174">
        <f t="shared" si="128"/>
        <v>19820</v>
      </c>
    </row>
    <row r="413" spans="1:15" ht="12">
      <c r="A413" s="245"/>
      <c r="B413" s="250" t="s">
        <v>384</v>
      </c>
      <c r="C413" s="251">
        <f>SUM(D413:O413)</f>
        <v>216060</v>
      </c>
      <c r="D413" s="251">
        <v>16620</v>
      </c>
      <c r="E413" s="251">
        <v>16620</v>
      </c>
      <c r="F413" s="251">
        <v>33240</v>
      </c>
      <c r="G413" s="251">
        <v>16620</v>
      </c>
      <c r="H413" s="251">
        <v>16620</v>
      </c>
      <c r="I413" s="251">
        <v>16620</v>
      </c>
      <c r="J413" s="251">
        <v>16620</v>
      </c>
      <c r="K413" s="251">
        <v>16620</v>
      </c>
      <c r="L413" s="251">
        <v>16620</v>
      </c>
      <c r="M413" s="251">
        <v>16620</v>
      </c>
      <c r="N413" s="251">
        <v>16620</v>
      </c>
      <c r="O413" s="262">
        <v>16620</v>
      </c>
    </row>
    <row r="414" spans="1:15" ht="12">
      <c r="A414" s="245"/>
      <c r="B414" s="250" t="s">
        <v>385</v>
      </c>
      <c r="C414" s="251"/>
      <c r="D414" s="251"/>
      <c r="E414" s="251"/>
      <c r="F414" s="251"/>
      <c r="G414" s="103"/>
      <c r="H414" s="251"/>
      <c r="I414" s="103"/>
      <c r="J414" s="251"/>
      <c r="K414" s="251"/>
      <c r="L414" s="251"/>
      <c r="M414" s="103"/>
      <c r="N414" s="251"/>
      <c r="O414" s="105"/>
    </row>
    <row r="415" spans="1:15" ht="12">
      <c r="A415" s="245"/>
      <c r="B415" s="261" t="s">
        <v>357</v>
      </c>
      <c r="C415" s="251">
        <f>SUM(D415:O415)</f>
        <v>38800</v>
      </c>
      <c r="D415" s="251">
        <v>3200</v>
      </c>
      <c r="E415" s="251">
        <v>3200</v>
      </c>
      <c r="F415" s="251">
        <v>3600</v>
      </c>
      <c r="G415" s="251">
        <v>3200</v>
      </c>
      <c r="H415" s="251">
        <v>3200</v>
      </c>
      <c r="I415" s="251">
        <v>3200</v>
      </c>
      <c r="J415" s="251">
        <v>3200</v>
      </c>
      <c r="K415" s="251">
        <v>3200</v>
      </c>
      <c r="L415" s="251">
        <v>3200</v>
      </c>
      <c r="M415" s="251">
        <v>3200</v>
      </c>
      <c r="N415" s="251">
        <v>3200</v>
      </c>
      <c r="O415" s="262">
        <v>3200</v>
      </c>
    </row>
    <row r="416" spans="1:18" s="254" customFormat="1" ht="9.75" customHeight="1">
      <c r="A416" s="249"/>
      <c r="B416" s="250" t="s">
        <v>376</v>
      </c>
      <c r="C416" s="251">
        <f>SUM(D416:O416)</f>
        <v>0</v>
      </c>
      <c r="D416" s="251"/>
      <c r="E416" s="251"/>
      <c r="F416" s="251"/>
      <c r="G416" s="251"/>
      <c r="H416" s="251"/>
      <c r="I416" s="251"/>
      <c r="J416" s="251"/>
      <c r="K416" s="251"/>
      <c r="L416" s="251"/>
      <c r="M416" s="251"/>
      <c r="N416" s="251"/>
      <c r="O416" s="262"/>
      <c r="Q416" s="4"/>
      <c r="R416" s="4"/>
    </row>
    <row r="417" spans="1:18" s="258" customFormat="1" ht="36" customHeight="1">
      <c r="A417" s="271">
        <v>85228</v>
      </c>
      <c r="B417" s="279" t="s">
        <v>297</v>
      </c>
      <c r="C417" s="267">
        <f>SUM(C418)</f>
        <v>34000</v>
      </c>
      <c r="D417" s="267">
        <f>SUM(D418)</f>
        <v>2833</v>
      </c>
      <c r="E417" s="267">
        <f aca="true" t="shared" si="129" ref="E417:O417">SUM(E418)</f>
        <v>2833</v>
      </c>
      <c r="F417" s="267">
        <f t="shared" si="129"/>
        <v>2833</v>
      </c>
      <c r="G417" s="267">
        <f t="shared" si="129"/>
        <v>2833</v>
      </c>
      <c r="H417" s="267">
        <f t="shared" si="129"/>
        <v>2833</v>
      </c>
      <c r="I417" s="267">
        <f t="shared" si="129"/>
        <v>2833</v>
      </c>
      <c r="J417" s="267">
        <f t="shared" si="129"/>
        <v>2833</v>
      </c>
      <c r="K417" s="267">
        <f t="shared" si="129"/>
        <v>2833</v>
      </c>
      <c r="L417" s="267">
        <f t="shared" si="129"/>
        <v>2833</v>
      </c>
      <c r="M417" s="267">
        <f t="shared" si="129"/>
        <v>2833</v>
      </c>
      <c r="N417" s="267">
        <f t="shared" si="129"/>
        <v>2833</v>
      </c>
      <c r="O417" s="268">
        <f t="shared" si="129"/>
        <v>2837</v>
      </c>
      <c r="Q417" s="4"/>
      <c r="R417" s="4"/>
    </row>
    <row r="418" spans="1:15" ht="12">
      <c r="A418" s="245"/>
      <c r="B418" s="259" t="s">
        <v>356</v>
      </c>
      <c r="C418" s="251">
        <f>SUM(D418:O418)</f>
        <v>34000</v>
      </c>
      <c r="D418" s="103">
        <f>SUM(D419:D421)</f>
        <v>2833</v>
      </c>
      <c r="E418" s="172">
        <f aca="true" t="shared" si="130" ref="E418:O418">SUM(E419:E421)</f>
        <v>2833</v>
      </c>
      <c r="F418" s="172">
        <f t="shared" si="130"/>
        <v>2833</v>
      </c>
      <c r="G418" s="172">
        <f t="shared" si="130"/>
        <v>2833</v>
      </c>
      <c r="H418" s="172">
        <f t="shared" si="130"/>
        <v>2833</v>
      </c>
      <c r="I418" s="172">
        <f t="shared" si="130"/>
        <v>2833</v>
      </c>
      <c r="J418" s="172">
        <f t="shared" si="130"/>
        <v>2833</v>
      </c>
      <c r="K418" s="172">
        <f t="shared" si="130"/>
        <v>2833</v>
      </c>
      <c r="L418" s="172">
        <f t="shared" si="130"/>
        <v>2833</v>
      </c>
      <c r="M418" s="172">
        <f t="shared" si="130"/>
        <v>2833</v>
      </c>
      <c r="N418" s="172">
        <f t="shared" si="130"/>
        <v>2833</v>
      </c>
      <c r="O418" s="174">
        <f t="shared" si="130"/>
        <v>2837</v>
      </c>
    </row>
    <row r="419" spans="1:15" ht="12">
      <c r="A419" s="245"/>
      <c r="B419" s="250" t="s">
        <v>384</v>
      </c>
      <c r="C419" s="251">
        <f>SUM(D419:O419)</f>
        <v>4120</v>
      </c>
      <c r="D419" s="251">
        <v>343</v>
      </c>
      <c r="E419" s="251">
        <v>343</v>
      </c>
      <c r="F419" s="251">
        <v>343</v>
      </c>
      <c r="G419" s="251">
        <v>343</v>
      </c>
      <c r="H419" s="251">
        <v>343</v>
      </c>
      <c r="I419" s="251">
        <v>343</v>
      </c>
      <c r="J419" s="251">
        <v>343</v>
      </c>
      <c r="K419" s="251">
        <v>343</v>
      </c>
      <c r="L419" s="251">
        <v>343</v>
      </c>
      <c r="M419" s="251">
        <v>343</v>
      </c>
      <c r="N419" s="251">
        <v>343</v>
      </c>
      <c r="O419" s="262">
        <v>347</v>
      </c>
    </row>
    <row r="420" spans="1:15" ht="12">
      <c r="A420" s="245"/>
      <c r="B420" s="250" t="s">
        <v>385</v>
      </c>
      <c r="C420" s="251"/>
      <c r="D420" s="251"/>
      <c r="E420" s="251"/>
      <c r="F420" s="251"/>
      <c r="G420" s="103"/>
      <c r="H420" s="251"/>
      <c r="I420" s="103"/>
      <c r="J420" s="251"/>
      <c r="K420" s="251"/>
      <c r="L420" s="251"/>
      <c r="M420" s="103"/>
      <c r="N420" s="251"/>
      <c r="O420" s="105"/>
    </row>
    <row r="421" spans="1:15" ht="12">
      <c r="A421" s="245"/>
      <c r="B421" s="261" t="s">
        <v>357</v>
      </c>
      <c r="C421" s="251">
        <f>SUM(D421:O421)</f>
        <v>29880</v>
      </c>
      <c r="D421" s="251">
        <v>2490</v>
      </c>
      <c r="E421" s="251">
        <v>2490</v>
      </c>
      <c r="F421" s="251">
        <v>2490</v>
      </c>
      <c r="G421" s="251">
        <v>2490</v>
      </c>
      <c r="H421" s="251">
        <v>2490</v>
      </c>
      <c r="I421" s="251">
        <v>2490</v>
      </c>
      <c r="J421" s="251">
        <v>2490</v>
      </c>
      <c r="K421" s="251">
        <v>2490</v>
      </c>
      <c r="L421" s="251">
        <v>2490</v>
      </c>
      <c r="M421" s="251">
        <v>2490</v>
      </c>
      <c r="N421" s="251">
        <v>2490</v>
      </c>
      <c r="O421" s="262">
        <v>2490</v>
      </c>
    </row>
    <row r="422" spans="1:15" ht="14.25" customHeight="1">
      <c r="A422" s="271">
        <v>85295</v>
      </c>
      <c r="B422" s="279" t="s">
        <v>86</v>
      </c>
      <c r="C422" s="256">
        <f>SUM(C423+C426)</f>
        <v>198400</v>
      </c>
      <c r="D422" s="256">
        <f>SUM(D423+D426)</f>
        <v>2033</v>
      </c>
      <c r="E422" s="256">
        <f aca="true" t="shared" si="131" ref="E422:O422">SUM(E423+E426)</f>
        <v>2033</v>
      </c>
      <c r="F422" s="256">
        <f t="shared" si="131"/>
        <v>53033</v>
      </c>
      <c r="G422" s="256">
        <f t="shared" si="131"/>
        <v>18533</v>
      </c>
      <c r="H422" s="256">
        <f t="shared" si="131"/>
        <v>5533</v>
      </c>
      <c r="I422" s="256">
        <f t="shared" si="131"/>
        <v>18533</v>
      </c>
      <c r="J422" s="256">
        <f t="shared" si="131"/>
        <v>7033</v>
      </c>
      <c r="K422" s="256">
        <f t="shared" si="131"/>
        <v>24533</v>
      </c>
      <c r="L422" s="256">
        <f t="shared" si="131"/>
        <v>3033</v>
      </c>
      <c r="M422" s="256">
        <f t="shared" si="131"/>
        <v>31533</v>
      </c>
      <c r="N422" s="256">
        <f t="shared" si="131"/>
        <v>30533</v>
      </c>
      <c r="O422" s="257">
        <f t="shared" si="131"/>
        <v>2037</v>
      </c>
    </row>
    <row r="423" spans="1:15" ht="12" customHeight="1">
      <c r="A423" s="274"/>
      <c r="B423" s="275" t="s">
        <v>399</v>
      </c>
      <c r="C423" s="251">
        <f>SUM(D423:O423)</f>
        <v>198400</v>
      </c>
      <c r="D423" s="103">
        <f>D424+D425</f>
        <v>2033</v>
      </c>
      <c r="E423" s="172">
        <f aca="true" t="shared" si="132" ref="E423:O423">E424+E425</f>
        <v>2033</v>
      </c>
      <c r="F423" s="172">
        <f t="shared" si="132"/>
        <v>53033</v>
      </c>
      <c r="G423" s="172">
        <f t="shared" si="132"/>
        <v>18533</v>
      </c>
      <c r="H423" s="172">
        <f t="shared" si="132"/>
        <v>5533</v>
      </c>
      <c r="I423" s="172">
        <f t="shared" si="132"/>
        <v>18533</v>
      </c>
      <c r="J423" s="172">
        <f t="shared" si="132"/>
        <v>7033</v>
      </c>
      <c r="K423" s="172">
        <f t="shared" si="132"/>
        <v>24533</v>
      </c>
      <c r="L423" s="172">
        <f t="shared" si="132"/>
        <v>3033</v>
      </c>
      <c r="M423" s="172">
        <f t="shared" si="132"/>
        <v>31533</v>
      </c>
      <c r="N423" s="172">
        <f t="shared" si="132"/>
        <v>30533</v>
      </c>
      <c r="O423" s="174">
        <f t="shared" si="132"/>
        <v>2037</v>
      </c>
    </row>
    <row r="424" spans="1:18" s="304" customFormat="1" ht="12" customHeight="1">
      <c r="A424" s="249"/>
      <c r="B424" s="250" t="s">
        <v>373</v>
      </c>
      <c r="C424" s="251">
        <f>SUM(D424:O424)</f>
        <v>174000</v>
      </c>
      <c r="D424" s="251"/>
      <c r="E424" s="251"/>
      <c r="F424" s="251">
        <v>51000</v>
      </c>
      <c r="G424" s="251">
        <v>16500</v>
      </c>
      <c r="H424" s="251">
        <v>3500</v>
      </c>
      <c r="I424" s="251">
        <v>16500</v>
      </c>
      <c r="J424" s="251">
        <v>5000</v>
      </c>
      <c r="K424" s="251">
        <v>22500</v>
      </c>
      <c r="L424" s="251">
        <v>1000</v>
      </c>
      <c r="M424" s="251">
        <v>29500</v>
      </c>
      <c r="N424" s="251">
        <v>28500</v>
      </c>
      <c r="O424" s="262"/>
      <c r="Q424" s="4"/>
      <c r="R424" s="4"/>
    </row>
    <row r="425" spans="1:18" s="304" customFormat="1" ht="12" customHeight="1">
      <c r="A425" s="249"/>
      <c r="B425" s="250" t="s">
        <v>357</v>
      </c>
      <c r="C425" s="251">
        <f>SUM(D425:O425)</f>
        <v>24400</v>
      </c>
      <c r="D425" s="251">
        <v>2033</v>
      </c>
      <c r="E425" s="251">
        <v>2033</v>
      </c>
      <c r="F425" s="251">
        <v>2033</v>
      </c>
      <c r="G425" s="251">
        <v>2033</v>
      </c>
      <c r="H425" s="251">
        <v>2033</v>
      </c>
      <c r="I425" s="251">
        <v>2033</v>
      </c>
      <c r="J425" s="251">
        <v>2033</v>
      </c>
      <c r="K425" s="251">
        <v>2033</v>
      </c>
      <c r="L425" s="251">
        <v>2033</v>
      </c>
      <c r="M425" s="251">
        <v>2033</v>
      </c>
      <c r="N425" s="251">
        <v>2033</v>
      </c>
      <c r="O425" s="262">
        <v>2037</v>
      </c>
      <c r="Q425" s="4"/>
      <c r="R425" s="4"/>
    </row>
    <row r="426" spans="1:15" ht="12" customHeight="1">
      <c r="A426" s="245"/>
      <c r="B426" s="246" t="s">
        <v>352</v>
      </c>
      <c r="C426" s="251">
        <f>SUM(D426:O426)</f>
        <v>0</v>
      </c>
      <c r="D426" s="103"/>
      <c r="E426" s="103"/>
      <c r="F426" s="103"/>
      <c r="G426" s="103"/>
      <c r="H426" s="103"/>
      <c r="I426" s="103">
        <f>SUM(I427)</f>
        <v>0</v>
      </c>
      <c r="J426" s="103"/>
      <c r="K426" s="103"/>
      <c r="L426" s="103"/>
      <c r="M426" s="103"/>
      <c r="N426" s="103"/>
      <c r="O426" s="105"/>
    </row>
    <row r="427" spans="1:18" s="341" customFormat="1" ht="12" customHeight="1">
      <c r="A427" s="276"/>
      <c r="B427" s="277" t="s">
        <v>368</v>
      </c>
      <c r="C427" s="186">
        <f>SUM(D427:O427)</f>
        <v>0</v>
      </c>
      <c r="D427" s="186"/>
      <c r="E427" s="186"/>
      <c r="F427" s="186"/>
      <c r="G427" s="186"/>
      <c r="H427" s="186"/>
      <c r="I427" s="186"/>
      <c r="J427" s="186"/>
      <c r="K427" s="186"/>
      <c r="L427" s="186"/>
      <c r="M427" s="186"/>
      <c r="N427" s="186"/>
      <c r="O427" s="188"/>
      <c r="Q427" s="4"/>
      <c r="R427" s="4"/>
    </row>
    <row r="428" spans="1:18" s="304" customFormat="1" ht="33.75" customHeight="1" thickBot="1">
      <c r="A428" s="344">
        <v>853</v>
      </c>
      <c r="B428" s="309" t="s">
        <v>302</v>
      </c>
      <c r="C428" s="310">
        <f>C429+C435+C432</f>
        <v>2066665</v>
      </c>
      <c r="D428" s="310">
        <f aca="true" t="shared" si="133" ref="D428:O428">D429+D435+D432</f>
        <v>170322</v>
      </c>
      <c r="E428" s="310">
        <f t="shared" si="133"/>
        <v>171222</v>
      </c>
      <c r="F428" s="310">
        <f t="shared" si="133"/>
        <v>181323</v>
      </c>
      <c r="G428" s="310">
        <f t="shared" si="133"/>
        <v>173722</v>
      </c>
      <c r="H428" s="310">
        <f t="shared" si="133"/>
        <v>171222</v>
      </c>
      <c r="I428" s="310">
        <f t="shared" si="133"/>
        <v>171222</v>
      </c>
      <c r="J428" s="310">
        <f t="shared" si="133"/>
        <v>171222</v>
      </c>
      <c r="K428" s="310">
        <f t="shared" si="133"/>
        <v>171222</v>
      </c>
      <c r="L428" s="310">
        <f t="shared" si="133"/>
        <v>171222</v>
      </c>
      <c r="M428" s="310">
        <f t="shared" si="133"/>
        <v>171222</v>
      </c>
      <c r="N428" s="310">
        <f t="shared" si="133"/>
        <v>171222</v>
      </c>
      <c r="O428" s="311">
        <f t="shared" si="133"/>
        <v>171522</v>
      </c>
      <c r="Q428" s="4"/>
      <c r="R428" s="4"/>
    </row>
    <row r="429" spans="1:15" ht="13.5" customHeight="1" thickTop="1">
      <c r="A429" s="271">
        <v>85305</v>
      </c>
      <c r="B429" s="279" t="s">
        <v>438</v>
      </c>
      <c r="C429" s="267">
        <f aca="true" t="shared" si="134" ref="C429:O433">SUM(C430)</f>
        <v>1800000</v>
      </c>
      <c r="D429" s="267">
        <f t="shared" si="134"/>
        <v>150000</v>
      </c>
      <c r="E429" s="152">
        <f t="shared" si="134"/>
        <v>150000</v>
      </c>
      <c r="F429" s="152">
        <f t="shared" si="134"/>
        <v>150000</v>
      </c>
      <c r="G429" s="152">
        <f t="shared" si="134"/>
        <v>150000</v>
      </c>
      <c r="H429" s="152">
        <f t="shared" si="134"/>
        <v>150000</v>
      </c>
      <c r="I429" s="152">
        <f t="shared" si="134"/>
        <v>150000</v>
      </c>
      <c r="J429" s="152">
        <f t="shared" si="134"/>
        <v>150000</v>
      </c>
      <c r="K429" s="152">
        <f t="shared" si="134"/>
        <v>150000</v>
      </c>
      <c r="L429" s="152">
        <f t="shared" si="134"/>
        <v>150000</v>
      </c>
      <c r="M429" s="152">
        <f t="shared" si="134"/>
        <v>150000</v>
      </c>
      <c r="N429" s="152">
        <f t="shared" si="134"/>
        <v>150000</v>
      </c>
      <c r="O429" s="154">
        <f t="shared" si="134"/>
        <v>150000</v>
      </c>
    </row>
    <row r="430" spans="1:15" ht="12" customHeight="1">
      <c r="A430" s="245"/>
      <c r="B430" s="246" t="s">
        <v>399</v>
      </c>
      <c r="C430" s="251">
        <f>SUM(D430:O430)</f>
        <v>1800000</v>
      </c>
      <c r="D430" s="103">
        <f t="shared" si="134"/>
        <v>150000</v>
      </c>
      <c r="E430" s="172">
        <f t="shared" si="134"/>
        <v>150000</v>
      </c>
      <c r="F430" s="172">
        <f t="shared" si="134"/>
        <v>150000</v>
      </c>
      <c r="G430" s="172">
        <f t="shared" si="134"/>
        <v>150000</v>
      </c>
      <c r="H430" s="172">
        <f t="shared" si="134"/>
        <v>150000</v>
      </c>
      <c r="I430" s="172">
        <f t="shared" si="134"/>
        <v>150000</v>
      </c>
      <c r="J430" s="172">
        <f t="shared" si="134"/>
        <v>150000</v>
      </c>
      <c r="K430" s="172">
        <f t="shared" si="134"/>
        <v>150000</v>
      </c>
      <c r="L430" s="172">
        <f t="shared" si="134"/>
        <v>150000</v>
      </c>
      <c r="M430" s="172">
        <f t="shared" si="134"/>
        <v>150000</v>
      </c>
      <c r="N430" s="172">
        <f t="shared" si="134"/>
        <v>150000</v>
      </c>
      <c r="O430" s="174">
        <f t="shared" si="134"/>
        <v>150000</v>
      </c>
    </row>
    <row r="431" spans="1:18" s="254" customFormat="1" ht="12" customHeight="1">
      <c r="A431" s="276"/>
      <c r="B431" s="277" t="s">
        <v>373</v>
      </c>
      <c r="C431" s="186">
        <f>SUM(D431:O431)</f>
        <v>1800000</v>
      </c>
      <c r="D431" s="186">
        <v>150000</v>
      </c>
      <c r="E431" s="186">
        <v>150000</v>
      </c>
      <c r="F431" s="186">
        <v>150000</v>
      </c>
      <c r="G431" s="186">
        <v>150000</v>
      </c>
      <c r="H431" s="186">
        <v>150000</v>
      </c>
      <c r="I431" s="186">
        <v>150000</v>
      </c>
      <c r="J431" s="186">
        <v>150000</v>
      </c>
      <c r="K431" s="186">
        <v>150000</v>
      </c>
      <c r="L431" s="186">
        <v>150000</v>
      </c>
      <c r="M431" s="186">
        <v>150000</v>
      </c>
      <c r="N431" s="186">
        <v>150000</v>
      </c>
      <c r="O431" s="188">
        <v>150000</v>
      </c>
      <c r="Q431" s="4"/>
      <c r="R431" s="4"/>
    </row>
    <row r="432" spans="1:18" s="254" customFormat="1" ht="35.25" customHeight="1">
      <c r="A432" s="315">
        <v>85311</v>
      </c>
      <c r="B432" s="279" t="s">
        <v>439</v>
      </c>
      <c r="C432" s="267">
        <f t="shared" si="134"/>
        <v>127500</v>
      </c>
      <c r="D432" s="267">
        <f t="shared" si="134"/>
        <v>10625</v>
      </c>
      <c r="E432" s="317">
        <f t="shared" si="134"/>
        <v>10625</v>
      </c>
      <c r="F432" s="317">
        <f t="shared" si="134"/>
        <v>10625</v>
      </c>
      <c r="G432" s="317">
        <f t="shared" si="134"/>
        <v>10625</v>
      </c>
      <c r="H432" s="317">
        <f t="shared" si="134"/>
        <v>10625</v>
      </c>
      <c r="I432" s="317">
        <f t="shared" si="134"/>
        <v>10625</v>
      </c>
      <c r="J432" s="317">
        <f t="shared" si="134"/>
        <v>10625</v>
      </c>
      <c r="K432" s="317">
        <f t="shared" si="134"/>
        <v>10625</v>
      </c>
      <c r="L432" s="317">
        <f t="shared" si="134"/>
        <v>10625</v>
      </c>
      <c r="M432" s="317">
        <f t="shared" si="134"/>
        <v>10625</v>
      </c>
      <c r="N432" s="317">
        <f t="shared" si="134"/>
        <v>10625</v>
      </c>
      <c r="O432" s="268">
        <f t="shared" si="134"/>
        <v>10625</v>
      </c>
      <c r="Q432" s="4"/>
      <c r="R432" s="4"/>
    </row>
    <row r="433" spans="1:18" s="254" customFormat="1" ht="12" customHeight="1">
      <c r="A433" s="306"/>
      <c r="B433" s="275" t="s">
        <v>399</v>
      </c>
      <c r="C433" s="192">
        <f>SUM(D433:O433)</f>
        <v>127500</v>
      </c>
      <c r="D433" s="172">
        <f t="shared" si="134"/>
        <v>10625</v>
      </c>
      <c r="E433" s="172">
        <f t="shared" si="134"/>
        <v>10625</v>
      </c>
      <c r="F433" s="172">
        <f t="shared" si="134"/>
        <v>10625</v>
      </c>
      <c r="G433" s="172">
        <f t="shared" si="134"/>
        <v>10625</v>
      </c>
      <c r="H433" s="172">
        <f t="shared" si="134"/>
        <v>10625</v>
      </c>
      <c r="I433" s="172">
        <f t="shared" si="134"/>
        <v>10625</v>
      </c>
      <c r="J433" s="172">
        <f t="shared" si="134"/>
        <v>10625</v>
      </c>
      <c r="K433" s="172">
        <f t="shared" si="134"/>
        <v>10625</v>
      </c>
      <c r="L433" s="172">
        <f t="shared" si="134"/>
        <v>10625</v>
      </c>
      <c r="M433" s="172">
        <f t="shared" si="134"/>
        <v>10625</v>
      </c>
      <c r="N433" s="172">
        <f t="shared" si="134"/>
        <v>10625</v>
      </c>
      <c r="O433" s="174">
        <f t="shared" si="134"/>
        <v>10625</v>
      </c>
      <c r="Q433" s="4"/>
      <c r="R433" s="4"/>
    </row>
    <row r="434" spans="1:18" s="254" customFormat="1" ht="12" customHeight="1">
      <c r="A434" s="276"/>
      <c r="B434" s="345" t="s">
        <v>440</v>
      </c>
      <c r="C434" s="186">
        <f>SUM(D434:O434)</f>
        <v>127500</v>
      </c>
      <c r="D434" s="186">
        <v>10625</v>
      </c>
      <c r="E434" s="186">
        <v>10625</v>
      </c>
      <c r="F434" s="186">
        <v>10625</v>
      </c>
      <c r="G434" s="186">
        <v>10625</v>
      </c>
      <c r="H434" s="186">
        <v>10625</v>
      </c>
      <c r="I434" s="186">
        <v>10625</v>
      </c>
      <c r="J434" s="186">
        <v>10625</v>
      </c>
      <c r="K434" s="186">
        <v>10625</v>
      </c>
      <c r="L434" s="186">
        <v>10625</v>
      </c>
      <c r="M434" s="186">
        <v>10625</v>
      </c>
      <c r="N434" s="186">
        <v>10625</v>
      </c>
      <c r="O434" s="188">
        <v>10625</v>
      </c>
      <c r="Q434" s="4"/>
      <c r="R434" s="4"/>
    </row>
    <row r="435" spans="1:18" s="258" customFormat="1" ht="36.75" customHeight="1">
      <c r="A435" s="271">
        <v>85321</v>
      </c>
      <c r="B435" s="279" t="s">
        <v>441</v>
      </c>
      <c r="C435" s="267">
        <f>SUM(C436+C440)</f>
        <v>139165</v>
      </c>
      <c r="D435" s="267">
        <f aca="true" t="shared" si="135" ref="D435:O435">SUM(D436+D440)</f>
        <v>9697</v>
      </c>
      <c r="E435" s="267">
        <f t="shared" si="135"/>
        <v>10597</v>
      </c>
      <c r="F435" s="267">
        <f t="shared" si="135"/>
        <v>20698</v>
      </c>
      <c r="G435" s="267">
        <f t="shared" si="135"/>
        <v>13097</v>
      </c>
      <c r="H435" s="267">
        <f t="shared" si="135"/>
        <v>10597</v>
      </c>
      <c r="I435" s="267">
        <f t="shared" si="135"/>
        <v>10597</v>
      </c>
      <c r="J435" s="267">
        <f t="shared" si="135"/>
        <v>10597</v>
      </c>
      <c r="K435" s="267">
        <f t="shared" si="135"/>
        <v>10597</v>
      </c>
      <c r="L435" s="267">
        <f t="shared" si="135"/>
        <v>10597</v>
      </c>
      <c r="M435" s="267">
        <f t="shared" si="135"/>
        <v>10597</v>
      </c>
      <c r="N435" s="267">
        <f t="shared" si="135"/>
        <v>10597</v>
      </c>
      <c r="O435" s="268">
        <f t="shared" si="135"/>
        <v>10897</v>
      </c>
      <c r="Q435" s="4"/>
      <c r="R435" s="4"/>
    </row>
    <row r="436" spans="1:15" ht="12">
      <c r="A436" s="245"/>
      <c r="B436" s="246" t="s">
        <v>399</v>
      </c>
      <c r="C436" s="251">
        <f>SUM(D436:O436)</f>
        <v>134165</v>
      </c>
      <c r="D436" s="103">
        <f>SUM(D437:D439)</f>
        <v>9697</v>
      </c>
      <c r="E436" s="172">
        <f aca="true" t="shared" si="136" ref="E436:O436">SUM(E437:E439)</f>
        <v>10597</v>
      </c>
      <c r="F436" s="172">
        <f t="shared" si="136"/>
        <v>18198</v>
      </c>
      <c r="G436" s="172">
        <f t="shared" si="136"/>
        <v>10597</v>
      </c>
      <c r="H436" s="172">
        <f t="shared" si="136"/>
        <v>10597</v>
      </c>
      <c r="I436" s="172">
        <f t="shared" si="136"/>
        <v>10597</v>
      </c>
      <c r="J436" s="172">
        <f t="shared" si="136"/>
        <v>10597</v>
      </c>
      <c r="K436" s="172">
        <f t="shared" si="136"/>
        <v>10597</v>
      </c>
      <c r="L436" s="172">
        <f t="shared" si="136"/>
        <v>10597</v>
      </c>
      <c r="M436" s="172">
        <f t="shared" si="136"/>
        <v>10597</v>
      </c>
      <c r="N436" s="172">
        <f t="shared" si="136"/>
        <v>10597</v>
      </c>
      <c r="O436" s="174">
        <f t="shared" si="136"/>
        <v>10897</v>
      </c>
    </row>
    <row r="437" spans="1:18" s="254" customFormat="1" ht="12">
      <c r="A437" s="249"/>
      <c r="B437" s="250" t="s">
        <v>384</v>
      </c>
      <c r="C437" s="251">
        <f>SUM(D437:O437)</f>
        <v>98765</v>
      </c>
      <c r="D437" s="251">
        <v>7597</v>
      </c>
      <c r="E437" s="251">
        <v>7597</v>
      </c>
      <c r="F437" s="251">
        <v>15198</v>
      </c>
      <c r="G437" s="251">
        <v>7597</v>
      </c>
      <c r="H437" s="251">
        <v>7597</v>
      </c>
      <c r="I437" s="251">
        <v>7597</v>
      </c>
      <c r="J437" s="251">
        <v>7597</v>
      </c>
      <c r="K437" s="251">
        <v>7597</v>
      </c>
      <c r="L437" s="251">
        <v>7597</v>
      </c>
      <c r="M437" s="251">
        <v>7597</v>
      </c>
      <c r="N437" s="251">
        <v>7597</v>
      </c>
      <c r="O437" s="262">
        <v>7597</v>
      </c>
      <c r="Q437" s="4"/>
      <c r="R437" s="4"/>
    </row>
    <row r="438" spans="1:18" s="254" customFormat="1" ht="12">
      <c r="A438" s="249"/>
      <c r="B438" s="250" t="s">
        <v>385</v>
      </c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M438" s="251"/>
      <c r="N438" s="251"/>
      <c r="O438" s="262"/>
      <c r="Q438" s="4"/>
      <c r="R438" s="4"/>
    </row>
    <row r="439" spans="1:15" ht="12">
      <c r="A439" s="245"/>
      <c r="B439" s="261" t="s">
        <v>357</v>
      </c>
      <c r="C439" s="251">
        <f>SUM(D439:O439)</f>
        <v>35400</v>
      </c>
      <c r="D439" s="251">
        <v>2100</v>
      </c>
      <c r="E439" s="251">
        <v>3000</v>
      </c>
      <c r="F439" s="251">
        <v>3000</v>
      </c>
      <c r="G439" s="251">
        <v>3000</v>
      </c>
      <c r="H439" s="251">
        <v>3000</v>
      </c>
      <c r="I439" s="251">
        <v>3000</v>
      </c>
      <c r="J439" s="251">
        <v>3000</v>
      </c>
      <c r="K439" s="251">
        <v>3000</v>
      </c>
      <c r="L439" s="251">
        <v>3000</v>
      </c>
      <c r="M439" s="251">
        <v>3000</v>
      </c>
      <c r="N439" s="251">
        <v>3000</v>
      </c>
      <c r="O439" s="262">
        <v>3300</v>
      </c>
    </row>
    <row r="440" spans="1:15" ht="12">
      <c r="A440" s="245"/>
      <c r="B440" s="261" t="s">
        <v>352</v>
      </c>
      <c r="C440" s="251">
        <f>SUM(D440:O440)</f>
        <v>5000</v>
      </c>
      <c r="D440" s="251"/>
      <c r="E440" s="251"/>
      <c r="F440" s="251">
        <f>F441</f>
        <v>2500</v>
      </c>
      <c r="G440" s="251">
        <f>G441</f>
        <v>2500</v>
      </c>
      <c r="H440" s="251"/>
      <c r="I440" s="251"/>
      <c r="J440" s="251"/>
      <c r="K440" s="251"/>
      <c r="L440" s="251"/>
      <c r="M440" s="251"/>
      <c r="N440" s="251"/>
      <c r="O440" s="262"/>
    </row>
    <row r="441" spans="1:15" ht="12.75" thickBot="1">
      <c r="A441" s="245"/>
      <c r="B441" s="297" t="s">
        <v>442</v>
      </c>
      <c r="C441" s="251">
        <f>SUM(D441:O441)</f>
        <v>5000</v>
      </c>
      <c r="D441" s="251"/>
      <c r="E441" s="251"/>
      <c r="F441" s="251">
        <v>2500</v>
      </c>
      <c r="G441" s="251">
        <v>2500</v>
      </c>
      <c r="H441" s="251"/>
      <c r="I441" s="251"/>
      <c r="J441" s="251"/>
      <c r="K441" s="251"/>
      <c r="L441" s="251"/>
      <c r="M441" s="251"/>
      <c r="N441" s="251"/>
      <c r="O441" s="262"/>
    </row>
    <row r="442" spans="1:18" s="347" customFormat="1" ht="35.25" customHeight="1" thickBot="1" thickTop="1">
      <c r="A442" s="346">
        <v>854</v>
      </c>
      <c r="B442" s="243" t="s">
        <v>443</v>
      </c>
      <c r="C442" s="147">
        <f>C443+C449+C460+C466+C471+C477+C482+C490+C487</f>
        <v>8683160</v>
      </c>
      <c r="D442" s="147">
        <f>D443+D449+D460+D466+D471+D477+D482+D490+D487</f>
        <v>693406</v>
      </c>
      <c r="E442" s="147">
        <f aca="true" t="shared" si="137" ref="E442:O442">E443+E449+E460+E466+E471+E477+E482+E490+E487</f>
        <v>688406</v>
      </c>
      <c r="F442" s="147">
        <f t="shared" si="137"/>
        <v>1148952</v>
      </c>
      <c r="G442" s="147">
        <f t="shared" si="137"/>
        <v>720006</v>
      </c>
      <c r="H442" s="147">
        <f t="shared" si="137"/>
        <v>693306</v>
      </c>
      <c r="I442" s="147">
        <f t="shared" si="137"/>
        <v>747466</v>
      </c>
      <c r="J442" s="147">
        <f t="shared" si="137"/>
        <v>614426</v>
      </c>
      <c r="K442" s="147">
        <f t="shared" si="137"/>
        <v>592226</v>
      </c>
      <c r="L442" s="147">
        <f t="shared" si="137"/>
        <v>757316</v>
      </c>
      <c r="M442" s="147">
        <f t="shared" si="137"/>
        <v>678226</v>
      </c>
      <c r="N442" s="147">
        <f t="shared" si="137"/>
        <v>677260</v>
      </c>
      <c r="O442" s="149">
        <f t="shared" si="137"/>
        <v>672164</v>
      </c>
      <c r="Q442" s="4"/>
      <c r="R442" s="4"/>
    </row>
    <row r="443" spans="1:18" s="258" customFormat="1" ht="15" customHeight="1" thickTop="1">
      <c r="A443" s="315">
        <v>85401</v>
      </c>
      <c r="B443" s="316" t="s">
        <v>444</v>
      </c>
      <c r="C443" s="256">
        <f aca="true" t="shared" si="138" ref="C443:O443">SUM(C444)</f>
        <v>1117800</v>
      </c>
      <c r="D443" s="256">
        <f t="shared" si="138"/>
        <v>90842</v>
      </c>
      <c r="E443" s="256">
        <f t="shared" si="138"/>
        <v>90842</v>
      </c>
      <c r="F443" s="256">
        <f t="shared" si="138"/>
        <v>136058</v>
      </c>
      <c r="G443" s="256">
        <f t="shared" si="138"/>
        <v>114142</v>
      </c>
      <c r="H443" s="256">
        <f t="shared" si="138"/>
        <v>90742</v>
      </c>
      <c r="I443" s="256">
        <f t="shared" si="138"/>
        <v>86342</v>
      </c>
      <c r="J443" s="256">
        <f t="shared" si="138"/>
        <v>86342</v>
      </c>
      <c r="K443" s="256">
        <f t="shared" si="138"/>
        <v>86442</v>
      </c>
      <c r="L443" s="256">
        <f t="shared" si="138"/>
        <v>86442</v>
      </c>
      <c r="M443" s="256">
        <f t="shared" si="138"/>
        <v>83242</v>
      </c>
      <c r="N443" s="256">
        <f t="shared" si="138"/>
        <v>83232</v>
      </c>
      <c r="O443" s="257">
        <f t="shared" si="138"/>
        <v>83132</v>
      </c>
      <c r="Q443" s="4"/>
      <c r="R443" s="4"/>
    </row>
    <row r="444" spans="1:15" ht="12" customHeight="1">
      <c r="A444" s="274"/>
      <c r="B444" s="275" t="s">
        <v>399</v>
      </c>
      <c r="C444" s="103">
        <f>SUM(D444:O444)</f>
        <v>1117800</v>
      </c>
      <c r="D444" s="348">
        <f>SUM(D445:D447)</f>
        <v>90842</v>
      </c>
      <c r="E444" s="348">
        <f>SUM(E445:E447)</f>
        <v>90842</v>
      </c>
      <c r="F444" s="348">
        <f>SUM(F445:F447)</f>
        <v>136058</v>
      </c>
      <c r="G444" s="348">
        <f aca="true" t="shared" si="139" ref="G444:O444">SUM(G445:G447)</f>
        <v>114142</v>
      </c>
      <c r="H444" s="348">
        <f t="shared" si="139"/>
        <v>90742</v>
      </c>
      <c r="I444" s="348">
        <f t="shared" si="139"/>
        <v>86342</v>
      </c>
      <c r="J444" s="348">
        <f t="shared" si="139"/>
        <v>86342</v>
      </c>
      <c r="K444" s="348">
        <f t="shared" si="139"/>
        <v>86442</v>
      </c>
      <c r="L444" s="348">
        <f t="shared" si="139"/>
        <v>86442</v>
      </c>
      <c r="M444" s="348">
        <f t="shared" si="139"/>
        <v>83242</v>
      </c>
      <c r="N444" s="348">
        <f t="shared" si="139"/>
        <v>83232</v>
      </c>
      <c r="O444" s="349">
        <f t="shared" si="139"/>
        <v>83132</v>
      </c>
    </row>
    <row r="445" spans="1:18" s="304" customFormat="1" ht="12" customHeight="1">
      <c r="A445" s="249"/>
      <c r="B445" s="250" t="s">
        <v>384</v>
      </c>
      <c r="C445" s="251">
        <f>SUM(D445:O445)</f>
        <v>1046900</v>
      </c>
      <c r="D445" s="251">
        <f>71600+10007</f>
        <v>81607</v>
      </c>
      <c r="E445" s="251">
        <f>71600+10007</f>
        <v>81607</v>
      </c>
      <c r="F445" s="251">
        <f>106800+20023</f>
        <v>126823</v>
      </c>
      <c r="G445" s="251">
        <f>94900+10007</f>
        <v>104907</v>
      </c>
      <c r="H445" s="251">
        <f>71500+10007</f>
        <v>81507</v>
      </c>
      <c r="I445" s="251">
        <f aca="true" t="shared" si="140" ref="I445:N445">71500+10007</f>
        <v>81507</v>
      </c>
      <c r="J445" s="251">
        <f t="shared" si="140"/>
        <v>81507</v>
      </c>
      <c r="K445" s="251">
        <f t="shared" si="140"/>
        <v>81507</v>
      </c>
      <c r="L445" s="251">
        <f t="shared" si="140"/>
        <v>81507</v>
      </c>
      <c r="M445" s="251">
        <f t="shared" si="140"/>
        <v>81507</v>
      </c>
      <c r="N445" s="251">
        <f t="shared" si="140"/>
        <v>81507</v>
      </c>
      <c r="O445" s="262">
        <f>71400+10007</f>
        <v>81407</v>
      </c>
      <c r="Q445" s="4"/>
      <c r="R445" s="4"/>
    </row>
    <row r="446" spans="1:18" s="304" customFormat="1" ht="12" customHeight="1">
      <c r="A446" s="249"/>
      <c r="B446" s="250" t="s">
        <v>385</v>
      </c>
      <c r="C446" s="251"/>
      <c r="D446" s="251"/>
      <c r="E446" s="251"/>
      <c r="F446" s="251"/>
      <c r="G446" s="251"/>
      <c r="H446" s="251"/>
      <c r="I446" s="251"/>
      <c r="J446" s="251"/>
      <c r="K446" s="251"/>
      <c r="L446" s="251"/>
      <c r="M446" s="251"/>
      <c r="N446" s="251"/>
      <c r="O446" s="262"/>
      <c r="Q446" s="4"/>
      <c r="R446" s="4"/>
    </row>
    <row r="447" spans="1:18" s="304" customFormat="1" ht="12" customHeight="1">
      <c r="A447" s="249"/>
      <c r="B447" s="250" t="s">
        <v>357</v>
      </c>
      <c r="C447" s="251">
        <f>SUM(D447:O447)</f>
        <v>70900</v>
      </c>
      <c r="D447" s="251">
        <v>9235</v>
      </c>
      <c r="E447" s="251">
        <v>9235</v>
      </c>
      <c r="F447" s="251">
        <v>9235</v>
      </c>
      <c r="G447" s="251">
        <v>9235</v>
      </c>
      <c r="H447" s="251">
        <v>9235</v>
      </c>
      <c r="I447" s="251">
        <v>4835</v>
      </c>
      <c r="J447" s="251">
        <v>4835</v>
      </c>
      <c r="K447" s="251">
        <v>4935</v>
      </c>
      <c r="L447" s="251">
        <v>4935</v>
      </c>
      <c r="M447" s="251">
        <v>1735</v>
      </c>
      <c r="N447" s="251">
        <v>1725</v>
      </c>
      <c r="O447" s="262">
        <v>1725</v>
      </c>
      <c r="Q447" s="4"/>
      <c r="R447" s="4"/>
    </row>
    <row r="448" spans="1:18" s="304" customFormat="1" ht="12" customHeight="1">
      <c r="A448" s="249"/>
      <c r="B448" s="250" t="s">
        <v>376</v>
      </c>
      <c r="C448" s="251">
        <f>SUM(D448:O448)</f>
        <v>300</v>
      </c>
      <c r="D448" s="251"/>
      <c r="E448" s="251"/>
      <c r="F448" s="251"/>
      <c r="G448" s="251">
        <v>0</v>
      </c>
      <c r="H448" s="251"/>
      <c r="I448" s="251"/>
      <c r="J448" s="251">
        <v>300</v>
      </c>
      <c r="K448" s="251"/>
      <c r="L448" s="251"/>
      <c r="M448" s="251"/>
      <c r="N448" s="251"/>
      <c r="O448" s="262"/>
      <c r="Q448" s="4"/>
      <c r="R448" s="4"/>
    </row>
    <row r="449" spans="1:18" s="254" customFormat="1" ht="25.5" customHeight="1">
      <c r="A449" s="271">
        <v>85403</v>
      </c>
      <c r="B449" s="279" t="s">
        <v>445</v>
      </c>
      <c r="C449" s="256">
        <f>SUM(C450+C458)</f>
        <v>1319100</v>
      </c>
      <c r="D449" s="256">
        <f aca="true" t="shared" si="141" ref="D449:O449">SUM(D450)</f>
        <v>103461</v>
      </c>
      <c r="E449" s="256">
        <f t="shared" si="141"/>
        <v>98461</v>
      </c>
      <c r="F449" s="256">
        <f>SUM(F450+F458)</f>
        <v>186029</v>
      </c>
      <c r="G449" s="256">
        <f t="shared" si="141"/>
        <v>103461</v>
      </c>
      <c r="H449" s="256">
        <f t="shared" si="141"/>
        <v>103461</v>
      </c>
      <c r="I449" s="256">
        <f t="shared" si="141"/>
        <v>103461</v>
      </c>
      <c r="J449" s="256">
        <f t="shared" si="141"/>
        <v>103461</v>
      </c>
      <c r="K449" s="256">
        <f t="shared" si="141"/>
        <v>103461</v>
      </c>
      <c r="L449" s="256">
        <f t="shared" si="141"/>
        <v>103461</v>
      </c>
      <c r="M449" s="256">
        <f t="shared" si="141"/>
        <v>103461</v>
      </c>
      <c r="N449" s="256">
        <f t="shared" si="141"/>
        <v>103461</v>
      </c>
      <c r="O449" s="257">
        <f t="shared" si="141"/>
        <v>103461</v>
      </c>
      <c r="Q449" s="4"/>
      <c r="R449" s="4"/>
    </row>
    <row r="450" spans="1:18" s="254" customFormat="1" ht="12" customHeight="1">
      <c r="A450" s="274"/>
      <c r="B450" s="275" t="s">
        <v>399</v>
      </c>
      <c r="C450" s="103">
        <f>SUM(D450:O450)</f>
        <v>1292100</v>
      </c>
      <c r="D450" s="348">
        <f aca="true" t="shared" si="142" ref="D450:O450">SUM(D451:D453)</f>
        <v>103461</v>
      </c>
      <c r="E450" s="348">
        <f t="shared" si="142"/>
        <v>98461</v>
      </c>
      <c r="F450" s="348">
        <f t="shared" si="142"/>
        <v>159029</v>
      </c>
      <c r="G450" s="348">
        <f t="shared" si="142"/>
        <v>103461</v>
      </c>
      <c r="H450" s="348">
        <f t="shared" si="142"/>
        <v>103461</v>
      </c>
      <c r="I450" s="348">
        <f t="shared" si="142"/>
        <v>103461</v>
      </c>
      <c r="J450" s="348">
        <f t="shared" si="142"/>
        <v>103461</v>
      </c>
      <c r="K450" s="348">
        <f t="shared" si="142"/>
        <v>103461</v>
      </c>
      <c r="L450" s="348">
        <f t="shared" si="142"/>
        <v>103461</v>
      </c>
      <c r="M450" s="348">
        <f t="shared" si="142"/>
        <v>103461</v>
      </c>
      <c r="N450" s="348">
        <f t="shared" si="142"/>
        <v>103461</v>
      </c>
      <c r="O450" s="349">
        <f t="shared" si="142"/>
        <v>103461</v>
      </c>
      <c r="Q450" s="4"/>
      <c r="R450" s="4"/>
    </row>
    <row r="451" spans="1:18" s="254" customFormat="1" ht="12">
      <c r="A451" s="249"/>
      <c r="B451" s="250" t="s">
        <v>384</v>
      </c>
      <c r="C451" s="251">
        <f>SUM(D451:O451)</f>
        <v>1008300</v>
      </c>
      <c r="D451" s="251">
        <v>77561</v>
      </c>
      <c r="E451" s="251">
        <v>77561</v>
      </c>
      <c r="F451" s="251">
        <v>155129</v>
      </c>
      <c r="G451" s="251">
        <v>77561</v>
      </c>
      <c r="H451" s="251">
        <v>77561</v>
      </c>
      <c r="I451" s="251">
        <v>77561</v>
      </c>
      <c r="J451" s="251">
        <v>77561</v>
      </c>
      <c r="K451" s="251">
        <v>77561</v>
      </c>
      <c r="L451" s="251">
        <v>77561</v>
      </c>
      <c r="M451" s="251">
        <v>77561</v>
      </c>
      <c r="N451" s="251">
        <v>77561</v>
      </c>
      <c r="O451" s="262">
        <v>77561</v>
      </c>
      <c r="Q451" s="4"/>
      <c r="R451" s="4"/>
    </row>
    <row r="452" spans="1:18" s="254" customFormat="1" ht="12">
      <c r="A452" s="249"/>
      <c r="B452" s="250" t="s">
        <v>385</v>
      </c>
      <c r="C452" s="251"/>
      <c r="D452" s="251"/>
      <c r="E452" s="251"/>
      <c r="F452" s="251"/>
      <c r="G452" s="251"/>
      <c r="H452" s="251"/>
      <c r="I452" s="103"/>
      <c r="J452" s="251"/>
      <c r="K452" s="251"/>
      <c r="L452" s="251"/>
      <c r="M452" s="251"/>
      <c r="N452" s="251"/>
      <c r="O452" s="105"/>
      <c r="Q452" s="4"/>
      <c r="R452" s="4"/>
    </row>
    <row r="453" spans="1:18" s="254" customFormat="1" ht="12.75" customHeight="1">
      <c r="A453" s="249"/>
      <c r="B453" s="250" t="s">
        <v>357</v>
      </c>
      <c r="C453" s="251">
        <f>SUM(D453:O453)</f>
        <v>283800</v>
      </c>
      <c r="D453" s="251">
        <v>25900</v>
      </c>
      <c r="E453" s="251">
        <v>20900</v>
      </c>
      <c r="F453" s="251">
        <v>3900</v>
      </c>
      <c r="G453" s="251">
        <v>25900</v>
      </c>
      <c r="H453" s="251">
        <v>25900</v>
      </c>
      <c r="I453" s="251">
        <v>25900</v>
      </c>
      <c r="J453" s="251">
        <v>25900</v>
      </c>
      <c r="K453" s="251">
        <v>25900</v>
      </c>
      <c r="L453" s="251">
        <v>25900</v>
      </c>
      <c r="M453" s="251">
        <v>25900</v>
      </c>
      <c r="N453" s="251">
        <v>25900</v>
      </c>
      <c r="O453" s="262">
        <v>25900</v>
      </c>
      <c r="Q453" s="4"/>
      <c r="R453" s="4"/>
    </row>
    <row r="454" spans="1:18" s="254" customFormat="1" ht="12">
      <c r="A454" s="249"/>
      <c r="B454" s="250" t="s">
        <v>376</v>
      </c>
      <c r="C454" s="251">
        <f>SUM(D454:O454)</f>
        <v>8000</v>
      </c>
      <c r="D454" s="251"/>
      <c r="E454" s="251"/>
      <c r="F454" s="251"/>
      <c r="G454" s="251"/>
      <c r="H454" s="251"/>
      <c r="I454" s="103"/>
      <c r="J454" s="251">
        <v>4000</v>
      </c>
      <c r="K454" s="251">
        <v>4000</v>
      </c>
      <c r="L454" s="251"/>
      <c r="M454" s="251"/>
      <c r="N454" s="251"/>
      <c r="O454" s="105"/>
      <c r="Q454" s="4"/>
      <c r="R454" s="4"/>
    </row>
    <row r="455" spans="1:15" ht="14.25" customHeight="1" hidden="1">
      <c r="A455" s="315">
        <v>85404</v>
      </c>
      <c r="B455" s="316" t="s">
        <v>408</v>
      </c>
      <c r="C455" s="335">
        <f>SUM(C456)</f>
        <v>0</v>
      </c>
      <c r="D455" s="335">
        <f>SUM(D456)</f>
        <v>0</v>
      </c>
      <c r="E455" s="335"/>
      <c r="F455" s="335">
        <f>SUM(F456)</f>
        <v>0</v>
      </c>
      <c r="G455" s="335"/>
      <c r="H455" s="317"/>
      <c r="I455" s="317"/>
      <c r="J455" s="335">
        <f>SUM(J456)</f>
        <v>0</v>
      </c>
      <c r="K455" s="335"/>
      <c r="L455" s="335">
        <f>SUM(L456)</f>
        <v>0</v>
      </c>
      <c r="M455" s="335"/>
      <c r="N455" s="317"/>
      <c r="O455" s="318"/>
    </row>
    <row r="456" spans="1:15" ht="12" hidden="1">
      <c r="A456" s="245"/>
      <c r="B456" s="259" t="s">
        <v>356</v>
      </c>
      <c r="C456" s="103">
        <f>SUM(C457)</f>
        <v>0</v>
      </c>
      <c r="D456" s="103">
        <f>SUM(D457)</f>
        <v>0</v>
      </c>
      <c r="E456" s="103"/>
      <c r="F456" s="103">
        <f>SUM(F457)</f>
        <v>0</v>
      </c>
      <c r="G456" s="350"/>
      <c r="H456" s="350"/>
      <c r="I456" s="350"/>
      <c r="J456" s="103">
        <f>SUM(J457)</f>
        <v>0</v>
      </c>
      <c r="K456" s="103"/>
      <c r="L456" s="103">
        <f>SUM(L457)</f>
        <v>0</v>
      </c>
      <c r="M456" s="350"/>
      <c r="N456" s="350"/>
      <c r="O456" s="351"/>
    </row>
    <row r="457" spans="1:15" ht="12" hidden="1">
      <c r="A457" s="245"/>
      <c r="B457" s="261" t="s">
        <v>373</v>
      </c>
      <c r="C457" s="251">
        <f>SUM(D457:E457)</f>
        <v>0</v>
      </c>
      <c r="D457" s="251">
        <f>F457+H457</f>
        <v>0</v>
      </c>
      <c r="E457" s="251"/>
      <c r="F457" s="251"/>
      <c r="G457" s="103"/>
      <c r="H457" s="103"/>
      <c r="I457" s="103"/>
      <c r="J457" s="251">
        <f>L457+N457</f>
        <v>0</v>
      </c>
      <c r="K457" s="251"/>
      <c r="L457" s="251"/>
      <c r="M457" s="103"/>
      <c r="N457" s="103"/>
      <c r="O457" s="105"/>
    </row>
    <row r="458" spans="1:15" ht="12">
      <c r="A458" s="283"/>
      <c r="B458" s="352" t="s">
        <v>446</v>
      </c>
      <c r="C458" s="177">
        <f>SUM(D458:O458)</f>
        <v>27000</v>
      </c>
      <c r="D458" s="177"/>
      <c r="E458" s="177"/>
      <c r="F458" s="177">
        <f>F459</f>
        <v>27000</v>
      </c>
      <c r="G458" s="177"/>
      <c r="H458" s="177"/>
      <c r="I458" s="177"/>
      <c r="J458" s="177"/>
      <c r="K458" s="177"/>
      <c r="L458" s="177"/>
      <c r="M458" s="177"/>
      <c r="N458" s="177"/>
      <c r="O458" s="144"/>
    </row>
    <row r="459" spans="1:15" ht="12">
      <c r="A459" s="283"/>
      <c r="B459" s="338" t="s">
        <v>442</v>
      </c>
      <c r="C459" s="251">
        <f>SUM(D459:O459)</f>
        <v>27000</v>
      </c>
      <c r="D459" s="186"/>
      <c r="E459" s="186"/>
      <c r="F459" s="186">
        <v>27000</v>
      </c>
      <c r="G459" s="177"/>
      <c r="H459" s="177"/>
      <c r="I459" s="177"/>
      <c r="J459" s="186"/>
      <c r="K459" s="186"/>
      <c r="L459" s="186"/>
      <c r="M459" s="177"/>
      <c r="N459" s="177"/>
      <c r="O459" s="144"/>
    </row>
    <row r="460" spans="1:18" s="258" customFormat="1" ht="24" customHeight="1">
      <c r="A460" s="271">
        <v>85406</v>
      </c>
      <c r="B460" s="279" t="s">
        <v>447</v>
      </c>
      <c r="C460" s="256">
        <f aca="true" t="shared" si="143" ref="C460:O460">SUM(C461)</f>
        <v>1181900</v>
      </c>
      <c r="D460" s="256">
        <f t="shared" si="143"/>
        <v>91852</v>
      </c>
      <c r="E460" s="256">
        <f t="shared" si="143"/>
        <v>91852</v>
      </c>
      <c r="F460" s="256">
        <f t="shared" si="143"/>
        <v>171524</v>
      </c>
      <c r="G460" s="256">
        <f t="shared" si="143"/>
        <v>91852</v>
      </c>
      <c r="H460" s="256">
        <f t="shared" si="143"/>
        <v>91852</v>
      </c>
      <c r="I460" s="256">
        <f t="shared" si="143"/>
        <v>91852</v>
      </c>
      <c r="J460" s="256">
        <f t="shared" si="143"/>
        <v>91852</v>
      </c>
      <c r="K460" s="256">
        <f t="shared" si="143"/>
        <v>91852</v>
      </c>
      <c r="L460" s="256">
        <f t="shared" si="143"/>
        <v>91852</v>
      </c>
      <c r="M460" s="256">
        <f t="shared" si="143"/>
        <v>91852</v>
      </c>
      <c r="N460" s="256">
        <f t="shared" si="143"/>
        <v>91852</v>
      </c>
      <c r="O460" s="257">
        <f t="shared" si="143"/>
        <v>91856</v>
      </c>
      <c r="Q460" s="4"/>
      <c r="R460" s="4"/>
    </row>
    <row r="461" spans="1:15" ht="12">
      <c r="A461" s="274"/>
      <c r="B461" s="275" t="s">
        <v>399</v>
      </c>
      <c r="C461" s="103">
        <f>SUM(D461:O461)</f>
        <v>1181900</v>
      </c>
      <c r="D461" s="348">
        <f aca="true" t="shared" si="144" ref="D461:O461">SUM(D462:D464)</f>
        <v>91852</v>
      </c>
      <c r="E461" s="348">
        <f t="shared" si="144"/>
        <v>91852</v>
      </c>
      <c r="F461" s="348">
        <f t="shared" si="144"/>
        <v>171524</v>
      </c>
      <c r="G461" s="348">
        <f t="shared" si="144"/>
        <v>91852</v>
      </c>
      <c r="H461" s="348">
        <f t="shared" si="144"/>
        <v>91852</v>
      </c>
      <c r="I461" s="348">
        <f t="shared" si="144"/>
        <v>91852</v>
      </c>
      <c r="J461" s="348">
        <f t="shared" si="144"/>
        <v>91852</v>
      </c>
      <c r="K461" s="348">
        <f t="shared" si="144"/>
        <v>91852</v>
      </c>
      <c r="L461" s="348">
        <f t="shared" si="144"/>
        <v>91852</v>
      </c>
      <c r="M461" s="348">
        <f t="shared" si="144"/>
        <v>91852</v>
      </c>
      <c r="N461" s="348">
        <f t="shared" si="144"/>
        <v>91852</v>
      </c>
      <c r="O461" s="349">
        <f t="shared" si="144"/>
        <v>91856</v>
      </c>
    </row>
    <row r="462" spans="1:18" s="304" customFormat="1" ht="12">
      <c r="A462" s="249"/>
      <c r="B462" s="250" t="s">
        <v>384</v>
      </c>
      <c r="C462" s="251">
        <f>SUM(D462:O462)</f>
        <v>1035700</v>
      </c>
      <c r="D462" s="251">
        <v>79669</v>
      </c>
      <c r="E462" s="251">
        <v>79669</v>
      </c>
      <c r="F462" s="251">
        <v>159341</v>
      </c>
      <c r="G462" s="251">
        <v>79669</v>
      </c>
      <c r="H462" s="251">
        <v>79669</v>
      </c>
      <c r="I462" s="251">
        <v>79669</v>
      </c>
      <c r="J462" s="251">
        <v>79669</v>
      </c>
      <c r="K462" s="251">
        <v>79669</v>
      </c>
      <c r="L462" s="251">
        <v>79669</v>
      </c>
      <c r="M462" s="251">
        <v>79669</v>
      </c>
      <c r="N462" s="251">
        <v>79669</v>
      </c>
      <c r="O462" s="262">
        <v>79669</v>
      </c>
      <c r="Q462" s="4"/>
      <c r="R462" s="4"/>
    </row>
    <row r="463" spans="1:18" s="304" customFormat="1" ht="12">
      <c r="A463" s="249"/>
      <c r="B463" s="250" t="s">
        <v>385</v>
      </c>
      <c r="C463" s="251"/>
      <c r="D463" s="251"/>
      <c r="E463" s="251"/>
      <c r="F463" s="251"/>
      <c r="G463" s="251"/>
      <c r="H463" s="251"/>
      <c r="I463" s="251"/>
      <c r="J463" s="251"/>
      <c r="K463" s="251"/>
      <c r="L463" s="251"/>
      <c r="M463" s="251"/>
      <c r="N463" s="251"/>
      <c r="O463" s="262"/>
      <c r="Q463" s="4"/>
      <c r="R463" s="4"/>
    </row>
    <row r="464" spans="1:18" s="304" customFormat="1" ht="12">
      <c r="A464" s="249"/>
      <c r="B464" s="250" t="s">
        <v>357</v>
      </c>
      <c r="C464" s="251">
        <f>SUM(D464:O464)</f>
        <v>146200</v>
      </c>
      <c r="D464" s="251">
        <v>12183</v>
      </c>
      <c r="E464" s="251">
        <v>12183</v>
      </c>
      <c r="F464" s="251">
        <v>12183</v>
      </c>
      <c r="G464" s="251">
        <v>12183</v>
      </c>
      <c r="H464" s="251">
        <v>12183</v>
      </c>
      <c r="I464" s="251">
        <v>12183</v>
      </c>
      <c r="J464" s="251">
        <v>12183</v>
      </c>
      <c r="K464" s="251">
        <v>12183</v>
      </c>
      <c r="L464" s="251">
        <v>12183</v>
      </c>
      <c r="M464" s="251">
        <v>12183</v>
      </c>
      <c r="N464" s="251">
        <v>12183</v>
      </c>
      <c r="O464" s="262">
        <v>12187</v>
      </c>
      <c r="Q464" s="4"/>
      <c r="R464" s="4"/>
    </row>
    <row r="465" spans="1:18" s="304" customFormat="1" ht="12" hidden="1">
      <c r="A465" s="249"/>
      <c r="B465" s="250" t="s">
        <v>376</v>
      </c>
      <c r="C465" s="251">
        <f>SUM(D465:E465)</f>
        <v>0</v>
      </c>
      <c r="D465" s="251">
        <f>F465+H465</f>
        <v>0</v>
      </c>
      <c r="E465" s="251"/>
      <c r="F465" s="251"/>
      <c r="G465" s="251"/>
      <c r="H465" s="251"/>
      <c r="I465" s="251"/>
      <c r="J465" s="251">
        <f>L465+N465</f>
        <v>0</v>
      </c>
      <c r="K465" s="251"/>
      <c r="L465" s="251"/>
      <c r="M465" s="251"/>
      <c r="N465" s="251"/>
      <c r="O465" s="262"/>
      <c r="Q465" s="4"/>
      <c r="R465" s="4"/>
    </row>
    <row r="466" spans="1:18" s="258" customFormat="1" ht="25.5" customHeight="1">
      <c r="A466" s="271">
        <v>85407</v>
      </c>
      <c r="B466" s="279" t="s">
        <v>448</v>
      </c>
      <c r="C466" s="256">
        <f aca="true" t="shared" si="145" ref="C466:O466">SUM(C467)</f>
        <v>1034900</v>
      </c>
      <c r="D466" s="256">
        <f t="shared" si="145"/>
        <v>81090</v>
      </c>
      <c r="E466" s="256">
        <f t="shared" si="145"/>
        <v>81090</v>
      </c>
      <c r="F466" s="256">
        <f t="shared" si="145"/>
        <v>142910</v>
      </c>
      <c r="G466" s="256">
        <f t="shared" si="145"/>
        <v>81090</v>
      </c>
      <c r="H466" s="256">
        <f t="shared" si="145"/>
        <v>81090</v>
      </c>
      <c r="I466" s="256">
        <f t="shared" si="145"/>
        <v>81090</v>
      </c>
      <c r="J466" s="256">
        <f t="shared" si="145"/>
        <v>81090</v>
      </c>
      <c r="K466" s="256">
        <f t="shared" si="145"/>
        <v>81090</v>
      </c>
      <c r="L466" s="256">
        <f t="shared" si="145"/>
        <v>81090</v>
      </c>
      <c r="M466" s="256">
        <f t="shared" si="145"/>
        <v>81090</v>
      </c>
      <c r="N466" s="256">
        <f t="shared" si="145"/>
        <v>81090</v>
      </c>
      <c r="O466" s="257">
        <f t="shared" si="145"/>
        <v>81090</v>
      </c>
      <c r="Q466" s="4"/>
      <c r="R466" s="4"/>
    </row>
    <row r="467" spans="1:15" ht="12" customHeight="1">
      <c r="A467" s="274"/>
      <c r="B467" s="275" t="s">
        <v>399</v>
      </c>
      <c r="C467" s="103">
        <f>SUM(D467:O467)</f>
        <v>1034900</v>
      </c>
      <c r="D467" s="348">
        <f aca="true" t="shared" si="146" ref="D467:O467">SUM(D468:D470)</f>
        <v>81090</v>
      </c>
      <c r="E467" s="348">
        <f t="shared" si="146"/>
        <v>81090</v>
      </c>
      <c r="F467" s="348">
        <f t="shared" si="146"/>
        <v>142910</v>
      </c>
      <c r="G467" s="348">
        <f t="shared" si="146"/>
        <v>81090</v>
      </c>
      <c r="H467" s="348">
        <f t="shared" si="146"/>
        <v>81090</v>
      </c>
      <c r="I467" s="348">
        <f t="shared" si="146"/>
        <v>81090</v>
      </c>
      <c r="J467" s="348">
        <f t="shared" si="146"/>
        <v>81090</v>
      </c>
      <c r="K467" s="348">
        <f t="shared" si="146"/>
        <v>81090</v>
      </c>
      <c r="L467" s="348">
        <f t="shared" si="146"/>
        <v>81090</v>
      </c>
      <c r="M467" s="348">
        <f t="shared" si="146"/>
        <v>81090</v>
      </c>
      <c r="N467" s="348">
        <f t="shared" si="146"/>
        <v>81090</v>
      </c>
      <c r="O467" s="349">
        <f t="shared" si="146"/>
        <v>81090</v>
      </c>
    </row>
    <row r="468" spans="1:18" s="304" customFormat="1" ht="12">
      <c r="A468" s="249"/>
      <c r="B468" s="250" t="s">
        <v>384</v>
      </c>
      <c r="C468" s="251">
        <f>SUM(D468:O468)</f>
        <v>803600</v>
      </c>
      <c r="D468" s="251">
        <v>61815</v>
      </c>
      <c r="E468" s="251">
        <v>61815</v>
      </c>
      <c r="F468" s="251">
        <v>123635</v>
      </c>
      <c r="G468" s="251">
        <v>61815</v>
      </c>
      <c r="H468" s="251">
        <v>61815</v>
      </c>
      <c r="I468" s="251">
        <v>61815</v>
      </c>
      <c r="J468" s="251">
        <v>61815</v>
      </c>
      <c r="K468" s="251">
        <v>61815</v>
      </c>
      <c r="L468" s="251">
        <v>61815</v>
      </c>
      <c r="M468" s="251">
        <v>61815</v>
      </c>
      <c r="N468" s="251">
        <v>61815</v>
      </c>
      <c r="O468" s="262">
        <v>61815</v>
      </c>
      <c r="Q468" s="4"/>
      <c r="R468" s="4"/>
    </row>
    <row r="469" spans="1:18" s="304" customFormat="1" ht="12">
      <c r="A469" s="249"/>
      <c r="B469" s="250" t="s">
        <v>385</v>
      </c>
      <c r="C469" s="251"/>
      <c r="D469" s="251"/>
      <c r="E469" s="251"/>
      <c r="F469" s="251"/>
      <c r="G469" s="251"/>
      <c r="H469" s="251"/>
      <c r="I469" s="251"/>
      <c r="J469" s="251"/>
      <c r="K469" s="251"/>
      <c r="L469" s="251"/>
      <c r="M469" s="251"/>
      <c r="N469" s="251"/>
      <c r="O469" s="262"/>
      <c r="Q469" s="4"/>
      <c r="R469" s="4"/>
    </row>
    <row r="470" spans="1:18" s="304" customFormat="1" ht="11.25" customHeight="1">
      <c r="A470" s="276"/>
      <c r="B470" s="277" t="s">
        <v>357</v>
      </c>
      <c r="C470" s="251">
        <f>SUM(D470:O470)</f>
        <v>231300</v>
      </c>
      <c r="D470" s="186">
        <v>19275</v>
      </c>
      <c r="E470" s="186">
        <v>19275</v>
      </c>
      <c r="F470" s="186">
        <v>19275</v>
      </c>
      <c r="G470" s="186">
        <v>19275</v>
      </c>
      <c r="H470" s="186">
        <v>19275</v>
      </c>
      <c r="I470" s="186">
        <v>19275</v>
      </c>
      <c r="J470" s="186">
        <v>19275</v>
      </c>
      <c r="K470" s="186">
        <v>19275</v>
      </c>
      <c r="L470" s="186">
        <v>19275</v>
      </c>
      <c r="M470" s="186">
        <v>19275</v>
      </c>
      <c r="N470" s="186">
        <v>19275</v>
      </c>
      <c r="O470" s="188">
        <v>19275</v>
      </c>
      <c r="Q470" s="4"/>
      <c r="R470" s="4"/>
    </row>
    <row r="471" spans="1:18" s="258" customFormat="1" ht="16.5" customHeight="1">
      <c r="A471" s="271">
        <v>85410</v>
      </c>
      <c r="B471" s="279" t="s">
        <v>320</v>
      </c>
      <c r="C471" s="256">
        <f aca="true" t="shared" si="147" ref="C471:O471">SUM(C472)</f>
        <v>2584300</v>
      </c>
      <c r="D471" s="256">
        <f t="shared" si="147"/>
        <v>204315</v>
      </c>
      <c r="E471" s="256">
        <f t="shared" si="147"/>
        <v>204315</v>
      </c>
      <c r="F471" s="256">
        <f t="shared" si="147"/>
        <v>336835</v>
      </c>
      <c r="G471" s="256">
        <f t="shared" si="147"/>
        <v>204315</v>
      </c>
      <c r="H471" s="256">
        <f t="shared" si="147"/>
        <v>204315</v>
      </c>
      <c r="I471" s="256">
        <f t="shared" si="147"/>
        <v>204315</v>
      </c>
      <c r="J471" s="256">
        <f t="shared" si="147"/>
        <v>204315</v>
      </c>
      <c r="K471" s="256">
        <f t="shared" si="147"/>
        <v>204315</v>
      </c>
      <c r="L471" s="256">
        <f t="shared" si="147"/>
        <v>204315</v>
      </c>
      <c r="M471" s="256">
        <f t="shared" si="147"/>
        <v>204315</v>
      </c>
      <c r="N471" s="256">
        <f t="shared" si="147"/>
        <v>204315</v>
      </c>
      <c r="O471" s="257">
        <f t="shared" si="147"/>
        <v>204315</v>
      </c>
      <c r="Q471" s="4"/>
      <c r="R471" s="4"/>
    </row>
    <row r="472" spans="1:15" ht="12" customHeight="1">
      <c r="A472" s="274"/>
      <c r="B472" s="275" t="s">
        <v>399</v>
      </c>
      <c r="C472" s="103">
        <f>SUM(D472:O472)</f>
        <v>2584300</v>
      </c>
      <c r="D472" s="348">
        <f>SUM(D473:D475)</f>
        <v>204315</v>
      </c>
      <c r="E472" s="348">
        <f>SUM(E473:E475)</f>
        <v>204315</v>
      </c>
      <c r="F472" s="348">
        <f>SUM(F473:F475)</f>
        <v>336835</v>
      </c>
      <c r="G472" s="348">
        <f>SUM(G473:G475)</f>
        <v>204315</v>
      </c>
      <c r="H472" s="348">
        <f>SUM(H473:H475)</f>
        <v>204315</v>
      </c>
      <c r="I472" s="348">
        <f aca="true" t="shared" si="148" ref="I472:O472">SUM(I473:I475)</f>
        <v>204315</v>
      </c>
      <c r="J472" s="348">
        <f t="shared" si="148"/>
        <v>204315</v>
      </c>
      <c r="K472" s="348">
        <f t="shared" si="148"/>
        <v>204315</v>
      </c>
      <c r="L472" s="348">
        <f t="shared" si="148"/>
        <v>204315</v>
      </c>
      <c r="M472" s="348">
        <f t="shared" si="148"/>
        <v>204315</v>
      </c>
      <c r="N472" s="348">
        <f t="shared" si="148"/>
        <v>204315</v>
      </c>
      <c r="O472" s="349">
        <f t="shared" si="148"/>
        <v>204315</v>
      </c>
    </row>
    <row r="473" spans="1:18" s="304" customFormat="1" ht="12" customHeight="1">
      <c r="A473" s="249"/>
      <c r="B473" s="250" t="s">
        <v>384</v>
      </c>
      <c r="C473" s="251">
        <f>SUM(D473:O473)</f>
        <v>1722700</v>
      </c>
      <c r="D473" s="251">
        <v>132515</v>
      </c>
      <c r="E473" s="251">
        <v>132515</v>
      </c>
      <c r="F473" s="251">
        <v>265035</v>
      </c>
      <c r="G473" s="251">
        <v>132515</v>
      </c>
      <c r="H473" s="251">
        <v>132515</v>
      </c>
      <c r="I473" s="251">
        <v>132515</v>
      </c>
      <c r="J473" s="251">
        <v>132515</v>
      </c>
      <c r="K473" s="251">
        <v>132515</v>
      </c>
      <c r="L473" s="251">
        <v>132515</v>
      </c>
      <c r="M473" s="251">
        <v>132515</v>
      </c>
      <c r="N473" s="251">
        <v>132515</v>
      </c>
      <c r="O473" s="262">
        <v>132515</v>
      </c>
      <c r="Q473" s="4"/>
      <c r="R473" s="4"/>
    </row>
    <row r="474" spans="1:18" s="304" customFormat="1" ht="12" customHeight="1">
      <c r="A474" s="249"/>
      <c r="B474" s="250" t="s">
        <v>385</v>
      </c>
      <c r="C474" s="251"/>
      <c r="D474" s="251"/>
      <c r="E474" s="251"/>
      <c r="F474" s="251"/>
      <c r="G474" s="251"/>
      <c r="H474" s="251"/>
      <c r="I474" s="251"/>
      <c r="J474" s="251"/>
      <c r="K474" s="251"/>
      <c r="L474" s="251"/>
      <c r="M474" s="251"/>
      <c r="N474" s="251"/>
      <c r="O474" s="262"/>
      <c r="Q474" s="4"/>
      <c r="R474" s="4"/>
    </row>
    <row r="475" spans="1:18" s="304" customFormat="1" ht="12" customHeight="1">
      <c r="A475" s="249"/>
      <c r="B475" s="250" t="s">
        <v>357</v>
      </c>
      <c r="C475" s="251">
        <f>SUM(D475:O475)</f>
        <v>861600</v>
      </c>
      <c r="D475" s="251">
        <v>71800</v>
      </c>
      <c r="E475" s="251">
        <v>71800</v>
      </c>
      <c r="F475" s="251">
        <v>71800</v>
      </c>
      <c r="G475" s="251">
        <v>71800</v>
      </c>
      <c r="H475" s="251">
        <v>71800</v>
      </c>
      <c r="I475" s="251">
        <v>71800</v>
      </c>
      <c r="J475" s="251">
        <v>71800</v>
      </c>
      <c r="K475" s="251">
        <v>71800</v>
      </c>
      <c r="L475" s="251">
        <v>71800</v>
      </c>
      <c r="M475" s="251">
        <v>71800</v>
      </c>
      <c r="N475" s="251">
        <v>71800</v>
      </c>
      <c r="O475" s="262">
        <v>71800</v>
      </c>
      <c r="Q475" s="4"/>
      <c r="R475" s="4"/>
    </row>
    <row r="476" spans="1:18" s="304" customFormat="1" ht="12" customHeight="1">
      <c r="A476" s="276"/>
      <c r="B476" s="250" t="s">
        <v>376</v>
      </c>
      <c r="C476" s="251">
        <f>SUM(D476:O476)</f>
        <v>158000</v>
      </c>
      <c r="D476" s="251"/>
      <c r="E476" s="186"/>
      <c r="F476" s="186"/>
      <c r="G476" s="186"/>
      <c r="H476" s="186"/>
      <c r="I476" s="186">
        <v>30000</v>
      </c>
      <c r="J476" s="251">
        <v>30000</v>
      </c>
      <c r="K476" s="186">
        <v>48000</v>
      </c>
      <c r="L476" s="186">
        <v>48000</v>
      </c>
      <c r="M476" s="186">
        <v>2000</v>
      </c>
      <c r="N476" s="186"/>
      <c r="O476" s="188"/>
      <c r="Q476" s="4"/>
      <c r="R476" s="4"/>
    </row>
    <row r="477" spans="1:18" s="258" customFormat="1" ht="22.5" customHeight="1">
      <c r="A477" s="271">
        <v>85415</v>
      </c>
      <c r="B477" s="279" t="s">
        <v>449</v>
      </c>
      <c r="C477" s="256">
        <f>SUM(C478)</f>
        <v>924900</v>
      </c>
      <c r="D477" s="256">
        <f>D478</f>
        <v>88840</v>
      </c>
      <c r="E477" s="256">
        <f aca="true" t="shared" si="149" ref="E477:O477">E478</f>
        <v>88840</v>
      </c>
      <c r="F477" s="256">
        <f t="shared" si="149"/>
        <v>88840</v>
      </c>
      <c r="G477" s="256">
        <f t="shared" si="149"/>
        <v>88840</v>
      </c>
      <c r="H477" s="256">
        <f t="shared" si="149"/>
        <v>88840</v>
      </c>
      <c r="I477" s="256">
        <f t="shared" si="149"/>
        <v>125340</v>
      </c>
      <c r="J477" s="256">
        <f t="shared" si="149"/>
        <v>0</v>
      </c>
      <c r="K477" s="256">
        <f t="shared" si="149"/>
        <v>0</v>
      </c>
      <c r="L477" s="256">
        <f t="shared" si="149"/>
        <v>88840</v>
      </c>
      <c r="M477" s="256">
        <f t="shared" si="149"/>
        <v>88840</v>
      </c>
      <c r="N477" s="256">
        <f t="shared" si="149"/>
        <v>88840</v>
      </c>
      <c r="O477" s="257">
        <f t="shared" si="149"/>
        <v>88840</v>
      </c>
      <c r="Q477" s="4"/>
      <c r="R477" s="4"/>
    </row>
    <row r="478" spans="1:15" ht="12">
      <c r="A478" s="274"/>
      <c r="B478" s="275" t="s">
        <v>399</v>
      </c>
      <c r="C478" s="103">
        <f>SUM(D481:O481)</f>
        <v>924900</v>
      </c>
      <c r="D478" s="172">
        <f>D481</f>
        <v>88840</v>
      </c>
      <c r="E478" s="172">
        <f aca="true" t="shared" si="150" ref="E478:O478">E481</f>
        <v>88840</v>
      </c>
      <c r="F478" s="172">
        <f t="shared" si="150"/>
        <v>88840</v>
      </c>
      <c r="G478" s="172">
        <f t="shared" si="150"/>
        <v>88840</v>
      </c>
      <c r="H478" s="172">
        <f t="shared" si="150"/>
        <v>88840</v>
      </c>
      <c r="I478" s="172">
        <f t="shared" si="150"/>
        <v>125340</v>
      </c>
      <c r="J478" s="172">
        <f t="shared" si="150"/>
        <v>0</v>
      </c>
      <c r="K478" s="172">
        <f t="shared" si="150"/>
        <v>0</v>
      </c>
      <c r="L478" s="172">
        <f t="shared" si="150"/>
        <v>88840</v>
      </c>
      <c r="M478" s="172">
        <f t="shared" si="150"/>
        <v>88840</v>
      </c>
      <c r="N478" s="172">
        <f t="shared" si="150"/>
        <v>88840</v>
      </c>
      <c r="O478" s="174">
        <f t="shared" si="150"/>
        <v>88840</v>
      </c>
    </row>
    <row r="479" spans="1:18" s="304" customFormat="1" ht="12" hidden="1">
      <c r="A479" s="249"/>
      <c r="B479" s="250" t="s">
        <v>384</v>
      </c>
      <c r="C479" s="251">
        <f>SUM(D479:O479)</f>
        <v>0</v>
      </c>
      <c r="D479" s="251"/>
      <c r="E479" s="251"/>
      <c r="F479" s="251"/>
      <c r="G479" s="251"/>
      <c r="H479" s="251"/>
      <c r="I479" s="251"/>
      <c r="J479" s="251">
        <f>L479+N479</f>
        <v>0</v>
      </c>
      <c r="K479" s="251"/>
      <c r="L479" s="251"/>
      <c r="M479" s="251"/>
      <c r="N479" s="251"/>
      <c r="O479" s="262"/>
      <c r="Q479" s="4"/>
      <c r="R479" s="4"/>
    </row>
    <row r="480" spans="1:18" s="304" customFormat="1" ht="12" hidden="1">
      <c r="A480" s="249"/>
      <c r="B480" s="250" t="s">
        <v>385</v>
      </c>
      <c r="C480" s="251">
        <f>SUM(D480:O480)</f>
        <v>0</v>
      </c>
      <c r="D480" s="251"/>
      <c r="E480" s="251"/>
      <c r="F480" s="251"/>
      <c r="G480" s="251"/>
      <c r="H480" s="251"/>
      <c r="I480" s="251"/>
      <c r="J480" s="251"/>
      <c r="K480" s="251"/>
      <c r="L480" s="251"/>
      <c r="M480" s="251"/>
      <c r="N480" s="251"/>
      <c r="O480" s="262"/>
      <c r="Q480" s="4"/>
      <c r="R480" s="4"/>
    </row>
    <row r="481" spans="1:18" s="304" customFormat="1" ht="12" customHeight="1">
      <c r="A481" s="276"/>
      <c r="B481" s="277" t="s">
        <v>357</v>
      </c>
      <c r="C481" s="251">
        <f>SUM(D481:O481)</f>
        <v>924900</v>
      </c>
      <c r="D481" s="186">
        <v>88840</v>
      </c>
      <c r="E481" s="186">
        <v>88840</v>
      </c>
      <c r="F481" s="186">
        <v>88840</v>
      </c>
      <c r="G481" s="186">
        <v>88840</v>
      </c>
      <c r="H481" s="186">
        <v>88840</v>
      </c>
      <c r="I481" s="186">
        <f>118840+6500</f>
        <v>125340</v>
      </c>
      <c r="J481" s="186">
        <v>0</v>
      </c>
      <c r="K481" s="186">
        <v>0</v>
      </c>
      <c r="L481" s="186">
        <v>88840</v>
      </c>
      <c r="M481" s="186">
        <v>88840</v>
      </c>
      <c r="N481" s="186">
        <v>88840</v>
      </c>
      <c r="O481" s="188">
        <v>88840</v>
      </c>
      <c r="Q481" s="4"/>
      <c r="R481" s="4"/>
    </row>
    <row r="482" spans="1:18" s="258" customFormat="1" ht="23.25" customHeight="1">
      <c r="A482" s="271">
        <v>85417</v>
      </c>
      <c r="B482" s="279" t="s">
        <v>450</v>
      </c>
      <c r="C482" s="256">
        <f>SUM(C483)</f>
        <v>218000</v>
      </c>
      <c r="D482" s="256">
        <f>SUM(D483)</f>
        <v>17830</v>
      </c>
      <c r="E482" s="256">
        <f>SUM(E483)</f>
        <v>17830</v>
      </c>
      <c r="F482" s="256">
        <f>SUM(F483)</f>
        <v>22830</v>
      </c>
      <c r="G482" s="256">
        <f aca="true" t="shared" si="151" ref="G482:O482">SUM(G483)</f>
        <v>21130</v>
      </c>
      <c r="H482" s="256">
        <f t="shared" si="151"/>
        <v>17830</v>
      </c>
      <c r="I482" s="256">
        <f t="shared" si="151"/>
        <v>17350</v>
      </c>
      <c r="J482" s="256">
        <f t="shared" si="151"/>
        <v>17350</v>
      </c>
      <c r="K482" s="256">
        <f t="shared" si="151"/>
        <v>17350</v>
      </c>
      <c r="L482" s="256">
        <f t="shared" si="151"/>
        <v>17350</v>
      </c>
      <c r="M482" s="256">
        <f t="shared" si="151"/>
        <v>17050</v>
      </c>
      <c r="N482" s="256">
        <f t="shared" si="151"/>
        <v>17050</v>
      </c>
      <c r="O482" s="257">
        <f t="shared" si="151"/>
        <v>17050</v>
      </c>
      <c r="Q482" s="4"/>
      <c r="R482" s="4"/>
    </row>
    <row r="483" spans="1:15" ht="12">
      <c r="A483" s="274"/>
      <c r="B483" s="275" t="s">
        <v>399</v>
      </c>
      <c r="C483" s="103">
        <f>SUM(D483:O483)</f>
        <v>218000</v>
      </c>
      <c r="D483" s="348">
        <f>SUM(D484:D486)</f>
        <v>17830</v>
      </c>
      <c r="E483" s="348">
        <f>SUM(E484:E486)</f>
        <v>17830</v>
      </c>
      <c r="F483" s="348">
        <f>SUM(F484:F486)</f>
        <v>22830</v>
      </c>
      <c r="G483" s="348">
        <f aca="true" t="shared" si="152" ref="G483:O483">SUM(G484:G486)</f>
        <v>21130</v>
      </c>
      <c r="H483" s="348">
        <f t="shared" si="152"/>
        <v>17830</v>
      </c>
      <c r="I483" s="348">
        <f t="shared" si="152"/>
        <v>17350</v>
      </c>
      <c r="J483" s="348">
        <f t="shared" si="152"/>
        <v>17350</v>
      </c>
      <c r="K483" s="348">
        <f t="shared" si="152"/>
        <v>17350</v>
      </c>
      <c r="L483" s="348">
        <f t="shared" si="152"/>
        <v>17350</v>
      </c>
      <c r="M483" s="348">
        <f t="shared" si="152"/>
        <v>17050</v>
      </c>
      <c r="N483" s="348">
        <f t="shared" si="152"/>
        <v>17050</v>
      </c>
      <c r="O483" s="349">
        <f t="shared" si="152"/>
        <v>17050</v>
      </c>
    </row>
    <row r="484" spans="1:18" s="304" customFormat="1" ht="12">
      <c r="A484" s="249"/>
      <c r="B484" s="250" t="s">
        <v>384</v>
      </c>
      <c r="C484" s="251">
        <f>SUM(D484:O484)</f>
        <v>137900</v>
      </c>
      <c r="D484" s="251">
        <v>10800</v>
      </c>
      <c r="E484" s="251">
        <v>10800</v>
      </c>
      <c r="F484" s="251">
        <v>15800</v>
      </c>
      <c r="G484" s="251">
        <v>14100</v>
      </c>
      <c r="H484" s="251">
        <v>10800</v>
      </c>
      <c r="I484" s="251">
        <v>10800</v>
      </c>
      <c r="J484" s="251">
        <v>10800</v>
      </c>
      <c r="K484" s="251">
        <v>10800</v>
      </c>
      <c r="L484" s="251">
        <v>10800</v>
      </c>
      <c r="M484" s="251">
        <v>10800</v>
      </c>
      <c r="N484" s="251">
        <v>10800</v>
      </c>
      <c r="O484" s="262">
        <v>10800</v>
      </c>
      <c r="P484" s="353"/>
      <c r="Q484" s="4"/>
      <c r="R484" s="4"/>
    </row>
    <row r="485" spans="1:18" s="304" customFormat="1" ht="12">
      <c r="A485" s="249"/>
      <c r="B485" s="250" t="s">
        <v>385</v>
      </c>
      <c r="C485" s="251"/>
      <c r="D485" s="251"/>
      <c r="E485" s="251"/>
      <c r="F485" s="251"/>
      <c r="G485" s="251"/>
      <c r="H485" s="251"/>
      <c r="I485" s="251"/>
      <c r="J485" s="251"/>
      <c r="K485" s="251"/>
      <c r="L485" s="251"/>
      <c r="M485" s="251"/>
      <c r="N485" s="251"/>
      <c r="O485" s="262"/>
      <c r="Q485" s="4"/>
      <c r="R485" s="4"/>
    </row>
    <row r="486" spans="1:18" s="304" customFormat="1" ht="12">
      <c r="A486" s="249"/>
      <c r="B486" s="250" t="s">
        <v>357</v>
      </c>
      <c r="C486" s="251">
        <f>SUM(D486:O486)</f>
        <v>80100</v>
      </c>
      <c r="D486" s="251">
        <v>7030</v>
      </c>
      <c r="E486" s="251">
        <v>7030</v>
      </c>
      <c r="F486" s="251">
        <v>7030</v>
      </c>
      <c r="G486" s="251">
        <v>7030</v>
      </c>
      <c r="H486" s="251">
        <v>7030</v>
      </c>
      <c r="I486" s="251">
        <v>6550</v>
      </c>
      <c r="J486" s="251">
        <v>6550</v>
      </c>
      <c r="K486" s="251">
        <v>6550</v>
      </c>
      <c r="L486" s="251">
        <v>6550</v>
      </c>
      <c r="M486" s="251">
        <v>6250</v>
      </c>
      <c r="N486" s="251">
        <v>6250</v>
      </c>
      <c r="O486" s="262">
        <v>6250</v>
      </c>
      <c r="Q486" s="4"/>
      <c r="R486" s="4"/>
    </row>
    <row r="487" spans="1:18" s="258" customFormat="1" ht="23.25" customHeight="1">
      <c r="A487" s="271">
        <v>85446</v>
      </c>
      <c r="B487" s="279" t="s">
        <v>451</v>
      </c>
      <c r="C487" s="256">
        <f>SUM(C488)</f>
        <v>22300</v>
      </c>
      <c r="D487" s="256"/>
      <c r="E487" s="256"/>
      <c r="F487" s="256"/>
      <c r="G487" s="256"/>
      <c r="H487" s="256"/>
      <c r="I487" s="256"/>
      <c r="J487" s="256">
        <f>SUM(J488)</f>
        <v>22300</v>
      </c>
      <c r="K487" s="256">
        <f>SUM(K488)</f>
        <v>0</v>
      </c>
      <c r="L487" s="256"/>
      <c r="M487" s="256"/>
      <c r="N487" s="256"/>
      <c r="O487" s="257"/>
      <c r="Q487" s="4"/>
      <c r="R487" s="4"/>
    </row>
    <row r="488" spans="1:15" ht="11.25" customHeight="1">
      <c r="A488" s="274"/>
      <c r="B488" s="275" t="s">
        <v>399</v>
      </c>
      <c r="C488" s="103">
        <f>SUM(D488:O488)</f>
        <v>22300</v>
      </c>
      <c r="D488" s="348"/>
      <c r="E488" s="348"/>
      <c r="F488" s="348"/>
      <c r="G488" s="348"/>
      <c r="H488" s="348"/>
      <c r="I488" s="348"/>
      <c r="J488" s="348">
        <f>SUM(J489:J489)</f>
        <v>22300</v>
      </c>
      <c r="K488" s="348">
        <f>SUM(K489:K489)</f>
        <v>0</v>
      </c>
      <c r="L488" s="348"/>
      <c r="M488" s="348"/>
      <c r="N488" s="348"/>
      <c r="O488" s="349"/>
    </row>
    <row r="489" spans="1:18" s="304" customFormat="1" ht="12" customHeight="1">
      <c r="A489" s="276"/>
      <c r="B489" s="277" t="s">
        <v>357</v>
      </c>
      <c r="C489" s="251">
        <f>SUM(D489:O489)</f>
        <v>22300</v>
      </c>
      <c r="D489" s="186"/>
      <c r="E489" s="186"/>
      <c r="F489" s="186"/>
      <c r="G489" s="186"/>
      <c r="H489" s="186"/>
      <c r="I489" s="186"/>
      <c r="J489" s="186">
        <v>22300</v>
      </c>
      <c r="K489" s="186"/>
      <c r="L489" s="186"/>
      <c r="M489" s="186"/>
      <c r="N489" s="186"/>
      <c r="O489" s="188"/>
      <c r="Q489" s="4"/>
      <c r="R489" s="4"/>
    </row>
    <row r="490" spans="1:18" s="258" customFormat="1" ht="14.25" customHeight="1">
      <c r="A490" s="271">
        <v>85495</v>
      </c>
      <c r="B490" s="279" t="s">
        <v>86</v>
      </c>
      <c r="C490" s="256">
        <f>SUM(C491)</f>
        <v>279960</v>
      </c>
      <c r="D490" s="256">
        <f>SUM(D491)</f>
        <v>15176</v>
      </c>
      <c r="E490" s="256">
        <f>SUM(E491)</f>
        <v>15176</v>
      </c>
      <c r="F490" s="256">
        <f>SUM(F491)</f>
        <v>63926</v>
      </c>
      <c r="G490" s="256">
        <f aca="true" t="shared" si="153" ref="G490:O490">SUM(G491)</f>
        <v>15176</v>
      </c>
      <c r="H490" s="256">
        <f t="shared" si="153"/>
        <v>15176</v>
      </c>
      <c r="I490" s="256">
        <f t="shared" si="153"/>
        <v>37716</v>
      </c>
      <c r="J490" s="256">
        <f t="shared" si="153"/>
        <v>7716</v>
      </c>
      <c r="K490" s="256">
        <f t="shared" si="153"/>
        <v>7716</v>
      </c>
      <c r="L490" s="256">
        <f t="shared" si="153"/>
        <v>83966</v>
      </c>
      <c r="M490" s="256">
        <f t="shared" si="153"/>
        <v>8376</v>
      </c>
      <c r="N490" s="256">
        <f t="shared" si="153"/>
        <v>7420</v>
      </c>
      <c r="O490" s="257">
        <f t="shared" si="153"/>
        <v>2420</v>
      </c>
      <c r="Q490" s="4"/>
      <c r="R490" s="4"/>
    </row>
    <row r="491" spans="1:15" ht="12">
      <c r="A491" s="245"/>
      <c r="B491" s="259" t="s">
        <v>356</v>
      </c>
      <c r="C491" s="103">
        <f>SUM(D491:O491)</f>
        <v>279960</v>
      </c>
      <c r="D491" s="103">
        <f>SUM(D492:D495)</f>
        <v>15176</v>
      </c>
      <c r="E491" s="103">
        <f>SUM(E492:E495)</f>
        <v>15176</v>
      </c>
      <c r="F491" s="103">
        <f>SUM(F492:F495)</f>
        <v>63926</v>
      </c>
      <c r="G491" s="103">
        <f>SUM(G492:G495)</f>
        <v>15176</v>
      </c>
      <c r="H491" s="103">
        <f>SUM(H492:H495)</f>
        <v>15176</v>
      </c>
      <c r="I491" s="103">
        <f aca="true" t="shared" si="154" ref="I491:O491">SUM(I492:I495)</f>
        <v>37716</v>
      </c>
      <c r="J491" s="103">
        <f t="shared" si="154"/>
        <v>7716</v>
      </c>
      <c r="K491" s="103">
        <f t="shared" si="154"/>
        <v>7716</v>
      </c>
      <c r="L491" s="103">
        <f t="shared" si="154"/>
        <v>83966</v>
      </c>
      <c r="M491" s="103">
        <f t="shared" si="154"/>
        <v>8376</v>
      </c>
      <c r="N491" s="103">
        <f t="shared" si="154"/>
        <v>7420</v>
      </c>
      <c r="O491" s="105">
        <f t="shared" si="154"/>
        <v>2420</v>
      </c>
    </row>
    <row r="492" spans="1:18" s="304" customFormat="1" ht="12">
      <c r="A492" s="249"/>
      <c r="B492" s="250" t="s">
        <v>384</v>
      </c>
      <c r="C492" s="251">
        <f>SUM(D492:O492)</f>
        <v>70000</v>
      </c>
      <c r="D492" s="251"/>
      <c r="E492" s="251"/>
      <c r="F492" s="251"/>
      <c r="G492" s="251"/>
      <c r="H492" s="251"/>
      <c r="I492" s="251"/>
      <c r="J492" s="251"/>
      <c r="K492" s="251"/>
      <c r="L492" s="251">
        <v>70000</v>
      </c>
      <c r="M492" s="251"/>
      <c r="N492" s="251"/>
      <c r="O492" s="262"/>
      <c r="Q492" s="4"/>
      <c r="R492" s="4"/>
    </row>
    <row r="493" spans="1:18" s="304" customFormat="1" ht="12">
      <c r="A493" s="276"/>
      <c r="B493" s="277" t="s">
        <v>385</v>
      </c>
      <c r="C493" s="186"/>
      <c r="D493" s="186"/>
      <c r="E493" s="186"/>
      <c r="F493" s="186"/>
      <c r="G493" s="186"/>
      <c r="H493" s="186"/>
      <c r="I493" s="186"/>
      <c r="J493" s="186"/>
      <c r="K493" s="186"/>
      <c r="L493" s="186"/>
      <c r="M493" s="186"/>
      <c r="N493" s="186"/>
      <c r="O493" s="188"/>
      <c r="Q493" s="4"/>
      <c r="R493" s="4"/>
    </row>
    <row r="494" spans="1:15" ht="12">
      <c r="A494" s="245"/>
      <c r="B494" s="261" t="s">
        <v>373</v>
      </c>
      <c r="C494" s="251">
        <f>SUM(D494:O494)</f>
        <v>29000</v>
      </c>
      <c r="D494" s="251">
        <v>2416</v>
      </c>
      <c r="E494" s="251">
        <v>2416</v>
      </c>
      <c r="F494" s="251">
        <v>2416</v>
      </c>
      <c r="G494" s="251">
        <v>2416</v>
      </c>
      <c r="H494" s="251">
        <v>2416</v>
      </c>
      <c r="I494" s="251">
        <v>2416</v>
      </c>
      <c r="J494" s="251">
        <v>2416</v>
      </c>
      <c r="K494" s="251">
        <v>2416</v>
      </c>
      <c r="L494" s="251">
        <v>2416</v>
      </c>
      <c r="M494" s="251">
        <v>2416</v>
      </c>
      <c r="N494" s="251">
        <v>2420</v>
      </c>
      <c r="O494" s="262">
        <v>2420</v>
      </c>
    </row>
    <row r="495" spans="1:15" ht="12">
      <c r="A495" s="245"/>
      <c r="B495" s="250" t="s">
        <v>357</v>
      </c>
      <c r="C495" s="251">
        <f>SUM(D495:O495)</f>
        <v>180960</v>
      </c>
      <c r="D495" s="251">
        <v>12760</v>
      </c>
      <c r="E495" s="251">
        <v>12760</v>
      </c>
      <c r="F495" s="251">
        <f>12760+48750</f>
        <v>61510</v>
      </c>
      <c r="G495" s="251">
        <v>12760</v>
      </c>
      <c r="H495" s="251">
        <v>12760</v>
      </c>
      <c r="I495" s="251">
        <f>5300+30000</f>
        <v>35300</v>
      </c>
      <c r="J495" s="251">
        <f>5300</f>
        <v>5300</v>
      </c>
      <c r="K495" s="251">
        <f>5300</f>
        <v>5300</v>
      </c>
      <c r="L495" s="251">
        <f>5300+6250</f>
        <v>11550</v>
      </c>
      <c r="M495" s="251">
        <v>5960</v>
      </c>
      <c r="N495" s="251">
        <v>5000</v>
      </c>
      <c r="O495" s="262"/>
    </row>
    <row r="496" spans="1:18" s="304" customFormat="1" ht="12.75" thickBot="1">
      <c r="A496" s="276"/>
      <c r="B496" s="250" t="s">
        <v>376</v>
      </c>
      <c r="C496" s="251">
        <f>SUM(D496:O496)</f>
        <v>0</v>
      </c>
      <c r="D496" s="251"/>
      <c r="E496" s="186"/>
      <c r="F496" s="186"/>
      <c r="G496" s="186"/>
      <c r="H496" s="186"/>
      <c r="I496" s="186"/>
      <c r="J496" s="251"/>
      <c r="K496" s="186"/>
      <c r="L496" s="186"/>
      <c r="M496" s="186"/>
      <c r="N496" s="186"/>
      <c r="O496" s="188"/>
      <c r="Q496" s="4"/>
      <c r="R496" s="4"/>
    </row>
    <row r="497" spans="1:18" s="244" customFormat="1" ht="50.25" customHeight="1" thickBot="1" thickTop="1">
      <c r="A497" s="270">
        <v>900</v>
      </c>
      <c r="B497" s="243" t="s">
        <v>452</v>
      </c>
      <c r="C497" s="147">
        <f aca="true" t="shared" si="155" ref="C497:O497">C501+C504+C513+C519+C507+C498</f>
        <v>9122418</v>
      </c>
      <c r="D497" s="147">
        <f t="shared" si="155"/>
        <v>802123</v>
      </c>
      <c r="E497" s="147">
        <f t="shared" si="155"/>
        <v>718123</v>
      </c>
      <c r="F497" s="147">
        <f t="shared" si="155"/>
        <v>715123</v>
      </c>
      <c r="G497" s="147">
        <f t="shared" si="155"/>
        <v>703123</v>
      </c>
      <c r="H497" s="147">
        <f t="shared" si="155"/>
        <v>693123</v>
      </c>
      <c r="I497" s="147">
        <f t="shared" si="155"/>
        <v>704123</v>
      </c>
      <c r="J497" s="147">
        <f t="shared" si="155"/>
        <v>894823</v>
      </c>
      <c r="K497" s="147">
        <f t="shared" si="155"/>
        <v>701123</v>
      </c>
      <c r="L497" s="147">
        <f t="shared" si="155"/>
        <v>711123</v>
      </c>
      <c r="M497" s="147">
        <f t="shared" si="155"/>
        <v>777357</v>
      </c>
      <c r="N497" s="147">
        <f t="shared" si="155"/>
        <v>1016123</v>
      </c>
      <c r="O497" s="149">
        <f t="shared" si="155"/>
        <v>686131</v>
      </c>
      <c r="Q497" s="4"/>
      <c r="R497" s="4"/>
    </row>
    <row r="498" spans="1:18" s="258" customFormat="1" ht="24" customHeight="1" thickTop="1">
      <c r="A498" s="271">
        <v>90001</v>
      </c>
      <c r="B498" s="279" t="s">
        <v>453</v>
      </c>
      <c r="C498" s="256">
        <f>SUM(C499)</f>
        <v>1150000</v>
      </c>
      <c r="D498" s="256">
        <f>SUM(D499)</f>
        <v>100000</v>
      </c>
      <c r="E498" s="256">
        <f>SUM(E499)</f>
        <v>10000</v>
      </c>
      <c r="F498" s="256">
        <f>SUM(F499)</f>
        <v>0</v>
      </c>
      <c r="G498" s="256">
        <f aca="true" t="shared" si="156" ref="G498:N499">SUM(G499)</f>
        <v>100000</v>
      </c>
      <c r="H498" s="256">
        <f t="shared" si="156"/>
        <v>50000</v>
      </c>
      <c r="I498" s="256">
        <f t="shared" si="156"/>
        <v>140000</v>
      </c>
      <c r="J498" s="256">
        <f t="shared" si="156"/>
        <v>150000</v>
      </c>
      <c r="K498" s="256">
        <f t="shared" si="156"/>
        <v>100000</v>
      </c>
      <c r="L498" s="256">
        <f t="shared" si="156"/>
        <v>100000</v>
      </c>
      <c r="M498" s="256">
        <f t="shared" si="156"/>
        <v>200000</v>
      </c>
      <c r="N498" s="256">
        <f t="shared" si="156"/>
        <v>200000</v>
      </c>
      <c r="O498" s="257"/>
      <c r="Q498" s="4"/>
      <c r="R498" s="4"/>
    </row>
    <row r="499" spans="1:15" ht="12.75">
      <c r="A499" s="274"/>
      <c r="B499" s="293" t="s">
        <v>352</v>
      </c>
      <c r="C499" s="192">
        <f>SUM(D499:O499)</f>
        <v>1150000</v>
      </c>
      <c r="D499" s="330">
        <f>SUM(D500)</f>
        <v>100000</v>
      </c>
      <c r="E499" s="330">
        <f>SUM(E500)</f>
        <v>10000</v>
      </c>
      <c r="F499" s="330">
        <f>SUM(F500)</f>
        <v>0</v>
      </c>
      <c r="G499" s="330">
        <f t="shared" si="156"/>
        <v>100000</v>
      </c>
      <c r="H499" s="330">
        <f t="shared" si="156"/>
        <v>50000</v>
      </c>
      <c r="I499" s="330">
        <f t="shared" si="156"/>
        <v>140000</v>
      </c>
      <c r="J499" s="330">
        <f t="shared" si="156"/>
        <v>150000</v>
      </c>
      <c r="K499" s="330">
        <f t="shared" si="156"/>
        <v>100000</v>
      </c>
      <c r="L499" s="330">
        <f t="shared" si="156"/>
        <v>100000</v>
      </c>
      <c r="M499" s="330">
        <f t="shared" si="156"/>
        <v>200000</v>
      </c>
      <c r="N499" s="330">
        <f t="shared" si="156"/>
        <v>200000</v>
      </c>
      <c r="O499" s="280"/>
    </row>
    <row r="500" spans="1:15" ht="12">
      <c r="A500" s="283"/>
      <c r="B500" s="291" t="s">
        <v>368</v>
      </c>
      <c r="C500" s="186">
        <f>SUM(D500:O500)</f>
        <v>1150000</v>
      </c>
      <c r="D500" s="186">
        <v>100000</v>
      </c>
      <c r="E500" s="186">
        <v>10000</v>
      </c>
      <c r="F500" s="186"/>
      <c r="G500" s="177">
        <v>100000</v>
      </c>
      <c r="H500" s="177">
        <v>50000</v>
      </c>
      <c r="I500" s="177">
        <v>140000</v>
      </c>
      <c r="J500" s="186">
        <v>150000</v>
      </c>
      <c r="K500" s="186">
        <v>100000</v>
      </c>
      <c r="L500" s="186">
        <v>100000</v>
      </c>
      <c r="M500" s="177">
        <v>200000</v>
      </c>
      <c r="N500" s="177">
        <v>200000</v>
      </c>
      <c r="O500" s="144"/>
    </row>
    <row r="501" spans="1:18" s="258" customFormat="1" ht="24" customHeight="1">
      <c r="A501" s="271">
        <v>90003</v>
      </c>
      <c r="B501" s="279" t="s">
        <v>454</v>
      </c>
      <c r="C501" s="256">
        <f>SUM(C502)</f>
        <v>2030000</v>
      </c>
      <c r="D501" s="256">
        <f>SUM(D502)</f>
        <v>300000</v>
      </c>
      <c r="E501" s="256">
        <f>SUM(E502)</f>
        <v>300000</v>
      </c>
      <c r="F501" s="256">
        <f>SUM(F502)</f>
        <v>298000</v>
      </c>
      <c r="G501" s="256">
        <f aca="true" t="shared" si="157" ref="G501:O502">SUM(G502)</f>
        <v>76000</v>
      </c>
      <c r="H501" s="256">
        <f t="shared" si="157"/>
        <v>76000</v>
      </c>
      <c r="I501" s="256">
        <f t="shared" si="157"/>
        <v>76000</v>
      </c>
      <c r="J501" s="256">
        <f t="shared" si="157"/>
        <v>76000</v>
      </c>
      <c r="K501" s="256">
        <f t="shared" si="157"/>
        <v>76000</v>
      </c>
      <c r="L501" s="256">
        <f t="shared" si="157"/>
        <v>76000</v>
      </c>
      <c r="M501" s="256">
        <f t="shared" si="157"/>
        <v>76000</v>
      </c>
      <c r="N501" s="256">
        <f t="shared" si="157"/>
        <v>300000</v>
      </c>
      <c r="O501" s="257">
        <f t="shared" si="157"/>
        <v>300000</v>
      </c>
      <c r="P501" s="354"/>
      <c r="Q501" s="4"/>
      <c r="R501" s="4"/>
    </row>
    <row r="502" spans="1:15" ht="12">
      <c r="A502" s="245"/>
      <c r="B502" s="259" t="s">
        <v>356</v>
      </c>
      <c r="C502" s="103">
        <f>SUM(D502:O502)</f>
        <v>2030000</v>
      </c>
      <c r="D502" s="103">
        <f>SUM(D503)</f>
        <v>300000</v>
      </c>
      <c r="E502" s="103">
        <f>SUM(E503)</f>
        <v>300000</v>
      </c>
      <c r="F502" s="103">
        <f>SUM(F503)</f>
        <v>298000</v>
      </c>
      <c r="G502" s="103">
        <f t="shared" si="157"/>
        <v>76000</v>
      </c>
      <c r="H502" s="103">
        <f t="shared" si="157"/>
        <v>76000</v>
      </c>
      <c r="I502" s="103">
        <f t="shared" si="157"/>
        <v>76000</v>
      </c>
      <c r="J502" s="103">
        <f t="shared" si="157"/>
        <v>76000</v>
      </c>
      <c r="K502" s="103">
        <f t="shared" si="157"/>
        <v>76000</v>
      </c>
      <c r="L502" s="103">
        <f t="shared" si="157"/>
        <v>76000</v>
      </c>
      <c r="M502" s="103">
        <f t="shared" si="157"/>
        <v>76000</v>
      </c>
      <c r="N502" s="103">
        <f t="shared" si="157"/>
        <v>300000</v>
      </c>
      <c r="O502" s="105">
        <f t="shared" si="157"/>
        <v>300000</v>
      </c>
    </row>
    <row r="503" spans="1:15" ht="12">
      <c r="A503" s="283"/>
      <c r="B503" s="291" t="s">
        <v>357</v>
      </c>
      <c r="C503" s="186">
        <f>SUM(D503:O503)</f>
        <v>2030000</v>
      </c>
      <c r="D503" s="186">
        <v>300000</v>
      </c>
      <c r="E503" s="186">
        <v>300000</v>
      </c>
      <c r="F503" s="186">
        <v>298000</v>
      </c>
      <c r="G503" s="177">
        <v>76000</v>
      </c>
      <c r="H503" s="177">
        <v>76000</v>
      </c>
      <c r="I503" s="177">
        <v>76000</v>
      </c>
      <c r="J503" s="177">
        <v>76000</v>
      </c>
      <c r="K503" s="177">
        <v>76000</v>
      </c>
      <c r="L503" s="177">
        <v>76000</v>
      </c>
      <c r="M503" s="177">
        <v>76000</v>
      </c>
      <c r="N503" s="186">
        <v>300000</v>
      </c>
      <c r="O503" s="144">
        <v>300000</v>
      </c>
    </row>
    <row r="504" spans="1:18" s="258" customFormat="1" ht="24" customHeight="1">
      <c r="A504" s="271">
        <v>90004</v>
      </c>
      <c r="B504" s="279" t="s">
        <v>455</v>
      </c>
      <c r="C504" s="256">
        <f>SUM(C505)</f>
        <v>1606234</v>
      </c>
      <c r="D504" s="256">
        <f>SUM(D505)</f>
        <v>30000</v>
      </c>
      <c r="E504" s="256">
        <f>SUM(E505)</f>
        <v>50000</v>
      </c>
      <c r="F504" s="256">
        <f>SUM(F505)</f>
        <v>100000</v>
      </c>
      <c r="G504" s="256">
        <f aca="true" t="shared" si="158" ref="G504:O505">SUM(G505)</f>
        <v>150000</v>
      </c>
      <c r="H504" s="256">
        <f t="shared" si="158"/>
        <v>200000</v>
      </c>
      <c r="I504" s="256">
        <f t="shared" si="158"/>
        <v>200000</v>
      </c>
      <c r="J504" s="256">
        <f t="shared" si="158"/>
        <v>300000</v>
      </c>
      <c r="K504" s="256">
        <f t="shared" si="158"/>
        <v>200000</v>
      </c>
      <c r="L504" s="256">
        <f t="shared" si="158"/>
        <v>150000</v>
      </c>
      <c r="M504" s="256">
        <f t="shared" si="158"/>
        <v>96234</v>
      </c>
      <c r="N504" s="256">
        <f t="shared" si="158"/>
        <v>80000</v>
      </c>
      <c r="O504" s="257">
        <f t="shared" si="158"/>
        <v>50000</v>
      </c>
      <c r="Q504" s="4"/>
      <c r="R504" s="4"/>
    </row>
    <row r="505" spans="1:15" ht="12">
      <c r="A505" s="245"/>
      <c r="B505" s="259" t="s">
        <v>356</v>
      </c>
      <c r="C505" s="251">
        <f>SUM(D505:O505)</f>
        <v>1606234</v>
      </c>
      <c r="D505" s="103">
        <f>SUM(D506)</f>
        <v>30000</v>
      </c>
      <c r="E505" s="103">
        <f>SUM(E506)</f>
        <v>50000</v>
      </c>
      <c r="F505" s="103">
        <f>SUM(F506)</f>
        <v>100000</v>
      </c>
      <c r="G505" s="103">
        <f t="shared" si="158"/>
        <v>150000</v>
      </c>
      <c r="H505" s="103">
        <f>SUM(H506)</f>
        <v>200000</v>
      </c>
      <c r="I505" s="103">
        <f t="shared" si="158"/>
        <v>200000</v>
      </c>
      <c r="J505" s="103">
        <f t="shared" si="158"/>
        <v>300000</v>
      </c>
      <c r="K505" s="103">
        <f t="shared" si="158"/>
        <v>200000</v>
      </c>
      <c r="L505" s="103">
        <f t="shared" si="158"/>
        <v>150000</v>
      </c>
      <c r="M505" s="103">
        <f t="shared" si="158"/>
        <v>96234</v>
      </c>
      <c r="N505" s="103">
        <f t="shared" si="158"/>
        <v>80000</v>
      </c>
      <c r="O505" s="105">
        <f t="shared" si="158"/>
        <v>50000</v>
      </c>
    </row>
    <row r="506" spans="1:15" ht="12">
      <c r="A506" s="245"/>
      <c r="B506" s="261" t="s">
        <v>357</v>
      </c>
      <c r="C506" s="251">
        <f>SUM(D506:O506)</f>
        <v>1606234</v>
      </c>
      <c r="D506" s="251">
        <v>30000</v>
      </c>
      <c r="E506" s="251">
        <v>50000</v>
      </c>
      <c r="F506" s="251">
        <v>100000</v>
      </c>
      <c r="G506" s="103">
        <v>150000</v>
      </c>
      <c r="H506" s="251">
        <v>200000</v>
      </c>
      <c r="I506" s="103">
        <v>200000</v>
      </c>
      <c r="J506" s="251">
        <v>300000</v>
      </c>
      <c r="K506" s="251">
        <v>200000</v>
      </c>
      <c r="L506" s="251">
        <v>150000</v>
      </c>
      <c r="M506" s="103">
        <v>96234</v>
      </c>
      <c r="N506" s="251">
        <v>80000</v>
      </c>
      <c r="O506" s="105">
        <v>50000</v>
      </c>
    </row>
    <row r="507" spans="1:18" s="258" customFormat="1" ht="24" customHeight="1">
      <c r="A507" s="271">
        <v>90013</v>
      </c>
      <c r="B507" s="279" t="s">
        <v>328</v>
      </c>
      <c r="C507" s="267">
        <f>C508+C511</f>
        <v>327000</v>
      </c>
      <c r="D507" s="267">
        <f>D508</f>
        <v>21000</v>
      </c>
      <c r="E507" s="267">
        <f>E508</f>
        <v>27000</v>
      </c>
      <c r="F507" s="267">
        <f>F508</f>
        <v>27000</v>
      </c>
      <c r="G507" s="267">
        <f aca="true" t="shared" si="159" ref="G507:O507">G508</f>
        <v>27000</v>
      </c>
      <c r="H507" s="267">
        <f t="shared" si="159"/>
        <v>27000</v>
      </c>
      <c r="I507" s="267">
        <f t="shared" si="159"/>
        <v>38000</v>
      </c>
      <c r="J507" s="267">
        <f t="shared" si="159"/>
        <v>38000</v>
      </c>
      <c r="K507" s="267">
        <f t="shared" si="159"/>
        <v>24000</v>
      </c>
      <c r="L507" s="267">
        <f t="shared" si="159"/>
        <v>24000</v>
      </c>
      <c r="M507" s="267">
        <f t="shared" si="159"/>
        <v>24000</v>
      </c>
      <c r="N507" s="267">
        <f t="shared" si="159"/>
        <v>25000</v>
      </c>
      <c r="O507" s="268">
        <f t="shared" si="159"/>
        <v>25000</v>
      </c>
      <c r="Q507" s="4"/>
      <c r="R507" s="4"/>
    </row>
    <row r="508" spans="1:15" ht="12">
      <c r="A508" s="274"/>
      <c r="B508" s="293" t="s">
        <v>399</v>
      </c>
      <c r="C508" s="103">
        <f>SUM(D508:O508)</f>
        <v>327000</v>
      </c>
      <c r="D508" s="103">
        <f>SUM(D509)</f>
        <v>21000</v>
      </c>
      <c r="E508" s="103">
        <f>SUM(E509)</f>
        <v>27000</v>
      </c>
      <c r="F508" s="103">
        <f>SUM(F509)</f>
        <v>27000</v>
      </c>
      <c r="G508" s="103">
        <f aca="true" t="shared" si="160" ref="G508:O508">SUM(G509)</f>
        <v>27000</v>
      </c>
      <c r="H508" s="103">
        <f t="shared" si="160"/>
        <v>27000</v>
      </c>
      <c r="I508" s="103">
        <f t="shared" si="160"/>
        <v>38000</v>
      </c>
      <c r="J508" s="103">
        <f t="shared" si="160"/>
        <v>38000</v>
      </c>
      <c r="K508" s="103">
        <f t="shared" si="160"/>
        <v>24000</v>
      </c>
      <c r="L508" s="103">
        <f t="shared" si="160"/>
        <v>24000</v>
      </c>
      <c r="M508" s="103">
        <f t="shared" si="160"/>
        <v>24000</v>
      </c>
      <c r="N508" s="103">
        <f t="shared" si="160"/>
        <v>25000</v>
      </c>
      <c r="O508" s="105">
        <f t="shared" si="160"/>
        <v>25000</v>
      </c>
    </row>
    <row r="509" spans="1:18" s="254" customFormat="1" ht="12">
      <c r="A509" s="249"/>
      <c r="B509" s="250" t="s">
        <v>357</v>
      </c>
      <c r="C509" s="251">
        <f>SUM(D509:O509)</f>
        <v>327000</v>
      </c>
      <c r="D509" s="251">
        <v>21000</v>
      </c>
      <c r="E509" s="251">
        <v>27000</v>
      </c>
      <c r="F509" s="251">
        <v>27000</v>
      </c>
      <c r="G509" s="251">
        <v>27000</v>
      </c>
      <c r="H509" s="251">
        <v>27000</v>
      </c>
      <c r="I509" s="251">
        <v>38000</v>
      </c>
      <c r="J509" s="251">
        <v>38000</v>
      </c>
      <c r="K509" s="251">
        <v>24000</v>
      </c>
      <c r="L509" s="251">
        <v>24000</v>
      </c>
      <c r="M509" s="251">
        <v>24000</v>
      </c>
      <c r="N509" s="251">
        <v>25000</v>
      </c>
      <c r="O509" s="262">
        <v>25000</v>
      </c>
      <c r="Q509" s="4"/>
      <c r="R509" s="4"/>
    </row>
    <row r="510" spans="1:18" s="254" customFormat="1" ht="12">
      <c r="A510" s="276"/>
      <c r="B510" s="277" t="s">
        <v>456</v>
      </c>
      <c r="C510" s="251">
        <f>SUM(D510:O510)</f>
        <v>22000</v>
      </c>
      <c r="D510" s="186"/>
      <c r="E510" s="186"/>
      <c r="F510" s="186"/>
      <c r="G510" s="186"/>
      <c r="H510" s="186"/>
      <c r="I510" s="186">
        <v>11000</v>
      </c>
      <c r="J510" s="186">
        <v>11000</v>
      </c>
      <c r="K510" s="186"/>
      <c r="L510" s="186"/>
      <c r="M510" s="186"/>
      <c r="N510" s="186"/>
      <c r="O510" s="188"/>
      <c r="Q510" s="4"/>
      <c r="R510" s="4"/>
    </row>
    <row r="511" spans="1:15" ht="13.5" customHeight="1" hidden="1">
      <c r="A511" s="245"/>
      <c r="B511" s="246" t="s">
        <v>352</v>
      </c>
      <c r="C511" s="247">
        <f>SUM(C512)</f>
        <v>0</v>
      </c>
      <c r="D511" s="247">
        <f>SUM(D512)</f>
        <v>0</v>
      </c>
      <c r="E511" s="247"/>
      <c r="F511" s="247">
        <f>SUM(F512)</f>
        <v>0</v>
      </c>
      <c r="G511" s="247"/>
      <c r="H511" s="247"/>
      <c r="I511" s="247"/>
      <c r="J511" s="247">
        <f>SUM(J512)</f>
        <v>0</v>
      </c>
      <c r="K511" s="247"/>
      <c r="L511" s="247">
        <f>SUM(L512)</f>
        <v>0</v>
      </c>
      <c r="M511" s="247"/>
      <c r="N511" s="247"/>
      <c r="O511" s="248"/>
    </row>
    <row r="512" spans="1:18" s="254" customFormat="1" ht="12" hidden="1">
      <c r="A512" s="249"/>
      <c r="B512" s="250" t="s">
        <v>368</v>
      </c>
      <c r="C512" s="251">
        <f>SUM(D512:E512)</f>
        <v>0</v>
      </c>
      <c r="D512" s="251">
        <f>F512+H512</f>
        <v>0</v>
      </c>
      <c r="E512" s="251"/>
      <c r="F512" s="251"/>
      <c r="G512" s="251"/>
      <c r="H512" s="251"/>
      <c r="I512" s="251"/>
      <c r="J512" s="251">
        <f>L512+N512</f>
        <v>0</v>
      </c>
      <c r="K512" s="251"/>
      <c r="L512" s="251"/>
      <c r="M512" s="251"/>
      <c r="N512" s="251"/>
      <c r="O512" s="262"/>
      <c r="Q512" s="4"/>
      <c r="R512" s="4"/>
    </row>
    <row r="513" spans="1:18" s="258" customFormat="1" ht="24.75" customHeight="1">
      <c r="A513" s="271">
        <v>90015</v>
      </c>
      <c r="B513" s="279" t="s">
        <v>457</v>
      </c>
      <c r="C513" s="267">
        <f>C514+C517</f>
        <v>2750000</v>
      </c>
      <c r="D513" s="267">
        <f>D514+D517</f>
        <v>280000</v>
      </c>
      <c r="E513" s="267">
        <f>E514+E517</f>
        <v>280000</v>
      </c>
      <c r="F513" s="267">
        <f>F514+F517</f>
        <v>240000</v>
      </c>
      <c r="G513" s="267">
        <f aca="true" t="shared" si="161" ref="G513:O513">G514+G517</f>
        <v>200000</v>
      </c>
      <c r="H513" s="267">
        <f t="shared" si="161"/>
        <v>200000</v>
      </c>
      <c r="I513" s="267">
        <f t="shared" si="161"/>
        <v>170000</v>
      </c>
      <c r="J513" s="267">
        <f t="shared" si="161"/>
        <v>170000</v>
      </c>
      <c r="K513" s="267">
        <f t="shared" si="161"/>
        <v>170000</v>
      </c>
      <c r="L513" s="267">
        <f t="shared" si="161"/>
        <v>230000</v>
      </c>
      <c r="M513" s="267">
        <f t="shared" si="161"/>
        <v>250000</v>
      </c>
      <c r="N513" s="267">
        <f t="shared" si="161"/>
        <v>280000</v>
      </c>
      <c r="O513" s="268">
        <f t="shared" si="161"/>
        <v>280000</v>
      </c>
      <c r="Q513" s="4"/>
      <c r="R513" s="4"/>
    </row>
    <row r="514" spans="1:15" ht="12" customHeight="1">
      <c r="A514" s="274"/>
      <c r="B514" s="293" t="s">
        <v>399</v>
      </c>
      <c r="C514" s="103">
        <f>SUM(D514:O514)</f>
        <v>2750000</v>
      </c>
      <c r="D514" s="172">
        <f>SUM(D515)</f>
        <v>280000</v>
      </c>
      <c r="E514" s="172">
        <f>SUM(E515)</f>
        <v>280000</v>
      </c>
      <c r="F514" s="172">
        <f>SUM(F515)</f>
        <v>240000</v>
      </c>
      <c r="G514" s="172">
        <f aca="true" t="shared" si="162" ref="G514:O514">SUM(G515)</f>
        <v>200000</v>
      </c>
      <c r="H514" s="172">
        <f t="shared" si="162"/>
        <v>200000</v>
      </c>
      <c r="I514" s="172">
        <f t="shared" si="162"/>
        <v>170000</v>
      </c>
      <c r="J514" s="172">
        <f t="shared" si="162"/>
        <v>170000</v>
      </c>
      <c r="K514" s="172">
        <f t="shared" si="162"/>
        <v>170000</v>
      </c>
      <c r="L514" s="172">
        <f t="shared" si="162"/>
        <v>230000</v>
      </c>
      <c r="M514" s="172">
        <f t="shared" si="162"/>
        <v>250000</v>
      </c>
      <c r="N514" s="172">
        <f t="shared" si="162"/>
        <v>280000</v>
      </c>
      <c r="O514" s="174">
        <f t="shared" si="162"/>
        <v>280000</v>
      </c>
    </row>
    <row r="515" spans="1:18" s="254" customFormat="1" ht="12" customHeight="1">
      <c r="A515" s="249"/>
      <c r="B515" s="250" t="s">
        <v>357</v>
      </c>
      <c r="C515" s="251">
        <f>SUM(D515:O515)</f>
        <v>2750000</v>
      </c>
      <c r="D515" s="251">
        <v>280000</v>
      </c>
      <c r="E515" s="251">
        <v>280000</v>
      </c>
      <c r="F515" s="251">
        <v>240000</v>
      </c>
      <c r="G515" s="251">
        <v>200000</v>
      </c>
      <c r="H515" s="251">
        <v>200000</v>
      </c>
      <c r="I515" s="251">
        <v>170000</v>
      </c>
      <c r="J515" s="251">
        <v>170000</v>
      </c>
      <c r="K515" s="251">
        <v>170000</v>
      </c>
      <c r="L515" s="251">
        <v>230000</v>
      </c>
      <c r="M515" s="251">
        <v>250000</v>
      </c>
      <c r="N515" s="251">
        <v>280000</v>
      </c>
      <c r="O515" s="262">
        <v>280000</v>
      </c>
      <c r="Q515" s="4"/>
      <c r="R515" s="4"/>
    </row>
    <row r="516" spans="1:18" s="254" customFormat="1" ht="12" customHeight="1">
      <c r="A516" s="249"/>
      <c r="B516" s="250" t="s">
        <v>458</v>
      </c>
      <c r="C516" s="251">
        <f>SUM(D516:O516)</f>
        <v>1300000</v>
      </c>
      <c r="D516" s="251">
        <v>90000</v>
      </c>
      <c r="E516" s="251">
        <v>90000</v>
      </c>
      <c r="F516" s="251">
        <v>100000</v>
      </c>
      <c r="G516" s="251">
        <v>100000</v>
      </c>
      <c r="H516" s="251">
        <v>150000</v>
      </c>
      <c r="I516" s="251">
        <v>140000</v>
      </c>
      <c r="J516" s="251">
        <v>100000</v>
      </c>
      <c r="K516" s="251">
        <v>100000</v>
      </c>
      <c r="L516" s="251">
        <v>100000</v>
      </c>
      <c r="M516" s="251">
        <v>90000</v>
      </c>
      <c r="N516" s="251">
        <v>90000</v>
      </c>
      <c r="O516" s="262">
        <v>150000</v>
      </c>
      <c r="Q516" s="4"/>
      <c r="R516" s="4"/>
    </row>
    <row r="517" spans="1:15" ht="12" customHeight="1">
      <c r="A517" s="245"/>
      <c r="B517" s="246" t="s">
        <v>352</v>
      </c>
      <c r="C517" s="251">
        <f>SUM(D517:O517)</f>
        <v>0</v>
      </c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5"/>
    </row>
    <row r="518" spans="1:18" s="254" customFormat="1" ht="12" customHeight="1">
      <c r="A518" s="249"/>
      <c r="B518" s="250" t="s">
        <v>368</v>
      </c>
      <c r="C518" s="251">
        <f>SUM(D518:O518)</f>
        <v>0</v>
      </c>
      <c r="D518" s="251"/>
      <c r="E518" s="186"/>
      <c r="F518" s="251"/>
      <c r="G518" s="251"/>
      <c r="H518" s="251"/>
      <c r="I518" s="251"/>
      <c r="J518" s="251"/>
      <c r="K518" s="186"/>
      <c r="L518" s="251"/>
      <c r="M518" s="251"/>
      <c r="N518" s="251"/>
      <c r="O518" s="262"/>
      <c r="Q518" s="4"/>
      <c r="R518" s="4"/>
    </row>
    <row r="519" spans="1:15" ht="14.25" customHeight="1">
      <c r="A519" s="271">
        <v>90095</v>
      </c>
      <c r="B519" s="279" t="s">
        <v>86</v>
      </c>
      <c r="C519" s="267">
        <f aca="true" t="shared" si="163" ref="C519:O519">C520+C524</f>
        <v>1259184</v>
      </c>
      <c r="D519" s="267">
        <f t="shared" si="163"/>
        <v>71123</v>
      </c>
      <c r="E519" s="267">
        <f t="shared" si="163"/>
        <v>51123</v>
      </c>
      <c r="F519" s="267">
        <f t="shared" si="163"/>
        <v>50123</v>
      </c>
      <c r="G519" s="267">
        <f t="shared" si="163"/>
        <v>150123</v>
      </c>
      <c r="H519" s="267">
        <f t="shared" si="163"/>
        <v>140123</v>
      </c>
      <c r="I519" s="267">
        <f t="shared" si="163"/>
        <v>80123</v>
      </c>
      <c r="J519" s="267">
        <f t="shared" si="163"/>
        <v>160823</v>
      </c>
      <c r="K519" s="267">
        <f t="shared" si="163"/>
        <v>131123</v>
      </c>
      <c r="L519" s="267">
        <f t="shared" si="163"/>
        <v>131123</v>
      </c>
      <c r="M519" s="267">
        <f t="shared" si="163"/>
        <v>131123</v>
      </c>
      <c r="N519" s="267">
        <f t="shared" si="163"/>
        <v>131123</v>
      </c>
      <c r="O519" s="268">
        <f t="shared" si="163"/>
        <v>31131</v>
      </c>
    </row>
    <row r="520" spans="1:15" ht="12" customHeight="1">
      <c r="A520" s="274"/>
      <c r="B520" s="293" t="s">
        <v>399</v>
      </c>
      <c r="C520" s="103">
        <f>C521+C522</f>
        <v>659184</v>
      </c>
      <c r="D520" s="103">
        <f>D521+D522</f>
        <v>31123</v>
      </c>
      <c r="E520" s="103">
        <f aca="true" t="shared" si="164" ref="E520:O520">E521+E522</f>
        <v>31123</v>
      </c>
      <c r="F520" s="103">
        <f t="shared" si="164"/>
        <v>40123</v>
      </c>
      <c r="G520" s="103">
        <f t="shared" si="164"/>
        <v>100123</v>
      </c>
      <c r="H520" s="103">
        <f t="shared" si="164"/>
        <v>130123</v>
      </c>
      <c r="I520" s="103">
        <f t="shared" si="164"/>
        <v>80123</v>
      </c>
      <c r="J520" s="103">
        <f t="shared" si="164"/>
        <v>90823</v>
      </c>
      <c r="K520" s="103">
        <f t="shared" si="164"/>
        <v>31123</v>
      </c>
      <c r="L520" s="103">
        <f t="shared" si="164"/>
        <v>31123</v>
      </c>
      <c r="M520" s="103">
        <f t="shared" si="164"/>
        <v>31123</v>
      </c>
      <c r="N520" s="103">
        <f t="shared" si="164"/>
        <v>31123</v>
      </c>
      <c r="O520" s="105">
        <f t="shared" si="164"/>
        <v>31131</v>
      </c>
    </row>
    <row r="521" spans="1:15" ht="21" customHeight="1">
      <c r="A521" s="245"/>
      <c r="B521" s="261" t="s">
        <v>370</v>
      </c>
      <c r="C521" s="103">
        <f>SUM(D521:O521)</f>
        <v>1484</v>
      </c>
      <c r="D521" s="103">
        <v>123</v>
      </c>
      <c r="E521" s="103">
        <v>123</v>
      </c>
      <c r="F521" s="103">
        <v>123</v>
      </c>
      <c r="G521" s="103">
        <v>123</v>
      </c>
      <c r="H521" s="103">
        <v>123</v>
      </c>
      <c r="I521" s="103">
        <v>123</v>
      </c>
      <c r="J521" s="103">
        <v>123</v>
      </c>
      <c r="K521" s="103">
        <v>123</v>
      </c>
      <c r="L521" s="103">
        <v>123</v>
      </c>
      <c r="M521" s="103">
        <v>123</v>
      </c>
      <c r="N521" s="103">
        <v>123</v>
      </c>
      <c r="O521" s="105">
        <v>131</v>
      </c>
    </row>
    <row r="522" spans="1:18" s="254" customFormat="1" ht="12" customHeight="1">
      <c r="A522" s="249"/>
      <c r="B522" s="250" t="s">
        <v>357</v>
      </c>
      <c r="C522" s="251">
        <f>SUM(D522:O522)</f>
        <v>657700</v>
      </c>
      <c r="D522" s="251">
        <v>31000</v>
      </c>
      <c r="E522" s="251">
        <v>31000</v>
      </c>
      <c r="F522" s="251">
        <f>10000+30000</f>
        <v>40000</v>
      </c>
      <c r="G522" s="251">
        <f>20000+50000+30000</f>
        <v>100000</v>
      </c>
      <c r="H522" s="251">
        <f>50000+50000+30000</f>
        <v>130000</v>
      </c>
      <c r="I522" s="251">
        <f>50000+30000</f>
        <v>80000</v>
      </c>
      <c r="J522" s="251">
        <f>59700+31000</f>
        <v>90700</v>
      </c>
      <c r="K522" s="251">
        <v>31000</v>
      </c>
      <c r="L522" s="251">
        <v>31000</v>
      </c>
      <c r="M522" s="251">
        <v>31000</v>
      </c>
      <c r="N522" s="251">
        <v>31000</v>
      </c>
      <c r="O522" s="262">
        <v>31000</v>
      </c>
      <c r="Q522" s="4"/>
      <c r="R522" s="4"/>
    </row>
    <row r="523" spans="1:18" s="254" customFormat="1" ht="12" customHeight="1">
      <c r="A523" s="276"/>
      <c r="B523" s="277" t="s">
        <v>456</v>
      </c>
      <c r="C523" s="186">
        <f>SUM(D523:O523)</f>
        <v>289700</v>
      </c>
      <c r="D523" s="186"/>
      <c r="E523" s="186"/>
      <c r="F523" s="186">
        <v>10000</v>
      </c>
      <c r="G523" s="186">
        <f>20000+50000</f>
        <v>70000</v>
      </c>
      <c r="H523" s="186">
        <f>50000+50000</f>
        <v>100000</v>
      </c>
      <c r="I523" s="186">
        <v>50000</v>
      </c>
      <c r="J523" s="186">
        <v>59700</v>
      </c>
      <c r="K523" s="186"/>
      <c r="L523" s="186"/>
      <c r="M523" s="186"/>
      <c r="N523" s="186"/>
      <c r="O523" s="188"/>
      <c r="Q523" s="4"/>
      <c r="R523" s="4"/>
    </row>
    <row r="524" spans="1:15" ht="12" customHeight="1">
      <c r="A524" s="245"/>
      <c r="B524" s="246" t="s">
        <v>352</v>
      </c>
      <c r="C524" s="251">
        <f>SUM(D524:O524)</f>
        <v>600000</v>
      </c>
      <c r="D524" s="103">
        <f>SUM(D525)</f>
        <v>40000</v>
      </c>
      <c r="E524" s="103">
        <f>SUM(E525)</f>
        <v>20000</v>
      </c>
      <c r="F524" s="103">
        <f>SUM(F525)</f>
        <v>10000</v>
      </c>
      <c r="G524" s="103">
        <f aca="true" t="shared" si="165" ref="G524:O524">SUM(G525)</f>
        <v>50000</v>
      </c>
      <c r="H524" s="103">
        <f t="shared" si="165"/>
        <v>10000</v>
      </c>
      <c r="I524" s="103">
        <f t="shared" si="165"/>
        <v>0</v>
      </c>
      <c r="J524" s="103">
        <f t="shared" si="165"/>
        <v>70000</v>
      </c>
      <c r="K524" s="103">
        <f t="shared" si="165"/>
        <v>100000</v>
      </c>
      <c r="L524" s="103">
        <f t="shared" si="165"/>
        <v>100000</v>
      </c>
      <c r="M524" s="103">
        <f t="shared" si="165"/>
        <v>100000</v>
      </c>
      <c r="N524" s="103">
        <f t="shared" si="165"/>
        <v>100000</v>
      </c>
      <c r="O524" s="105">
        <f t="shared" si="165"/>
        <v>0</v>
      </c>
    </row>
    <row r="525" spans="1:18" s="254" customFormat="1" ht="12" customHeight="1" thickBot="1">
      <c r="A525" s="276"/>
      <c r="B525" s="277" t="s">
        <v>368</v>
      </c>
      <c r="C525" s="251">
        <f>SUM(D525:O525)</f>
        <v>600000</v>
      </c>
      <c r="D525" s="186">
        <v>40000</v>
      </c>
      <c r="E525" s="186">
        <v>20000</v>
      </c>
      <c r="F525" s="186">
        <v>10000</v>
      </c>
      <c r="G525" s="186">
        <v>50000</v>
      </c>
      <c r="H525" s="186">
        <v>10000</v>
      </c>
      <c r="I525" s="186"/>
      <c r="J525" s="186">
        <v>70000</v>
      </c>
      <c r="K525" s="186">
        <v>100000</v>
      </c>
      <c r="L525" s="186">
        <v>100000</v>
      </c>
      <c r="M525" s="186">
        <v>100000</v>
      </c>
      <c r="N525" s="186">
        <v>100000</v>
      </c>
      <c r="O525" s="188"/>
      <c r="Q525" s="4"/>
      <c r="R525" s="4"/>
    </row>
    <row r="526" spans="1:18" s="254" customFormat="1" ht="12.75" hidden="1" thickBot="1">
      <c r="A526" s="249"/>
      <c r="B526" s="250" t="s">
        <v>379</v>
      </c>
      <c r="C526" s="251">
        <f>SUM(D526:E526)</f>
        <v>0</v>
      </c>
      <c r="D526" s="251">
        <f>F526+H526</f>
        <v>0</v>
      </c>
      <c r="E526" s="251"/>
      <c r="F526" s="251"/>
      <c r="G526" s="251"/>
      <c r="H526" s="251"/>
      <c r="I526" s="251"/>
      <c r="J526" s="251">
        <f>L526+N526</f>
        <v>0</v>
      </c>
      <c r="K526" s="251"/>
      <c r="L526" s="251"/>
      <c r="M526" s="251"/>
      <c r="N526" s="251"/>
      <c r="O526" s="262"/>
      <c r="Q526" s="4"/>
      <c r="R526" s="4"/>
    </row>
    <row r="527" spans="1:18" s="244" customFormat="1" ht="49.5" customHeight="1" thickBot="1" thickTop="1">
      <c r="A527" s="270">
        <v>921</v>
      </c>
      <c r="B527" s="243" t="s">
        <v>459</v>
      </c>
      <c r="C527" s="147">
        <f aca="true" t="shared" si="166" ref="C527:O527">C537+C541+C547+C559+C565+C571+C577+C550</f>
        <v>11993840</v>
      </c>
      <c r="D527" s="147">
        <f t="shared" si="166"/>
        <v>945780</v>
      </c>
      <c r="E527" s="147">
        <f t="shared" si="166"/>
        <v>963480</v>
      </c>
      <c r="F527" s="147">
        <f t="shared" si="166"/>
        <v>968580</v>
      </c>
      <c r="G527" s="147">
        <f t="shared" si="166"/>
        <v>947180</v>
      </c>
      <c r="H527" s="147">
        <f t="shared" si="166"/>
        <v>1120180</v>
      </c>
      <c r="I527" s="147">
        <f t="shared" si="166"/>
        <v>1023220</v>
      </c>
      <c r="J527" s="147">
        <f t="shared" si="166"/>
        <v>1099220</v>
      </c>
      <c r="K527" s="147">
        <f t="shared" si="166"/>
        <v>1001980</v>
      </c>
      <c r="L527" s="147">
        <f t="shared" si="166"/>
        <v>1051980</v>
      </c>
      <c r="M527" s="147">
        <f t="shared" si="166"/>
        <v>947080</v>
      </c>
      <c r="N527" s="147">
        <f t="shared" si="166"/>
        <v>947080</v>
      </c>
      <c r="O527" s="149">
        <f t="shared" si="166"/>
        <v>978080</v>
      </c>
      <c r="Q527" s="4"/>
      <c r="R527" s="4"/>
    </row>
    <row r="528" spans="1:15" ht="36.75" hidden="1" thickTop="1">
      <c r="A528" s="271">
        <v>92109</v>
      </c>
      <c r="B528" s="279" t="s">
        <v>460</v>
      </c>
      <c r="C528" s="267">
        <f>C529+C535</f>
        <v>0</v>
      </c>
      <c r="D528" s="267">
        <f>D529+D535</f>
        <v>0</v>
      </c>
      <c r="E528" s="267"/>
      <c r="F528" s="267">
        <f>F529+F535</f>
        <v>0</v>
      </c>
      <c r="G528" s="267"/>
      <c r="H528" s="267">
        <f>H529+H535</f>
        <v>0</v>
      </c>
      <c r="I528" s="267"/>
      <c r="J528" s="267">
        <f>J529+J535</f>
        <v>0</v>
      </c>
      <c r="K528" s="267"/>
      <c r="L528" s="267">
        <f>L529+L535</f>
        <v>0</v>
      </c>
      <c r="M528" s="267"/>
      <c r="N528" s="267">
        <f>N529+N535</f>
        <v>0</v>
      </c>
      <c r="O528" s="268"/>
    </row>
    <row r="529" spans="1:15" ht="13.5" hidden="1" thickTop="1">
      <c r="A529" s="274"/>
      <c r="B529" s="293" t="s">
        <v>399</v>
      </c>
      <c r="C529" s="330">
        <f>C530+C532+C534</f>
        <v>0</v>
      </c>
      <c r="D529" s="247">
        <f>D530+D532+D534</f>
        <v>0</v>
      </c>
      <c r="E529" s="247"/>
      <c r="F529" s="247">
        <f>F530+F532+F534</f>
        <v>0</v>
      </c>
      <c r="G529" s="247"/>
      <c r="H529" s="247">
        <f>H530+H534</f>
        <v>0</v>
      </c>
      <c r="I529" s="247"/>
      <c r="J529" s="247">
        <f>J530+J532+J534</f>
        <v>0</v>
      </c>
      <c r="K529" s="247"/>
      <c r="L529" s="247">
        <f>L530+L532+L534</f>
        <v>0</v>
      </c>
      <c r="M529" s="247"/>
      <c r="N529" s="247">
        <f>N530+N534</f>
        <v>0</v>
      </c>
      <c r="O529" s="248"/>
    </row>
    <row r="530" spans="1:18" s="254" customFormat="1" ht="12.75" hidden="1" thickTop="1">
      <c r="A530" s="249"/>
      <c r="B530" s="250" t="s">
        <v>384</v>
      </c>
      <c r="C530" s="251">
        <f>SUM(D530:E530)</f>
        <v>0</v>
      </c>
      <c r="D530" s="251">
        <f>F530+H530</f>
        <v>0</v>
      </c>
      <c r="E530" s="251"/>
      <c r="F530" s="251"/>
      <c r="G530" s="251"/>
      <c r="H530" s="251"/>
      <c r="I530" s="251"/>
      <c r="J530" s="251">
        <f>L530+N530</f>
        <v>0</v>
      </c>
      <c r="K530" s="251"/>
      <c r="L530" s="251"/>
      <c r="M530" s="251"/>
      <c r="N530" s="251"/>
      <c r="O530" s="262"/>
      <c r="Q530" s="4"/>
      <c r="R530" s="4"/>
    </row>
    <row r="531" spans="1:18" s="254" customFormat="1" ht="12.75" hidden="1" thickTop="1">
      <c r="A531" s="249"/>
      <c r="B531" s="250" t="s">
        <v>385</v>
      </c>
      <c r="C531" s="251"/>
      <c r="D531" s="251"/>
      <c r="E531" s="251"/>
      <c r="F531" s="251"/>
      <c r="G531" s="251"/>
      <c r="H531" s="251"/>
      <c r="I531" s="251"/>
      <c r="J531" s="251"/>
      <c r="K531" s="251"/>
      <c r="L531" s="251"/>
      <c r="M531" s="251"/>
      <c r="N531" s="251"/>
      <c r="O531" s="262"/>
      <c r="Q531" s="4"/>
      <c r="R531" s="4"/>
    </row>
    <row r="532" spans="1:18" s="254" customFormat="1" ht="12.75" hidden="1" thickTop="1">
      <c r="A532" s="249"/>
      <c r="B532" s="261" t="s">
        <v>373</v>
      </c>
      <c r="C532" s="251">
        <f>SUM(D532:E532)</f>
        <v>0</v>
      </c>
      <c r="D532" s="251">
        <f>F532+H532</f>
        <v>0</v>
      </c>
      <c r="E532" s="251"/>
      <c r="F532" s="251"/>
      <c r="G532" s="251"/>
      <c r="H532" s="251"/>
      <c r="I532" s="251"/>
      <c r="J532" s="251">
        <f>L532+N532</f>
        <v>0</v>
      </c>
      <c r="K532" s="251"/>
      <c r="L532" s="251"/>
      <c r="M532" s="251"/>
      <c r="N532" s="251"/>
      <c r="O532" s="262"/>
      <c r="Q532" s="4"/>
      <c r="R532" s="4"/>
    </row>
    <row r="533" spans="1:18" s="254" customFormat="1" ht="12.75" customHeight="1" hidden="1">
      <c r="A533" s="249"/>
      <c r="B533" s="261" t="s">
        <v>367</v>
      </c>
      <c r="C533" s="251"/>
      <c r="D533" s="251"/>
      <c r="E533" s="251"/>
      <c r="F533" s="251"/>
      <c r="G533" s="251"/>
      <c r="H533" s="251"/>
      <c r="I533" s="251"/>
      <c r="J533" s="251"/>
      <c r="K533" s="251"/>
      <c r="L533" s="251"/>
      <c r="M533" s="251"/>
      <c r="N533" s="251"/>
      <c r="O533" s="262"/>
      <c r="Q533" s="4"/>
      <c r="R533" s="4"/>
    </row>
    <row r="534" spans="1:18" s="254" customFormat="1" ht="12.75" hidden="1" thickTop="1">
      <c r="A534" s="249"/>
      <c r="B534" s="250" t="s">
        <v>357</v>
      </c>
      <c r="C534" s="251">
        <f>SUM(D534:E534)</f>
        <v>0</v>
      </c>
      <c r="D534" s="251">
        <f>F534+H534</f>
        <v>0</v>
      </c>
      <c r="E534" s="251"/>
      <c r="F534" s="251"/>
      <c r="G534" s="251"/>
      <c r="H534" s="251"/>
      <c r="I534" s="251"/>
      <c r="J534" s="251">
        <f>L534+N534</f>
        <v>0</v>
      </c>
      <c r="K534" s="251"/>
      <c r="L534" s="251"/>
      <c r="M534" s="251"/>
      <c r="N534" s="251"/>
      <c r="O534" s="262"/>
      <c r="Q534" s="4"/>
      <c r="R534" s="4"/>
    </row>
    <row r="535" spans="1:15" ht="13.5" hidden="1" thickTop="1">
      <c r="A535" s="245"/>
      <c r="B535" s="246" t="s">
        <v>352</v>
      </c>
      <c r="C535" s="247">
        <f>SUM(C536)</f>
        <v>0</v>
      </c>
      <c r="D535" s="247">
        <f>SUM(D536)</f>
        <v>0</v>
      </c>
      <c r="E535" s="247"/>
      <c r="F535" s="247">
        <f>SUM(F536)</f>
        <v>0</v>
      </c>
      <c r="G535" s="247"/>
      <c r="H535" s="247">
        <f>SUM(H536)</f>
        <v>0</v>
      </c>
      <c r="I535" s="247"/>
      <c r="J535" s="247">
        <f>SUM(J536)</f>
        <v>0</v>
      </c>
      <c r="K535" s="247"/>
      <c r="L535" s="247">
        <f>SUM(L536)</f>
        <v>0</v>
      </c>
      <c r="M535" s="247"/>
      <c r="N535" s="247">
        <f>SUM(N536)</f>
        <v>0</v>
      </c>
      <c r="O535" s="248"/>
    </row>
    <row r="536" spans="1:18" s="254" customFormat="1" ht="12.75" hidden="1" thickTop="1">
      <c r="A536" s="249"/>
      <c r="B536" s="250" t="s">
        <v>368</v>
      </c>
      <c r="C536" s="251">
        <f>SUM(D536:E536)</f>
        <v>0</v>
      </c>
      <c r="D536" s="251">
        <f>F536+H536</f>
        <v>0</v>
      </c>
      <c r="E536" s="251"/>
      <c r="F536" s="251"/>
      <c r="G536" s="251"/>
      <c r="H536" s="251"/>
      <c r="I536" s="251"/>
      <c r="J536" s="251">
        <f>L536+N536</f>
        <v>0</v>
      </c>
      <c r="K536" s="251"/>
      <c r="L536" s="251"/>
      <c r="M536" s="251"/>
      <c r="N536" s="251"/>
      <c r="O536" s="262"/>
      <c r="Q536" s="4"/>
      <c r="R536" s="4"/>
    </row>
    <row r="537" spans="1:15" ht="24.75" customHeight="1" thickTop="1">
      <c r="A537" s="271">
        <v>92105</v>
      </c>
      <c r="B537" s="279" t="s">
        <v>461</v>
      </c>
      <c r="C537" s="267">
        <f>C538</f>
        <v>201000</v>
      </c>
      <c r="D537" s="267">
        <f>D538</f>
        <v>10750</v>
      </c>
      <c r="E537" s="267">
        <f>E538</f>
        <v>10850</v>
      </c>
      <c r="F537" s="267">
        <f>F538</f>
        <v>13950</v>
      </c>
      <c r="G537" s="267">
        <f aca="true" t="shared" si="167" ref="G537:O537">G538</f>
        <v>12550</v>
      </c>
      <c r="H537" s="267">
        <f t="shared" si="167"/>
        <v>15550</v>
      </c>
      <c r="I537" s="267">
        <f t="shared" si="167"/>
        <v>14550</v>
      </c>
      <c r="J537" s="267">
        <f t="shared" si="167"/>
        <v>20550</v>
      </c>
      <c r="K537" s="267">
        <f t="shared" si="167"/>
        <v>17350</v>
      </c>
      <c r="L537" s="267">
        <f t="shared" si="167"/>
        <v>17350</v>
      </c>
      <c r="M537" s="267">
        <f t="shared" si="167"/>
        <v>12450</v>
      </c>
      <c r="N537" s="267">
        <f t="shared" si="167"/>
        <v>12450</v>
      </c>
      <c r="O537" s="268">
        <f t="shared" si="167"/>
        <v>42650</v>
      </c>
    </row>
    <row r="538" spans="1:15" ht="12.75">
      <c r="A538" s="274"/>
      <c r="B538" s="293" t="s">
        <v>399</v>
      </c>
      <c r="C538" s="103">
        <f>C539+C540</f>
        <v>201000</v>
      </c>
      <c r="D538" s="247">
        <f>D539+D540</f>
        <v>10750</v>
      </c>
      <c r="E538" s="247">
        <f>SUM(E539:E540)</f>
        <v>10850</v>
      </c>
      <c r="F538" s="247">
        <f>SUM(F539:F540)</f>
        <v>13950</v>
      </c>
      <c r="G538" s="247">
        <f aca="true" t="shared" si="168" ref="G538:O538">SUM(G539:G540)</f>
        <v>12550</v>
      </c>
      <c r="H538" s="247">
        <f t="shared" si="168"/>
        <v>15550</v>
      </c>
      <c r="I538" s="247">
        <f t="shared" si="168"/>
        <v>14550</v>
      </c>
      <c r="J538" s="247">
        <f t="shared" si="168"/>
        <v>20550</v>
      </c>
      <c r="K538" s="247">
        <f t="shared" si="168"/>
        <v>17350</v>
      </c>
      <c r="L538" s="247">
        <f t="shared" si="168"/>
        <v>17350</v>
      </c>
      <c r="M538" s="247">
        <f t="shared" si="168"/>
        <v>12450</v>
      </c>
      <c r="N538" s="247">
        <f t="shared" si="168"/>
        <v>12450</v>
      </c>
      <c r="O538" s="248">
        <f t="shared" si="168"/>
        <v>42650</v>
      </c>
    </row>
    <row r="539" spans="1:18" s="254" customFormat="1" ht="12">
      <c r="A539" s="249"/>
      <c r="B539" s="261" t="s">
        <v>373</v>
      </c>
      <c r="C539" s="251">
        <f>SUM(D539:O539)</f>
        <v>105000</v>
      </c>
      <c r="D539" s="251">
        <v>8750</v>
      </c>
      <c r="E539" s="251">
        <v>8750</v>
      </c>
      <c r="F539" s="251">
        <v>8750</v>
      </c>
      <c r="G539" s="251">
        <v>8750</v>
      </c>
      <c r="H539" s="251">
        <v>8750</v>
      </c>
      <c r="I539" s="251">
        <v>8750</v>
      </c>
      <c r="J539" s="251">
        <v>8750</v>
      </c>
      <c r="K539" s="251">
        <v>8750</v>
      </c>
      <c r="L539" s="251">
        <v>8750</v>
      </c>
      <c r="M539" s="251">
        <v>8750</v>
      </c>
      <c r="N539" s="251">
        <v>8750</v>
      </c>
      <c r="O539" s="262">
        <v>8750</v>
      </c>
      <c r="Q539" s="4"/>
      <c r="R539" s="4"/>
    </row>
    <row r="540" spans="1:18" s="254" customFormat="1" ht="12">
      <c r="A540" s="249"/>
      <c r="B540" s="250" t="s">
        <v>357</v>
      </c>
      <c r="C540" s="251">
        <f>SUM(D540:O540)</f>
        <v>96000</v>
      </c>
      <c r="D540" s="251">
        <v>2000</v>
      </c>
      <c r="E540" s="251">
        <v>2100</v>
      </c>
      <c r="F540" s="251">
        <v>5200</v>
      </c>
      <c r="G540" s="251">
        <v>3800</v>
      </c>
      <c r="H540" s="251">
        <v>6800</v>
      </c>
      <c r="I540" s="251">
        <v>5800</v>
      </c>
      <c r="J540" s="251">
        <v>11800</v>
      </c>
      <c r="K540" s="251">
        <v>8600</v>
      </c>
      <c r="L540" s="251">
        <v>8600</v>
      </c>
      <c r="M540" s="251">
        <v>3700</v>
      </c>
      <c r="N540" s="251">
        <v>3700</v>
      </c>
      <c r="O540" s="262">
        <v>33900</v>
      </c>
      <c r="Q540" s="4"/>
      <c r="R540" s="4"/>
    </row>
    <row r="541" spans="1:15" ht="24.75" customHeight="1">
      <c r="A541" s="271">
        <v>92106</v>
      </c>
      <c r="B541" s="279" t="s">
        <v>462</v>
      </c>
      <c r="C541" s="267">
        <f>C542+C545</f>
        <v>2350000</v>
      </c>
      <c r="D541" s="267">
        <f aca="true" t="shared" si="169" ref="D541:O542">D542</f>
        <v>191600</v>
      </c>
      <c r="E541" s="267">
        <f t="shared" si="169"/>
        <v>191600</v>
      </c>
      <c r="F541" s="267">
        <f t="shared" si="169"/>
        <v>191600</v>
      </c>
      <c r="G541" s="267">
        <f t="shared" si="169"/>
        <v>191600</v>
      </c>
      <c r="H541" s="267">
        <f>H542+H545</f>
        <v>241600</v>
      </c>
      <c r="I541" s="267">
        <f t="shared" si="169"/>
        <v>191600</v>
      </c>
      <c r="J541" s="267">
        <f t="shared" si="169"/>
        <v>191600</v>
      </c>
      <c r="K541" s="267">
        <f t="shared" si="169"/>
        <v>191600</v>
      </c>
      <c r="L541" s="267">
        <f t="shared" si="169"/>
        <v>191600</v>
      </c>
      <c r="M541" s="267">
        <f t="shared" si="169"/>
        <v>191600</v>
      </c>
      <c r="N541" s="267">
        <f t="shared" si="169"/>
        <v>191600</v>
      </c>
      <c r="O541" s="268">
        <f t="shared" si="169"/>
        <v>192400</v>
      </c>
    </row>
    <row r="542" spans="1:15" ht="12">
      <c r="A542" s="274"/>
      <c r="B542" s="275" t="s">
        <v>399</v>
      </c>
      <c r="C542" s="172">
        <f>SUM(D542:O542)</f>
        <v>2300000</v>
      </c>
      <c r="D542" s="172">
        <f>D543</f>
        <v>191600</v>
      </c>
      <c r="E542" s="172">
        <f>E543</f>
        <v>191600</v>
      </c>
      <c r="F542" s="172">
        <f>F543</f>
        <v>191600</v>
      </c>
      <c r="G542" s="172">
        <f>G543</f>
        <v>191600</v>
      </c>
      <c r="H542" s="172">
        <f>H543</f>
        <v>191600</v>
      </c>
      <c r="I542" s="172">
        <f t="shared" si="169"/>
        <v>191600</v>
      </c>
      <c r="J542" s="172">
        <f t="shared" si="169"/>
        <v>191600</v>
      </c>
      <c r="K542" s="172">
        <f t="shared" si="169"/>
        <v>191600</v>
      </c>
      <c r="L542" s="172">
        <f t="shared" si="169"/>
        <v>191600</v>
      </c>
      <c r="M542" s="172">
        <f t="shared" si="169"/>
        <v>191600</v>
      </c>
      <c r="N542" s="172">
        <f t="shared" si="169"/>
        <v>191600</v>
      </c>
      <c r="O542" s="174">
        <f>O543</f>
        <v>192400</v>
      </c>
    </row>
    <row r="543" spans="1:18" s="254" customFormat="1" ht="12">
      <c r="A543" s="249"/>
      <c r="B543" s="250" t="s">
        <v>373</v>
      </c>
      <c r="C543" s="251">
        <f>SUM(D543:O543)</f>
        <v>2300000</v>
      </c>
      <c r="D543" s="251">
        <v>191600</v>
      </c>
      <c r="E543" s="251">
        <v>191600</v>
      </c>
      <c r="F543" s="251">
        <v>191600</v>
      </c>
      <c r="G543" s="251">
        <v>191600</v>
      </c>
      <c r="H543" s="251">
        <v>191600</v>
      </c>
      <c r="I543" s="251">
        <v>191600</v>
      </c>
      <c r="J543" s="251">
        <v>191600</v>
      </c>
      <c r="K543" s="251">
        <v>191600</v>
      </c>
      <c r="L543" s="251">
        <v>191600</v>
      </c>
      <c r="M543" s="251">
        <v>191600</v>
      </c>
      <c r="N543" s="251">
        <v>191600</v>
      </c>
      <c r="O543" s="262">
        <v>192400</v>
      </c>
      <c r="Q543" s="4"/>
      <c r="R543" s="4"/>
    </row>
    <row r="544" spans="1:18" s="254" customFormat="1" ht="12">
      <c r="A544" s="249"/>
      <c r="B544" s="261" t="s">
        <v>367</v>
      </c>
      <c r="C544" s="251">
        <f>SUM(D544:O544)</f>
        <v>0</v>
      </c>
      <c r="D544" s="251"/>
      <c r="E544" s="251"/>
      <c r="F544" s="251"/>
      <c r="G544" s="251"/>
      <c r="H544" s="251"/>
      <c r="I544" s="251"/>
      <c r="J544" s="251"/>
      <c r="K544" s="251"/>
      <c r="L544" s="251"/>
      <c r="M544" s="251"/>
      <c r="N544" s="251"/>
      <c r="O544" s="262"/>
      <c r="Q544" s="4"/>
      <c r="R544" s="4"/>
    </row>
    <row r="545" spans="1:15" ht="12.75">
      <c r="A545" s="245"/>
      <c r="B545" s="246" t="s">
        <v>352</v>
      </c>
      <c r="C545" s="251">
        <f>SUM(D545:O545)</f>
        <v>50000</v>
      </c>
      <c r="D545" s="247"/>
      <c r="E545" s="247">
        <f aca="true" t="shared" si="170" ref="E545:K545">SUM(E546)</f>
        <v>0</v>
      </c>
      <c r="F545" s="247">
        <f t="shared" si="170"/>
        <v>0</v>
      </c>
      <c r="G545" s="247">
        <f t="shared" si="170"/>
        <v>0</v>
      </c>
      <c r="H545" s="247">
        <f t="shared" si="170"/>
        <v>50000</v>
      </c>
      <c r="I545" s="247">
        <f t="shared" si="170"/>
        <v>0</v>
      </c>
      <c r="J545" s="247">
        <f t="shared" si="170"/>
        <v>0</v>
      </c>
      <c r="K545" s="247">
        <f t="shared" si="170"/>
        <v>0</v>
      </c>
      <c r="L545" s="247"/>
      <c r="M545" s="247"/>
      <c r="N545" s="247"/>
      <c r="O545" s="248"/>
    </row>
    <row r="546" spans="1:18" s="254" customFormat="1" ht="12">
      <c r="A546" s="249"/>
      <c r="B546" s="250" t="s">
        <v>368</v>
      </c>
      <c r="C546" s="251">
        <f>SUM(D546:O546)</f>
        <v>50000</v>
      </c>
      <c r="D546" s="251"/>
      <c r="E546" s="251"/>
      <c r="F546" s="251"/>
      <c r="G546" s="251"/>
      <c r="H546" s="251">
        <v>50000</v>
      </c>
      <c r="I546" s="251"/>
      <c r="J546" s="251"/>
      <c r="K546" s="251"/>
      <c r="L546" s="251"/>
      <c r="M546" s="251"/>
      <c r="N546" s="251"/>
      <c r="O546" s="262"/>
      <c r="Q546" s="4"/>
      <c r="R546" s="4"/>
    </row>
    <row r="547" spans="1:15" ht="24.75" customHeight="1">
      <c r="A547" s="271">
        <v>92108</v>
      </c>
      <c r="B547" s="279" t="s">
        <v>463</v>
      </c>
      <c r="C547" s="267">
        <f>SUM(C549:C549)</f>
        <v>2388000</v>
      </c>
      <c r="D547" s="267">
        <v>191660</v>
      </c>
      <c r="E547" s="267">
        <v>191660</v>
      </c>
      <c r="F547" s="267">
        <v>191660</v>
      </c>
      <c r="G547" s="267">
        <v>191660</v>
      </c>
      <c r="H547" s="267">
        <v>191660</v>
      </c>
      <c r="I547" s="267">
        <v>235700</v>
      </c>
      <c r="J547" s="267">
        <v>235700</v>
      </c>
      <c r="K547" s="267">
        <v>191660</v>
      </c>
      <c r="L547" s="267">
        <v>191660</v>
      </c>
      <c r="M547" s="267">
        <v>191660</v>
      </c>
      <c r="N547" s="267">
        <v>191660</v>
      </c>
      <c r="O547" s="268">
        <v>191660</v>
      </c>
    </row>
    <row r="548" spans="1:15" ht="12">
      <c r="A548" s="245"/>
      <c r="B548" s="246" t="s">
        <v>399</v>
      </c>
      <c r="C548" s="103">
        <f>SUM(D548:O548)</f>
        <v>2388000</v>
      </c>
      <c r="D548" s="103">
        <f>D549</f>
        <v>199000</v>
      </c>
      <c r="E548" s="172">
        <f aca="true" t="shared" si="171" ref="E548:O548">E549</f>
        <v>199000</v>
      </c>
      <c r="F548" s="172">
        <f t="shared" si="171"/>
        <v>199000</v>
      </c>
      <c r="G548" s="172">
        <f t="shared" si="171"/>
        <v>199000</v>
      </c>
      <c r="H548" s="172">
        <f t="shared" si="171"/>
        <v>199000</v>
      </c>
      <c r="I548" s="172">
        <f t="shared" si="171"/>
        <v>199000</v>
      </c>
      <c r="J548" s="172">
        <f t="shared" si="171"/>
        <v>199000</v>
      </c>
      <c r="K548" s="172">
        <f t="shared" si="171"/>
        <v>199000</v>
      </c>
      <c r="L548" s="172">
        <f t="shared" si="171"/>
        <v>199000</v>
      </c>
      <c r="M548" s="172">
        <f t="shared" si="171"/>
        <v>199000</v>
      </c>
      <c r="N548" s="172">
        <f t="shared" si="171"/>
        <v>199000</v>
      </c>
      <c r="O548" s="174">
        <f t="shared" si="171"/>
        <v>199000</v>
      </c>
    </row>
    <row r="549" spans="1:18" s="254" customFormat="1" ht="12">
      <c r="A549" s="249"/>
      <c r="B549" s="250" t="s">
        <v>373</v>
      </c>
      <c r="C549" s="251">
        <f>SUM(D549:O549)</f>
        <v>2388000</v>
      </c>
      <c r="D549" s="251">
        <v>199000</v>
      </c>
      <c r="E549" s="251">
        <v>199000</v>
      </c>
      <c r="F549" s="251">
        <v>199000</v>
      </c>
      <c r="G549" s="251">
        <v>199000</v>
      </c>
      <c r="H549" s="251">
        <v>199000</v>
      </c>
      <c r="I549" s="251">
        <v>199000</v>
      </c>
      <c r="J549" s="251">
        <v>199000</v>
      </c>
      <c r="K549" s="251">
        <v>199000</v>
      </c>
      <c r="L549" s="251">
        <v>199000</v>
      </c>
      <c r="M549" s="251">
        <v>199000</v>
      </c>
      <c r="N549" s="251">
        <v>199000</v>
      </c>
      <c r="O549" s="262">
        <v>199000</v>
      </c>
      <c r="Q549" s="4"/>
      <c r="R549" s="4"/>
    </row>
    <row r="550" spans="1:15" ht="36.75" customHeight="1">
      <c r="A550" s="271">
        <v>92109</v>
      </c>
      <c r="B550" s="279" t="s">
        <v>460</v>
      </c>
      <c r="C550" s="267">
        <f>C551+C557</f>
        <v>2150000</v>
      </c>
      <c r="D550" s="267">
        <f>D551+D557</f>
        <v>162500</v>
      </c>
      <c r="E550" s="267">
        <f aca="true" t="shared" si="172" ref="E550:O550">E551+E557</f>
        <v>162500</v>
      </c>
      <c r="F550" s="267">
        <f t="shared" si="172"/>
        <v>162500</v>
      </c>
      <c r="G550" s="267">
        <f t="shared" si="172"/>
        <v>162500</v>
      </c>
      <c r="H550" s="267">
        <f t="shared" si="172"/>
        <v>262500</v>
      </c>
      <c r="I550" s="267">
        <f t="shared" si="172"/>
        <v>162500</v>
      </c>
      <c r="J550" s="267">
        <f t="shared" si="172"/>
        <v>262500</v>
      </c>
      <c r="K550" s="267">
        <f t="shared" si="172"/>
        <v>162500</v>
      </c>
      <c r="L550" s="267">
        <f t="shared" si="172"/>
        <v>162500</v>
      </c>
      <c r="M550" s="267">
        <f t="shared" si="172"/>
        <v>162500</v>
      </c>
      <c r="N550" s="267">
        <f t="shared" si="172"/>
        <v>162500</v>
      </c>
      <c r="O550" s="268">
        <f t="shared" si="172"/>
        <v>162500</v>
      </c>
    </row>
    <row r="551" spans="1:15" ht="12.75">
      <c r="A551" s="274"/>
      <c r="B551" s="293" t="s">
        <v>399</v>
      </c>
      <c r="C551" s="103">
        <f aca="true" t="shared" si="173" ref="C551:C558">SUM(D551:O551)</f>
        <v>1950000</v>
      </c>
      <c r="D551" s="247">
        <f>D554</f>
        <v>162500</v>
      </c>
      <c r="E551" s="330">
        <f aca="true" t="shared" si="174" ref="E551:M551">E554</f>
        <v>162500</v>
      </c>
      <c r="F551" s="330">
        <f t="shared" si="174"/>
        <v>162500</v>
      </c>
      <c r="G551" s="330">
        <f t="shared" si="174"/>
        <v>162500</v>
      </c>
      <c r="H551" s="330">
        <f t="shared" si="174"/>
        <v>162500</v>
      </c>
      <c r="I551" s="330">
        <f t="shared" si="174"/>
        <v>162500</v>
      </c>
      <c r="J551" s="330">
        <f t="shared" si="174"/>
        <v>162500</v>
      </c>
      <c r="K551" s="330">
        <f t="shared" si="174"/>
        <v>162500</v>
      </c>
      <c r="L551" s="330">
        <f t="shared" si="174"/>
        <v>162500</v>
      </c>
      <c r="M551" s="330">
        <f t="shared" si="174"/>
        <v>162500</v>
      </c>
      <c r="N551" s="330">
        <f>N554</f>
        <v>162500</v>
      </c>
      <c r="O551" s="280">
        <f>O554</f>
        <v>162500</v>
      </c>
    </row>
    <row r="552" spans="1:18" s="254" customFormat="1" ht="12" hidden="1">
      <c r="A552" s="249"/>
      <c r="B552" s="250" t="s">
        <v>384</v>
      </c>
      <c r="C552" s="251">
        <f t="shared" si="173"/>
        <v>0</v>
      </c>
      <c r="D552" s="251">
        <f>F552+H552</f>
        <v>0</v>
      </c>
      <c r="E552" s="251"/>
      <c r="F552" s="251"/>
      <c r="G552" s="251"/>
      <c r="H552" s="251"/>
      <c r="I552" s="251"/>
      <c r="J552" s="251">
        <f>L552+N552</f>
        <v>0</v>
      </c>
      <c r="K552" s="251"/>
      <c r="L552" s="251"/>
      <c r="M552" s="251"/>
      <c r="N552" s="251"/>
      <c r="O552" s="262"/>
      <c r="Q552" s="4"/>
      <c r="R552" s="4"/>
    </row>
    <row r="553" spans="1:18" s="254" customFormat="1" ht="12" hidden="1">
      <c r="A553" s="249"/>
      <c r="B553" s="250" t="s">
        <v>385</v>
      </c>
      <c r="C553" s="251">
        <f t="shared" si="173"/>
        <v>0</v>
      </c>
      <c r="D553" s="251"/>
      <c r="E553" s="251"/>
      <c r="F553" s="251"/>
      <c r="G553" s="251"/>
      <c r="H553" s="251"/>
      <c r="I553" s="251"/>
      <c r="J553" s="251"/>
      <c r="K553" s="251"/>
      <c r="L553" s="251"/>
      <c r="M553" s="251"/>
      <c r="N553" s="251"/>
      <c r="O553" s="262"/>
      <c r="Q553" s="4"/>
      <c r="R553" s="4"/>
    </row>
    <row r="554" spans="1:18" s="254" customFormat="1" ht="12">
      <c r="A554" s="249"/>
      <c r="B554" s="261" t="s">
        <v>373</v>
      </c>
      <c r="C554" s="251">
        <f t="shared" si="173"/>
        <v>1950000</v>
      </c>
      <c r="D554" s="251">
        <v>162500</v>
      </c>
      <c r="E554" s="251">
        <v>162500</v>
      </c>
      <c r="F554" s="251">
        <v>162500</v>
      </c>
      <c r="G554" s="251">
        <v>162500</v>
      </c>
      <c r="H554" s="251">
        <v>162500</v>
      </c>
      <c r="I554" s="251">
        <v>162500</v>
      </c>
      <c r="J554" s="251">
        <v>162500</v>
      </c>
      <c r="K554" s="251">
        <v>162500</v>
      </c>
      <c r="L554" s="251">
        <v>162500</v>
      </c>
      <c r="M554" s="251">
        <v>162500</v>
      </c>
      <c r="N554" s="251">
        <v>162500</v>
      </c>
      <c r="O554" s="262">
        <v>162500</v>
      </c>
      <c r="Q554" s="4"/>
      <c r="R554" s="4"/>
    </row>
    <row r="555" spans="1:18" s="254" customFormat="1" ht="12.75" customHeight="1" hidden="1">
      <c r="A555" s="249"/>
      <c r="B555" s="261" t="s">
        <v>367</v>
      </c>
      <c r="C555" s="251">
        <f t="shared" si="173"/>
        <v>0</v>
      </c>
      <c r="D555" s="251"/>
      <c r="E555" s="251"/>
      <c r="F555" s="251"/>
      <c r="G555" s="251"/>
      <c r="H555" s="251"/>
      <c r="I555" s="251"/>
      <c r="J555" s="251"/>
      <c r="K555" s="251"/>
      <c r="L555" s="251"/>
      <c r="M555" s="251"/>
      <c r="N555" s="251"/>
      <c r="O555" s="262"/>
      <c r="Q555" s="4"/>
      <c r="R555" s="4"/>
    </row>
    <row r="556" spans="1:18" s="254" customFormat="1" ht="12" hidden="1">
      <c r="A556" s="249"/>
      <c r="B556" s="250" t="s">
        <v>357</v>
      </c>
      <c r="C556" s="251">
        <f t="shared" si="173"/>
        <v>0</v>
      </c>
      <c r="D556" s="251">
        <f>F556+H556</f>
        <v>0</v>
      </c>
      <c r="E556" s="251"/>
      <c r="F556" s="251"/>
      <c r="G556" s="251"/>
      <c r="H556" s="251"/>
      <c r="I556" s="251"/>
      <c r="J556" s="251">
        <f>L556+N556</f>
        <v>0</v>
      </c>
      <c r="K556" s="251"/>
      <c r="L556" s="251"/>
      <c r="M556" s="251"/>
      <c r="N556" s="251"/>
      <c r="O556" s="262"/>
      <c r="Q556" s="4"/>
      <c r="R556" s="4"/>
    </row>
    <row r="557" spans="1:15" ht="12.75">
      <c r="A557" s="245"/>
      <c r="B557" s="246" t="s">
        <v>352</v>
      </c>
      <c r="C557" s="251">
        <f t="shared" si="173"/>
        <v>200000</v>
      </c>
      <c r="D557" s="247"/>
      <c r="E557" s="247">
        <f aca="true" t="shared" si="175" ref="E557:K557">SUM(E558)</f>
        <v>0</v>
      </c>
      <c r="F557" s="247">
        <f t="shared" si="175"/>
        <v>0</v>
      </c>
      <c r="G557" s="247">
        <f t="shared" si="175"/>
        <v>0</v>
      </c>
      <c r="H557" s="247">
        <f t="shared" si="175"/>
        <v>100000</v>
      </c>
      <c r="I557" s="247">
        <f t="shared" si="175"/>
        <v>0</v>
      </c>
      <c r="J557" s="247">
        <f t="shared" si="175"/>
        <v>100000</v>
      </c>
      <c r="K557" s="247">
        <f t="shared" si="175"/>
        <v>0</v>
      </c>
      <c r="L557" s="247"/>
      <c r="M557" s="247"/>
      <c r="N557" s="247"/>
      <c r="O557" s="248"/>
    </row>
    <row r="558" spans="1:18" s="254" customFormat="1" ht="12">
      <c r="A558" s="249"/>
      <c r="B558" s="250" t="s">
        <v>368</v>
      </c>
      <c r="C558" s="251">
        <f t="shared" si="173"/>
        <v>200000</v>
      </c>
      <c r="D558" s="251"/>
      <c r="E558" s="251"/>
      <c r="F558" s="251"/>
      <c r="G558" s="251"/>
      <c r="H558" s="251">
        <v>100000</v>
      </c>
      <c r="I558" s="251"/>
      <c r="J558" s="251">
        <v>100000</v>
      </c>
      <c r="K558" s="251"/>
      <c r="L558" s="251"/>
      <c r="M558" s="251"/>
      <c r="N558" s="251"/>
      <c r="O558" s="262"/>
      <c r="Q558" s="4"/>
      <c r="R558" s="4"/>
    </row>
    <row r="559" spans="1:15" ht="14.25" customHeight="1">
      <c r="A559" s="271">
        <v>92116</v>
      </c>
      <c r="B559" s="279" t="s">
        <v>464</v>
      </c>
      <c r="C559" s="267">
        <f>C560+C563</f>
        <v>3154000</v>
      </c>
      <c r="D559" s="267">
        <f>D560+D563</f>
        <v>263200</v>
      </c>
      <c r="E559" s="267">
        <f>E560+E563</f>
        <v>262800</v>
      </c>
      <c r="F559" s="267">
        <f>F560+F563</f>
        <v>262800</v>
      </c>
      <c r="G559" s="267">
        <f aca="true" t="shared" si="176" ref="G559:O559">G560+G563</f>
        <v>262800</v>
      </c>
      <c r="H559" s="267">
        <f t="shared" si="176"/>
        <v>262800</v>
      </c>
      <c r="I559" s="267">
        <f t="shared" si="176"/>
        <v>262800</v>
      </c>
      <c r="J559" s="267">
        <f t="shared" si="176"/>
        <v>262800</v>
      </c>
      <c r="K559" s="267">
        <f t="shared" si="176"/>
        <v>262800</v>
      </c>
      <c r="L559" s="267">
        <f t="shared" si="176"/>
        <v>262800</v>
      </c>
      <c r="M559" s="267">
        <f t="shared" si="176"/>
        <v>262800</v>
      </c>
      <c r="N559" s="267">
        <f t="shared" si="176"/>
        <v>262800</v>
      </c>
      <c r="O559" s="268">
        <f t="shared" si="176"/>
        <v>262800</v>
      </c>
    </row>
    <row r="560" spans="1:15" ht="12">
      <c r="A560" s="245"/>
      <c r="B560" s="246" t="s">
        <v>399</v>
      </c>
      <c r="C560" s="251">
        <f>SUM(D560:O560)</f>
        <v>3154000</v>
      </c>
      <c r="D560" s="103">
        <f>SUM(D561)</f>
        <v>263200</v>
      </c>
      <c r="E560" s="103">
        <f>SUM(E561)</f>
        <v>262800</v>
      </c>
      <c r="F560" s="103">
        <f>SUM(F561)</f>
        <v>262800</v>
      </c>
      <c r="G560" s="103">
        <f aca="true" t="shared" si="177" ref="G560:O560">SUM(G561)</f>
        <v>262800</v>
      </c>
      <c r="H560" s="103">
        <f t="shared" si="177"/>
        <v>262800</v>
      </c>
      <c r="I560" s="103">
        <f t="shared" si="177"/>
        <v>262800</v>
      </c>
      <c r="J560" s="103">
        <f t="shared" si="177"/>
        <v>262800</v>
      </c>
      <c r="K560" s="103">
        <f t="shared" si="177"/>
        <v>262800</v>
      </c>
      <c r="L560" s="103">
        <f t="shared" si="177"/>
        <v>262800</v>
      </c>
      <c r="M560" s="103">
        <f t="shared" si="177"/>
        <v>262800</v>
      </c>
      <c r="N560" s="103">
        <f t="shared" si="177"/>
        <v>262800</v>
      </c>
      <c r="O560" s="105">
        <f t="shared" si="177"/>
        <v>262800</v>
      </c>
    </row>
    <row r="561" spans="1:18" s="254" customFormat="1" ht="12">
      <c r="A561" s="249"/>
      <c r="B561" s="250" t="s">
        <v>465</v>
      </c>
      <c r="C561" s="251">
        <f>SUM(D561:O561)</f>
        <v>3154000</v>
      </c>
      <c r="D561" s="251">
        <v>263200</v>
      </c>
      <c r="E561" s="251">
        <v>262800</v>
      </c>
      <c r="F561" s="251">
        <v>262800</v>
      </c>
      <c r="G561" s="251">
        <v>262800</v>
      </c>
      <c r="H561" s="251">
        <v>262800</v>
      </c>
      <c r="I561" s="251">
        <v>262800</v>
      </c>
      <c r="J561" s="251">
        <v>262800</v>
      </c>
      <c r="K561" s="251">
        <v>262800</v>
      </c>
      <c r="L561" s="251">
        <v>262800</v>
      </c>
      <c r="M561" s="251">
        <v>262800</v>
      </c>
      <c r="N561" s="251">
        <v>262800</v>
      </c>
      <c r="O561" s="262">
        <v>262800</v>
      </c>
      <c r="Q561" s="4"/>
      <c r="R561" s="4"/>
    </row>
    <row r="562" spans="1:18" s="254" customFormat="1" ht="12">
      <c r="A562" s="249"/>
      <c r="B562" s="261" t="s">
        <v>367</v>
      </c>
      <c r="C562" s="251">
        <f>SUM(D562:O562)</f>
        <v>0</v>
      </c>
      <c r="D562" s="251"/>
      <c r="E562" s="251"/>
      <c r="F562" s="251"/>
      <c r="G562" s="251"/>
      <c r="H562" s="251"/>
      <c r="I562" s="251"/>
      <c r="J562" s="251"/>
      <c r="K562" s="251"/>
      <c r="L562" s="251"/>
      <c r="M562" s="251"/>
      <c r="N562" s="251"/>
      <c r="O562" s="262"/>
      <c r="Q562" s="4"/>
      <c r="R562" s="4"/>
    </row>
    <row r="563" spans="1:15" ht="12.75">
      <c r="A563" s="245"/>
      <c r="B563" s="246" t="s">
        <v>352</v>
      </c>
      <c r="C563" s="251">
        <f>SUM(D563:O563)</f>
        <v>0</v>
      </c>
      <c r="D563" s="247"/>
      <c r="E563" s="247"/>
      <c r="F563" s="247"/>
      <c r="G563" s="247"/>
      <c r="H563" s="247"/>
      <c r="I563" s="247"/>
      <c r="J563" s="247"/>
      <c r="K563" s="247">
        <f>SUM(K564)</f>
        <v>0</v>
      </c>
      <c r="L563" s="247">
        <f>SUM(L564)</f>
        <v>0</v>
      </c>
      <c r="M563" s="247">
        <f>SUM(M564)</f>
        <v>0</v>
      </c>
      <c r="N563" s="247"/>
      <c r="O563" s="248"/>
    </row>
    <row r="564" spans="1:18" s="254" customFormat="1" ht="12">
      <c r="A564" s="249"/>
      <c r="B564" s="250" t="s">
        <v>368</v>
      </c>
      <c r="C564" s="251">
        <f>SUM(D564:O564)</f>
        <v>0</v>
      </c>
      <c r="D564" s="251"/>
      <c r="E564" s="251"/>
      <c r="F564" s="251"/>
      <c r="G564" s="251"/>
      <c r="H564" s="251"/>
      <c r="I564" s="251"/>
      <c r="J564" s="251"/>
      <c r="K564" s="251"/>
      <c r="L564" s="251"/>
      <c r="M564" s="251"/>
      <c r="N564" s="251"/>
      <c r="O564" s="262"/>
      <c r="P564" s="353"/>
      <c r="Q564" s="4"/>
      <c r="R564" s="4"/>
    </row>
    <row r="565" spans="1:18" s="258" customFormat="1" ht="14.25" customHeight="1">
      <c r="A565" s="271">
        <v>92118</v>
      </c>
      <c r="B565" s="279" t="s">
        <v>466</v>
      </c>
      <c r="C565" s="267">
        <f>C566+C569</f>
        <v>1620000</v>
      </c>
      <c r="D565" s="267">
        <f>D566</f>
        <v>125000</v>
      </c>
      <c r="E565" s="267">
        <f aca="true" t="shared" si="178" ref="E565:O566">E566</f>
        <v>125000</v>
      </c>
      <c r="F565" s="267">
        <f>F566+F569</f>
        <v>125000</v>
      </c>
      <c r="G565" s="267">
        <f t="shared" si="178"/>
        <v>125000</v>
      </c>
      <c r="H565" s="267">
        <f>H566+H569</f>
        <v>145000</v>
      </c>
      <c r="I565" s="267">
        <f t="shared" si="178"/>
        <v>125000</v>
      </c>
      <c r="J565" s="267">
        <f t="shared" si="178"/>
        <v>125000</v>
      </c>
      <c r="K565" s="267">
        <f t="shared" si="178"/>
        <v>175000</v>
      </c>
      <c r="L565" s="267">
        <f t="shared" si="178"/>
        <v>175000</v>
      </c>
      <c r="M565" s="267">
        <f t="shared" si="178"/>
        <v>125000</v>
      </c>
      <c r="N565" s="267">
        <f t="shared" si="178"/>
        <v>125000</v>
      </c>
      <c r="O565" s="268">
        <f t="shared" si="178"/>
        <v>125000</v>
      </c>
      <c r="Q565" s="4"/>
      <c r="R565" s="4"/>
    </row>
    <row r="566" spans="1:18" s="258" customFormat="1" ht="12">
      <c r="A566" s="271"/>
      <c r="B566" s="285" t="s">
        <v>399</v>
      </c>
      <c r="C566" s="286">
        <f>SUM(D566:O566)</f>
        <v>1600000</v>
      </c>
      <c r="D566" s="142">
        <f>D567</f>
        <v>125000</v>
      </c>
      <c r="E566" s="142">
        <f t="shared" si="178"/>
        <v>125000</v>
      </c>
      <c r="F566" s="142">
        <f t="shared" si="178"/>
        <v>125000</v>
      </c>
      <c r="G566" s="142">
        <f t="shared" si="178"/>
        <v>125000</v>
      </c>
      <c r="H566" s="142">
        <f>H567</f>
        <v>125000</v>
      </c>
      <c r="I566" s="142">
        <f t="shared" si="178"/>
        <v>125000</v>
      </c>
      <c r="J566" s="142">
        <f t="shared" si="178"/>
        <v>125000</v>
      </c>
      <c r="K566" s="142">
        <f t="shared" si="178"/>
        <v>175000</v>
      </c>
      <c r="L566" s="142">
        <f t="shared" si="178"/>
        <v>175000</v>
      </c>
      <c r="M566" s="142">
        <f t="shared" si="178"/>
        <v>125000</v>
      </c>
      <c r="N566" s="142">
        <f t="shared" si="178"/>
        <v>125000</v>
      </c>
      <c r="O566" s="287">
        <f t="shared" si="178"/>
        <v>125000</v>
      </c>
      <c r="Q566" s="4"/>
      <c r="R566" s="4"/>
    </row>
    <row r="567" spans="1:18" s="258" customFormat="1" ht="12" customHeight="1">
      <c r="A567" s="245"/>
      <c r="B567" s="250" t="s">
        <v>465</v>
      </c>
      <c r="C567" s="251">
        <f>SUM(D567:O567)</f>
        <v>1600000</v>
      </c>
      <c r="D567" s="251">
        <v>125000</v>
      </c>
      <c r="E567" s="251">
        <v>125000</v>
      </c>
      <c r="F567" s="251">
        <v>125000</v>
      </c>
      <c r="G567" s="251">
        <v>125000</v>
      </c>
      <c r="H567" s="251">
        <v>125000</v>
      </c>
      <c r="I567" s="251">
        <v>125000</v>
      </c>
      <c r="J567" s="251">
        <v>125000</v>
      </c>
      <c r="K567" s="251">
        <v>175000</v>
      </c>
      <c r="L567" s="251">
        <v>175000</v>
      </c>
      <c r="M567" s="251">
        <v>125000</v>
      </c>
      <c r="N567" s="251">
        <v>125000</v>
      </c>
      <c r="O567" s="262">
        <v>125000</v>
      </c>
      <c r="Q567" s="4"/>
      <c r="R567" s="4"/>
    </row>
    <row r="568" spans="1:18" s="258" customFormat="1" ht="12">
      <c r="A568" s="245"/>
      <c r="B568" s="250" t="s">
        <v>376</v>
      </c>
      <c r="C568" s="251">
        <f>SUM(D568:O568)</f>
        <v>100000</v>
      </c>
      <c r="D568" s="251"/>
      <c r="E568" s="251"/>
      <c r="F568" s="251"/>
      <c r="G568" s="251"/>
      <c r="H568" s="251"/>
      <c r="I568" s="251"/>
      <c r="J568" s="251"/>
      <c r="K568" s="251">
        <v>50000</v>
      </c>
      <c r="L568" s="251">
        <v>50000</v>
      </c>
      <c r="M568" s="251"/>
      <c r="N568" s="251"/>
      <c r="O568" s="262"/>
      <c r="Q568" s="4"/>
      <c r="R568" s="4"/>
    </row>
    <row r="569" spans="1:18" s="258" customFormat="1" ht="12">
      <c r="A569" s="245"/>
      <c r="B569" s="246" t="s">
        <v>352</v>
      </c>
      <c r="C569" s="251">
        <f>SUM(D569:O569)</f>
        <v>20000</v>
      </c>
      <c r="D569" s="251"/>
      <c r="E569" s="251"/>
      <c r="F569" s="251"/>
      <c r="G569" s="251"/>
      <c r="H569" s="251">
        <f>H570</f>
        <v>20000</v>
      </c>
      <c r="I569" s="251"/>
      <c r="J569" s="251"/>
      <c r="K569" s="251"/>
      <c r="L569" s="251"/>
      <c r="M569" s="251"/>
      <c r="N569" s="251"/>
      <c r="O569" s="262"/>
      <c r="Q569" s="4"/>
      <c r="R569" s="4"/>
    </row>
    <row r="570" spans="1:18" s="258" customFormat="1" ht="12">
      <c r="A570" s="245"/>
      <c r="B570" s="250" t="s">
        <v>353</v>
      </c>
      <c r="C570" s="251">
        <f>SUM(D570:O570)</f>
        <v>20000</v>
      </c>
      <c r="D570" s="251"/>
      <c r="E570" s="251"/>
      <c r="F570" s="251"/>
      <c r="G570" s="251"/>
      <c r="H570" s="251">
        <v>20000</v>
      </c>
      <c r="I570" s="251"/>
      <c r="J570" s="251"/>
      <c r="K570" s="251"/>
      <c r="L570" s="251"/>
      <c r="M570" s="251"/>
      <c r="N570" s="251"/>
      <c r="O570" s="262"/>
      <c r="Q570" s="4"/>
      <c r="R570" s="4"/>
    </row>
    <row r="571" spans="1:20" ht="26.25" customHeight="1">
      <c r="A571" s="271">
        <v>92120</v>
      </c>
      <c r="B571" s="279" t="s">
        <v>467</v>
      </c>
      <c r="C571" s="267">
        <f>C572+C575</f>
        <v>118000</v>
      </c>
      <c r="D571" s="267"/>
      <c r="E571" s="267">
        <f>E572+E575</f>
        <v>18000</v>
      </c>
      <c r="F571" s="267">
        <f>F572+F575</f>
        <v>20000</v>
      </c>
      <c r="G571" s="267"/>
      <c r="H571" s="267"/>
      <c r="I571" s="267">
        <f>I572</f>
        <v>30000</v>
      </c>
      <c r="J571" s="267"/>
      <c r="K571" s="267"/>
      <c r="L571" s="267">
        <f>L572</f>
        <v>50000</v>
      </c>
      <c r="M571" s="267"/>
      <c r="N571" s="267"/>
      <c r="O571" s="268"/>
      <c r="P571" s="55"/>
      <c r="S571" s="55"/>
      <c r="T571" s="55"/>
    </row>
    <row r="572" spans="1:15" ht="12.75" customHeight="1">
      <c r="A572" s="355"/>
      <c r="B572" s="246" t="s">
        <v>399</v>
      </c>
      <c r="C572" s="251">
        <f>SUM(D572:O572)</f>
        <v>100000</v>
      </c>
      <c r="D572" s="103"/>
      <c r="E572" s="103"/>
      <c r="F572" s="103">
        <f>F573</f>
        <v>20000</v>
      </c>
      <c r="G572" s="103"/>
      <c r="H572" s="103"/>
      <c r="I572" s="103">
        <f>I573</f>
        <v>30000</v>
      </c>
      <c r="J572" s="103"/>
      <c r="K572" s="103"/>
      <c r="L572" s="103">
        <f>L573</f>
        <v>50000</v>
      </c>
      <c r="M572" s="103"/>
      <c r="N572" s="103"/>
      <c r="O572" s="105"/>
    </row>
    <row r="573" spans="1:18" s="258" customFormat="1" ht="12.75" customHeight="1">
      <c r="A573" s="245"/>
      <c r="B573" s="250" t="s">
        <v>357</v>
      </c>
      <c r="C573" s="251">
        <f>SUM(D573:O573)</f>
        <v>100000</v>
      </c>
      <c r="D573" s="251"/>
      <c r="E573" s="251"/>
      <c r="F573" s="251">
        <f>F574</f>
        <v>20000</v>
      </c>
      <c r="G573" s="251"/>
      <c r="H573" s="251"/>
      <c r="I573" s="251">
        <f>I574</f>
        <v>30000</v>
      </c>
      <c r="J573" s="251"/>
      <c r="K573" s="251"/>
      <c r="L573" s="251">
        <f>L574</f>
        <v>50000</v>
      </c>
      <c r="M573" s="251"/>
      <c r="N573" s="251"/>
      <c r="O573" s="262"/>
      <c r="Q573" s="4"/>
      <c r="R573" s="4"/>
    </row>
    <row r="574" spans="1:18" s="258" customFormat="1" ht="12.75" customHeight="1">
      <c r="A574" s="245"/>
      <c r="B574" s="250" t="s">
        <v>376</v>
      </c>
      <c r="C574" s="251">
        <f>SUM(D574:O574)</f>
        <v>100000</v>
      </c>
      <c r="D574" s="251"/>
      <c r="E574" s="251"/>
      <c r="F574" s="251">
        <v>20000</v>
      </c>
      <c r="G574" s="251"/>
      <c r="H574" s="251"/>
      <c r="I574" s="251">
        <v>30000</v>
      </c>
      <c r="J574" s="251"/>
      <c r="K574" s="251"/>
      <c r="L574" s="251">
        <v>50000</v>
      </c>
      <c r="M574" s="251"/>
      <c r="N574" s="251"/>
      <c r="O574" s="262"/>
      <c r="Q574" s="4"/>
      <c r="R574" s="4"/>
    </row>
    <row r="575" spans="1:15" ht="13.5" customHeight="1">
      <c r="A575" s="245"/>
      <c r="B575" s="246" t="s">
        <v>352</v>
      </c>
      <c r="C575" s="251">
        <f>SUM(D575:O575)</f>
        <v>18000</v>
      </c>
      <c r="D575" s="247">
        <f>D576</f>
        <v>0</v>
      </c>
      <c r="E575" s="247">
        <f>E576</f>
        <v>18000</v>
      </c>
      <c r="F575" s="247">
        <f>F576</f>
        <v>0</v>
      </c>
      <c r="G575" s="103">
        <f>SUM(G576)</f>
        <v>0</v>
      </c>
      <c r="H575" s="103">
        <f>SUM(H576)</f>
        <v>0</v>
      </c>
      <c r="I575" s="103">
        <f>SUM(I576)</f>
        <v>0</v>
      </c>
      <c r="J575" s="103">
        <f>SUM(J576)</f>
        <v>0</v>
      </c>
      <c r="K575" s="103">
        <f>SUM(K576)</f>
        <v>0</v>
      </c>
      <c r="L575" s="103">
        <f>L576</f>
        <v>0</v>
      </c>
      <c r="M575" s="103">
        <f>M576</f>
        <v>0</v>
      </c>
      <c r="N575" s="103"/>
      <c r="O575" s="248"/>
    </row>
    <row r="576" spans="1:18" s="254" customFormat="1" ht="14.25" customHeight="1">
      <c r="A576" s="276"/>
      <c r="B576" s="277" t="s">
        <v>353</v>
      </c>
      <c r="C576" s="186">
        <f>SUM(D576:O576)</f>
        <v>18000</v>
      </c>
      <c r="D576" s="186"/>
      <c r="E576" s="186">
        <v>18000</v>
      </c>
      <c r="F576" s="186"/>
      <c r="G576" s="186"/>
      <c r="H576" s="186"/>
      <c r="I576" s="186"/>
      <c r="J576" s="186"/>
      <c r="K576" s="186"/>
      <c r="L576" s="186"/>
      <c r="M576" s="186"/>
      <c r="N576" s="186"/>
      <c r="O576" s="188"/>
      <c r="Q576" s="4"/>
      <c r="R576" s="4"/>
    </row>
    <row r="577" spans="1:15" ht="15.75" customHeight="1">
      <c r="A577" s="271">
        <v>92195</v>
      </c>
      <c r="B577" s="279" t="s">
        <v>86</v>
      </c>
      <c r="C577" s="267">
        <f>C578</f>
        <v>12840</v>
      </c>
      <c r="D577" s="267">
        <f>D578</f>
        <v>1070</v>
      </c>
      <c r="E577" s="267">
        <f>E578</f>
        <v>1070</v>
      </c>
      <c r="F577" s="267">
        <f>F578</f>
        <v>1070</v>
      </c>
      <c r="G577" s="267">
        <f aca="true" t="shared" si="179" ref="G577:O577">G578</f>
        <v>1070</v>
      </c>
      <c r="H577" s="267">
        <f t="shared" si="179"/>
        <v>1070</v>
      </c>
      <c r="I577" s="267">
        <f t="shared" si="179"/>
        <v>1070</v>
      </c>
      <c r="J577" s="267">
        <f t="shared" si="179"/>
        <v>1070</v>
      </c>
      <c r="K577" s="267">
        <f t="shared" si="179"/>
        <v>1070</v>
      </c>
      <c r="L577" s="267">
        <f t="shared" si="179"/>
        <v>1070</v>
      </c>
      <c r="M577" s="267">
        <f t="shared" si="179"/>
        <v>1070</v>
      </c>
      <c r="N577" s="267">
        <f t="shared" si="179"/>
        <v>1070</v>
      </c>
      <c r="O577" s="268">
        <f t="shared" si="179"/>
        <v>1070</v>
      </c>
    </row>
    <row r="578" spans="1:15" ht="13.5" customHeight="1">
      <c r="A578" s="355"/>
      <c r="B578" s="246" t="s">
        <v>399</v>
      </c>
      <c r="C578" s="251">
        <f>SUM(D578:O578)</f>
        <v>12840</v>
      </c>
      <c r="D578" s="103">
        <f>SUM(D580)</f>
        <v>1070</v>
      </c>
      <c r="E578" s="103">
        <f>SUM(E580)</f>
        <v>1070</v>
      </c>
      <c r="F578" s="103">
        <f>SUM(F580)</f>
        <v>1070</v>
      </c>
      <c r="G578" s="103">
        <f aca="true" t="shared" si="180" ref="G578:O578">SUM(G580)</f>
        <v>1070</v>
      </c>
      <c r="H578" s="103">
        <f t="shared" si="180"/>
        <v>1070</v>
      </c>
      <c r="I578" s="103">
        <f t="shared" si="180"/>
        <v>1070</v>
      </c>
      <c r="J578" s="103">
        <f t="shared" si="180"/>
        <v>1070</v>
      </c>
      <c r="K578" s="103">
        <f t="shared" si="180"/>
        <v>1070</v>
      </c>
      <c r="L578" s="103">
        <f t="shared" si="180"/>
        <v>1070</v>
      </c>
      <c r="M578" s="103">
        <f t="shared" si="180"/>
        <v>1070</v>
      </c>
      <c r="N578" s="103">
        <f t="shared" si="180"/>
        <v>1070</v>
      </c>
      <c r="O578" s="105">
        <f t="shared" si="180"/>
        <v>1070</v>
      </c>
    </row>
    <row r="579" spans="1:18" s="254" customFormat="1" ht="13.5" customHeight="1">
      <c r="A579" s="249"/>
      <c r="B579" s="250" t="s">
        <v>465</v>
      </c>
      <c r="C579" s="251"/>
      <c r="D579" s="251"/>
      <c r="E579" s="251"/>
      <c r="F579" s="251"/>
      <c r="G579" s="251"/>
      <c r="H579" s="251"/>
      <c r="I579" s="251"/>
      <c r="J579" s="251"/>
      <c r="K579" s="251"/>
      <c r="L579" s="251"/>
      <c r="M579" s="251"/>
      <c r="N579" s="251"/>
      <c r="O579" s="262"/>
      <c r="Q579" s="4"/>
      <c r="R579" s="4"/>
    </row>
    <row r="580" spans="1:18" s="258" customFormat="1" ht="13.5" customHeight="1" thickBot="1">
      <c r="A580" s="245"/>
      <c r="B580" s="250" t="s">
        <v>357</v>
      </c>
      <c r="C580" s="251">
        <f>SUM(D580:O580)</f>
        <v>12840</v>
      </c>
      <c r="D580" s="251">
        <v>1070</v>
      </c>
      <c r="E580" s="251">
        <v>1070</v>
      </c>
      <c r="F580" s="251">
        <v>1070</v>
      </c>
      <c r="G580" s="251">
        <v>1070</v>
      </c>
      <c r="H580" s="251">
        <v>1070</v>
      </c>
      <c r="I580" s="251">
        <v>1070</v>
      </c>
      <c r="J580" s="251">
        <v>1070</v>
      </c>
      <c r="K580" s="251">
        <v>1070</v>
      </c>
      <c r="L580" s="251">
        <v>1070</v>
      </c>
      <c r="M580" s="251">
        <v>1070</v>
      </c>
      <c r="N580" s="251">
        <v>1070</v>
      </c>
      <c r="O580" s="262">
        <v>1070</v>
      </c>
      <c r="Q580" s="4"/>
      <c r="R580" s="4"/>
    </row>
    <row r="581" spans="1:18" s="258" customFormat="1" ht="102.75" hidden="1" thickBot="1">
      <c r="A581" s="356">
        <v>925</v>
      </c>
      <c r="B581" s="357" t="s">
        <v>468</v>
      </c>
      <c r="C581" s="358">
        <f>C582</f>
        <v>0</v>
      </c>
      <c r="D581" s="358"/>
      <c r="E581" s="358">
        <f>E582</f>
        <v>0</v>
      </c>
      <c r="F581" s="358"/>
      <c r="G581" s="358"/>
      <c r="H581" s="358"/>
      <c r="I581" s="358"/>
      <c r="J581" s="358"/>
      <c r="K581" s="358">
        <f>K582</f>
        <v>0</v>
      </c>
      <c r="L581" s="358"/>
      <c r="M581" s="358"/>
      <c r="N581" s="358"/>
      <c r="O581" s="359"/>
      <c r="Q581" s="4"/>
      <c r="R581" s="4"/>
    </row>
    <row r="582" spans="1:15" ht="15.75" customHeight="1" hidden="1">
      <c r="A582" s="315">
        <v>92595</v>
      </c>
      <c r="B582" s="316" t="s">
        <v>86</v>
      </c>
      <c r="C582" s="317">
        <f>C583</f>
        <v>0</v>
      </c>
      <c r="D582" s="317"/>
      <c r="E582" s="317">
        <f>E583</f>
        <v>0</v>
      </c>
      <c r="F582" s="317"/>
      <c r="G582" s="317"/>
      <c r="H582" s="317"/>
      <c r="I582" s="317"/>
      <c r="J582" s="317"/>
      <c r="K582" s="317">
        <f>K583</f>
        <v>0</v>
      </c>
      <c r="L582" s="317"/>
      <c r="M582" s="317"/>
      <c r="N582" s="317"/>
      <c r="O582" s="318"/>
    </row>
    <row r="583" spans="1:15" ht="15" customHeight="1" hidden="1">
      <c r="A583" s="355"/>
      <c r="B583" s="246" t="s">
        <v>399</v>
      </c>
      <c r="C583" s="103">
        <f>C584</f>
        <v>0</v>
      </c>
      <c r="D583" s="103"/>
      <c r="E583" s="103">
        <f>E584</f>
        <v>0</v>
      </c>
      <c r="F583" s="103"/>
      <c r="G583" s="103"/>
      <c r="H583" s="103"/>
      <c r="I583" s="103"/>
      <c r="J583" s="103"/>
      <c r="K583" s="103">
        <f>K584</f>
        <v>0</v>
      </c>
      <c r="L583" s="103"/>
      <c r="M583" s="103"/>
      <c r="N583" s="103"/>
      <c r="O583" s="105"/>
    </row>
    <row r="584" spans="1:18" s="258" customFormat="1" ht="20.25" customHeight="1" hidden="1">
      <c r="A584" s="245"/>
      <c r="B584" s="250" t="s">
        <v>357</v>
      </c>
      <c r="C584" s="251">
        <f>SUM(D584:E584)</f>
        <v>0</v>
      </c>
      <c r="D584" s="251"/>
      <c r="E584" s="251">
        <f>G584+I584</f>
        <v>0</v>
      </c>
      <c r="F584" s="252"/>
      <c r="G584" s="252"/>
      <c r="H584" s="252"/>
      <c r="I584" s="252"/>
      <c r="J584" s="251"/>
      <c r="K584" s="251">
        <f>M584+O584</f>
        <v>0</v>
      </c>
      <c r="L584" s="252"/>
      <c r="M584" s="252"/>
      <c r="N584" s="252"/>
      <c r="O584" s="253"/>
      <c r="Q584" s="4"/>
      <c r="R584" s="4"/>
    </row>
    <row r="585" spans="1:18" s="244" customFormat="1" ht="25.5" customHeight="1" thickBot="1" thickTop="1">
      <c r="A585" s="270">
        <v>926</v>
      </c>
      <c r="B585" s="243" t="s">
        <v>336</v>
      </c>
      <c r="C585" s="147">
        <f>C586+C593+C596+C599</f>
        <v>8433720</v>
      </c>
      <c r="D585" s="147">
        <f>D586+D596+D599</f>
        <v>444232</v>
      </c>
      <c r="E585" s="147">
        <f aca="true" t="shared" si="181" ref="E585:O585">E586+E596+E599</f>
        <v>701602</v>
      </c>
      <c r="F585" s="147">
        <f t="shared" si="181"/>
        <v>951902</v>
      </c>
      <c r="G585" s="147">
        <f t="shared" si="181"/>
        <v>1301902</v>
      </c>
      <c r="H585" s="147">
        <f t="shared" si="181"/>
        <v>1651902</v>
      </c>
      <c r="I585" s="147">
        <f t="shared" si="181"/>
        <v>701902</v>
      </c>
      <c r="J585" s="147">
        <f t="shared" si="181"/>
        <v>501902</v>
      </c>
      <c r="K585" s="147">
        <f t="shared" si="181"/>
        <v>501902</v>
      </c>
      <c r="L585" s="147">
        <f t="shared" si="181"/>
        <v>501902</v>
      </c>
      <c r="M585" s="147">
        <f t="shared" si="181"/>
        <v>472305</v>
      </c>
      <c r="N585" s="147">
        <f t="shared" si="181"/>
        <v>301902</v>
      </c>
      <c r="O585" s="149">
        <f t="shared" si="181"/>
        <v>400365</v>
      </c>
      <c r="Q585" s="4"/>
      <c r="R585" s="4"/>
    </row>
    <row r="586" spans="1:15" ht="15.75" customHeight="1" thickTop="1">
      <c r="A586" s="271">
        <v>92601</v>
      </c>
      <c r="B586" s="279" t="s">
        <v>338</v>
      </c>
      <c r="C586" s="267">
        <f>C587+C591</f>
        <v>4500000</v>
      </c>
      <c r="D586" s="267">
        <f>D587+D591</f>
        <v>150000</v>
      </c>
      <c r="E586" s="267">
        <f>E587+E591</f>
        <v>400000</v>
      </c>
      <c r="F586" s="267">
        <f>F587+F591</f>
        <v>500000</v>
      </c>
      <c r="G586" s="267">
        <f aca="true" t="shared" si="182" ref="G586:O586">G587+G591</f>
        <v>1000000</v>
      </c>
      <c r="H586" s="267">
        <f t="shared" si="182"/>
        <v>1350000</v>
      </c>
      <c r="I586" s="267">
        <f t="shared" si="182"/>
        <v>400000</v>
      </c>
      <c r="J586" s="267">
        <f t="shared" si="182"/>
        <v>200000</v>
      </c>
      <c r="K586" s="267">
        <f t="shared" si="182"/>
        <v>200000</v>
      </c>
      <c r="L586" s="267">
        <f t="shared" si="182"/>
        <v>200000</v>
      </c>
      <c r="M586" s="267">
        <f t="shared" si="182"/>
        <v>100000</v>
      </c>
      <c r="N586" s="267">
        <f t="shared" si="182"/>
        <v>0</v>
      </c>
      <c r="O586" s="268">
        <f t="shared" si="182"/>
        <v>0</v>
      </c>
    </row>
    <row r="587" spans="1:15" ht="13.5" customHeight="1">
      <c r="A587" s="298"/>
      <c r="B587" s="275" t="s">
        <v>399</v>
      </c>
      <c r="C587" s="103">
        <f aca="true" t="shared" si="183" ref="C587:C592">SUM(D587:O587)</f>
        <v>0</v>
      </c>
      <c r="D587" s="172"/>
      <c r="E587" s="172">
        <f>SUM(E588:E589)</f>
        <v>0</v>
      </c>
      <c r="F587" s="172">
        <f>SUM(F588:F589)</f>
        <v>0</v>
      </c>
      <c r="G587" s="172">
        <f aca="true" t="shared" si="184" ref="G587:O587">SUM(G588:G589)</f>
        <v>0</v>
      </c>
      <c r="H587" s="172">
        <f t="shared" si="184"/>
        <v>0</v>
      </c>
      <c r="I587" s="172">
        <f t="shared" si="184"/>
        <v>0</v>
      </c>
      <c r="J587" s="172">
        <f t="shared" si="184"/>
        <v>0</v>
      </c>
      <c r="K587" s="172">
        <f t="shared" si="184"/>
        <v>0</v>
      </c>
      <c r="L587" s="172">
        <f t="shared" si="184"/>
        <v>0</v>
      </c>
      <c r="M587" s="172">
        <f t="shared" si="184"/>
        <v>0</v>
      </c>
      <c r="N587" s="172">
        <f t="shared" si="184"/>
        <v>0</v>
      </c>
      <c r="O587" s="174">
        <f t="shared" si="184"/>
        <v>0</v>
      </c>
    </row>
    <row r="588" spans="1:18" s="258" customFormat="1" ht="13.5" customHeight="1">
      <c r="A588" s="245"/>
      <c r="B588" s="250" t="s">
        <v>465</v>
      </c>
      <c r="C588" s="251">
        <f t="shared" si="183"/>
        <v>0</v>
      </c>
      <c r="D588" s="251"/>
      <c r="E588" s="251"/>
      <c r="F588" s="251"/>
      <c r="G588" s="251"/>
      <c r="H588" s="251"/>
      <c r="I588" s="251"/>
      <c r="J588" s="251"/>
      <c r="K588" s="251"/>
      <c r="L588" s="251"/>
      <c r="M588" s="251"/>
      <c r="N588" s="251"/>
      <c r="O588" s="262"/>
      <c r="Q588" s="4"/>
      <c r="R588" s="4"/>
    </row>
    <row r="589" spans="1:18" s="258" customFormat="1" ht="13.5" customHeight="1">
      <c r="A589" s="245"/>
      <c r="B589" s="250" t="s">
        <v>357</v>
      </c>
      <c r="C589" s="251">
        <f t="shared" si="183"/>
        <v>0</v>
      </c>
      <c r="D589" s="251"/>
      <c r="E589" s="251"/>
      <c r="F589" s="251"/>
      <c r="G589" s="251"/>
      <c r="H589" s="251"/>
      <c r="I589" s="251"/>
      <c r="J589" s="251"/>
      <c r="K589" s="251"/>
      <c r="L589" s="251"/>
      <c r="M589" s="251"/>
      <c r="N589" s="251"/>
      <c r="O589" s="262"/>
      <c r="Q589" s="4"/>
      <c r="R589" s="4"/>
    </row>
    <row r="590" spans="1:18" s="258" customFormat="1" ht="13.5" customHeight="1">
      <c r="A590" s="245"/>
      <c r="B590" s="250" t="s">
        <v>367</v>
      </c>
      <c r="C590" s="251">
        <f t="shared" si="183"/>
        <v>0</v>
      </c>
      <c r="D590" s="251"/>
      <c r="E590" s="251"/>
      <c r="F590" s="251"/>
      <c r="G590" s="251"/>
      <c r="H590" s="251"/>
      <c r="I590" s="251"/>
      <c r="J590" s="251"/>
      <c r="K590" s="251"/>
      <c r="L590" s="251"/>
      <c r="M590" s="251"/>
      <c r="N590" s="251"/>
      <c r="O590" s="262"/>
      <c r="Q590" s="4"/>
      <c r="R590" s="4"/>
    </row>
    <row r="591" spans="1:15" ht="13.5" customHeight="1">
      <c r="A591" s="245"/>
      <c r="B591" s="246" t="s">
        <v>352</v>
      </c>
      <c r="C591" s="251">
        <f t="shared" si="183"/>
        <v>4500000</v>
      </c>
      <c r="D591" s="247">
        <f>D592</f>
        <v>150000</v>
      </c>
      <c r="E591" s="247">
        <f>E592</f>
        <v>400000</v>
      </c>
      <c r="F591" s="247">
        <f>F592</f>
        <v>500000</v>
      </c>
      <c r="G591" s="103">
        <f>SUM(G592)</f>
        <v>1000000</v>
      </c>
      <c r="H591" s="103">
        <f>SUM(H592)</f>
        <v>1350000</v>
      </c>
      <c r="I591" s="103">
        <f>SUM(I592)</f>
        <v>400000</v>
      </c>
      <c r="J591" s="103">
        <f>SUM(J592)</f>
        <v>200000</v>
      </c>
      <c r="K591" s="103">
        <f>SUM(K592)</f>
        <v>200000</v>
      </c>
      <c r="L591" s="103">
        <f>L592</f>
        <v>200000</v>
      </c>
      <c r="M591" s="103">
        <f>M592</f>
        <v>100000</v>
      </c>
      <c r="N591" s="103"/>
      <c r="O591" s="248"/>
    </row>
    <row r="592" spans="1:18" s="254" customFormat="1" ht="13.5" customHeight="1">
      <c r="A592" s="276"/>
      <c r="B592" s="277" t="s">
        <v>368</v>
      </c>
      <c r="C592" s="251">
        <f t="shared" si="183"/>
        <v>4500000</v>
      </c>
      <c r="D592" s="186">
        <v>150000</v>
      </c>
      <c r="E592" s="186">
        <v>400000</v>
      </c>
      <c r="F592" s="186">
        <v>500000</v>
      </c>
      <c r="G592" s="186">
        <v>1000000</v>
      </c>
      <c r="H592" s="186">
        <v>1350000</v>
      </c>
      <c r="I592" s="186">
        <v>400000</v>
      </c>
      <c r="J592" s="186">
        <v>200000</v>
      </c>
      <c r="K592" s="186">
        <v>200000</v>
      </c>
      <c r="L592" s="186">
        <v>200000</v>
      </c>
      <c r="M592" s="186">
        <v>100000</v>
      </c>
      <c r="N592" s="186"/>
      <c r="O592" s="188"/>
      <c r="Q592" s="4"/>
      <c r="R592" s="4"/>
    </row>
    <row r="593" spans="1:18" s="258" customFormat="1" ht="24" hidden="1">
      <c r="A593" s="271">
        <v>92604</v>
      </c>
      <c r="B593" s="279" t="s">
        <v>469</v>
      </c>
      <c r="C593" s="267">
        <f>SUM(C594)</f>
        <v>0</v>
      </c>
      <c r="D593" s="267">
        <f>SUM(D594)</f>
        <v>0</v>
      </c>
      <c r="E593" s="267"/>
      <c r="F593" s="267">
        <f>SUM(F594)</f>
        <v>0</v>
      </c>
      <c r="G593" s="267"/>
      <c r="H593" s="267"/>
      <c r="I593" s="267"/>
      <c r="J593" s="267">
        <f>SUM(J594)</f>
        <v>0</v>
      </c>
      <c r="K593" s="267"/>
      <c r="L593" s="267">
        <f>SUM(L594)</f>
        <v>0</v>
      </c>
      <c r="M593" s="267"/>
      <c r="N593" s="267"/>
      <c r="O593" s="268"/>
      <c r="Q593" s="4"/>
      <c r="R593" s="4"/>
    </row>
    <row r="594" spans="1:15" ht="12" hidden="1">
      <c r="A594" s="355"/>
      <c r="B594" s="246" t="s">
        <v>399</v>
      </c>
      <c r="C594" s="103">
        <f>C595</f>
        <v>0</v>
      </c>
      <c r="D594" s="103">
        <f>D595</f>
        <v>0</v>
      </c>
      <c r="E594" s="103"/>
      <c r="F594" s="103">
        <f>F595</f>
        <v>0</v>
      </c>
      <c r="G594" s="103"/>
      <c r="H594" s="103"/>
      <c r="I594" s="103"/>
      <c r="J594" s="103">
        <f>J595</f>
        <v>0</v>
      </c>
      <c r="K594" s="103"/>
      <c r="L594" s="103">
        <f>L595</f>
        <v>0</v>
      </c>
      <c r="M594" s="103"/>
      <c r="N594" s="103"/>
      <c r="O594" s="105"/>
    </row>
    <row r="595" spans="1:18" s="258" customFormat="1" ht="12.75" hidden="1">
      <c r="A595" s="245"/>
      <c r="B595" s="250" t="s">
        <v>357</v>
      </c>
      <c r="C595" s="251">
        <f>SUM(D595:E595)</f>
        <v>0</v>
      </c>
      <c r="D595" s="251">
        <f>F595+H595</f>
        <v>0</v>
      </c>
      <c r="E595" s="251"/>
      <c r="F595" s="252">
        <v>0</v>
      </c>
      <c r="G595" s="252"/>
      <c r="H595" s="252"/>
      <c r="I595" s="252"/>
      <c r="J595" s="251">
        <f>L595+N595</f>
        <v>0</v>
      </c>
      <c r="K595" s="251"/>
      <c r="L595" s="252">
        <v>0</v>
      </c>
      <c r="M595" s="252"/>
      <c r="N595" s="252"/>
      <c r="O595" s="253"/>
      <c r="Q595" s="4"/>
      <c r="R595" s="4"/>
    </row>
    <row r="596" spans="1:18" s="258" customFormat="1" ht="38.25" customHeight="1">
      <c r="A596" s="271">
        <v>92605</v>
      </c>
      <c r="B596" s="279" t="s">
        <v>470</v>
      </c>
      <c r="C596" s="267">
        <f>C597</f>
        <v>3484000</v>
      </c>
      <c r="D596" s="300">
        <f>D597</f>
        <v>290300</v>
      </c>
      <c r="E596" s="300">
        <f>E597</f>
        <v>290700</v>
      </c>
      <c r="F596" s="300">
        <f>F597</f>
        <v>290300</v>
      </c>
      <c r="G596" s="300">
        <f aca="true" t="shared" si="185" ref="G596:O597">G597</f>
        <v>290300</v>
      </c>
      <c r="H596" s="300">
        <f t="shared" si="185"/>
        <v>290300</v>
      </c>
      <c r="I596" s="300">
        <f t="shared" si="185"/>
        <v>290300</v>
      </c>
      <c r="J596" s="300">
        <f t="shared" si="185"/>
        <v>290300</v>
      </c>
      <c r="K596" s="300">
        <f t="shared" si="185"/>
        <v>290300</v>
      </c>
      <c r="L596" s="300">
        <f t="shared" si="185"/>
        <v>290300</v>
      </c>
      <c r="M596" s="300">
        <f t="shared" si="185"/>
        <v>290300</v>
      </c>
      <c r="N596" s="300">
        <f t="shared" si="185"/>
        <v>290300</v>
      </c>
      <c r="O596" s="301">
        <f t="shared" si="185"/>
        <v>290300</v>
      </c>
      <c r="Q596" s="4"/>
      <c r="R596" s="4"/>
    </row>
    <row r="597" spans="1:15" ht="15" customHeight="1">
      <c r="A597" s="355"/>
      <c r="B597" s="246" t="s">
        <v>399</v>
      </c>
      <c r="C597" s="103">
        <f>SUM(D597:O597)</f>
        <v>3484000</v>
      </c>
      <c r="D597" s="172">
        <f>D598</f>
        <v>290300</v>
      </c>
      <c r="E597" s="172">
        <f>E598</f>
        <v>290700</v>
      </c>
      <c r="F597" s="172">
        <f>F598</f>
        <v>290300</v>
      </c>
      <c r="G597" s="172">
        <f t="shared" si="185"/>
        <v>290300</v>
      </c>
      <c r="H597" s="172">
        <f t="shared" si="185"/>
        <v>290300</v>
      </c>
      <c r="I597" s="172">
        <f t="shared" si="185"/>
        <v>290300</v>
      </c>
      <c r="J597" s="172">
        <f t="shared" si="185"/>
        <v>290300</v>
      </c>
      <c r="K597" s="172">
        <f t="shared" si="185"/>
        <v>290300</v>
      </c>
      <c r="L597" s="172">
        <f t="shared" si="185"/>
        <v>290300</v>
      </c>
      <c r="M597" s="172">
        <f t="shared" si="185"/>
        <v>290300</v>
      </c>
      <c r="N597" s="172">
        <f t="shared" si="185"/>
        <v>290300</v>
      </c>
      <c r="O597" s="174">
        <f t="shared" si="185"/>
        <v>290300</v>
      </c>
    </row>
    <row r="598" spans="1:18" s="254" customFormat="1" ht="15" customHeight="1">
      <c r="A598" s="302"/>
      <c r="B598" s="250" t="s">
        <v>373</v>
      </c>
      <c r="C598" s="251">
        <f>SUM(D598:O598)</f>
        <v>3484000</v>
      </c>
      <c r="D598" s="251">
        <v>290300</v>
      </c>
      <c r="E598" s="251">
        <v>290700</v>
      </c>
      <c r="F598" s="251">
        <v>290300</v>
      </c>
      <c r="G598" s="251">
        <v>290300</v>
      </c>
      <c r="H598" s="251">
        <v>290300</v>
      </c>
      <c r="I598" s="251">
        <v>290300</v>
      </c>
      <c r="J598" s="251">
        <v>290300</v>
      </c>
      <c r="K598" s="251">
        <v>290300</v>
      </c>
      <c r="L598" s="251">
        <v>290300</v>
      </c>
      <c r="M598" s="251">
        <v>290300</v>
      </c>
      <c r="N598" s="251">
        <v>290300</v>
      </c>
      <c r="O598" s="262">
        <v>290300</v>
      </c>
      <c r="Q598" s="4"/>
      <c r="R598" s="4"/>
    </row>
    <row r="599" spans="1:15" ht="15" customHeight="1">
      <c r="A599" s="271">
        <v>92695</v>
      </c>
      <c r="B599" s="279" t="s">
        <v>471</v>
      </c>
      <c r="C599" s="267">
        <f>C600+C602</f>
        <v>449720</v>
      </c>
      <c r="D599" s="267">
        <f>D600</f>
        <v>3932</v>
      </c>
      <c r="E599" s="267">
        <f>E600</f>
        <v>10902</v>
      </c>
      <c r="F599" s="267">
        <f>F600</f>
        <v>161602</v>
      </c>
      <c r="G599" s="267">
        <f aca="true" t="shared" si="186" ref="G599:O599">G600</f>
        <v>11602</v>
      </c>
      <c r="H599" s="267">
        <f t="shared" si="186"/>
        <v>11602</v>
      </c>
      <c r="I599" s="267">
        <f t="shared" si="186"/>
        <v>11602</v>
      </c>
      <c r="J599" s="267">
        <f t="shared" si="186"/>
        <v>11602</v>
      </c>
      <c r="K599" s="267">
        <f t="shared" si="186"/>
        <v>11602</v>
      </c>
      <c r="L599" s="267">
        <f t="shared" si="186"/>
        <v>11602</v>
      </c>
      <c r="M599" s="267">
        <f t="shared" si="186"/>
        <v>82005</v>
      </c>
      <c r="N599" s="267">
        <f t="shared" si="186"/>
        <v>11602</v>
      </c>
      <c r="O599" s="268">
        <f t="shared" si="186"/>
        <v>110065</v>
      </c>
    </row>
    <row r="600" spans="1:15" ht="13.5" customHeight="1">
      <c r="A600" s="355"/>
      <c r="B600" s="246" t="s">
        <v>399</v>
      </c>
      <c r="C600" s="251">
        <f>SUM(D600:O600)</f>
        <v>449720</v>
      </c>
      <c r="D600" s="103">
        <f>SUM(D601)</f>
        <v>3932</v>
      </c>
      <c r="E600" s="103">
        <f>SUM(E601)</f>
        <v>10902</v>
      </c>
      <c r="F600" s="103">
        <f>SUM(F601)</f>
        <v>161602</v>
      </c>
      <c r="G600" s="103">
        <f aca="true" t="shared" si="187" ref="G600:O600">SUM(G601)</f>
        <v>11602</v>
      </c>
      <c r="H600" s="103">
        <f t="shared" si="187"/>
        <v>11602</v>
      </c>
      <c r="I600" s="103">
        <f t="shared" si="187"/>
        <v>11602</v>
      </c>
      <c r="J600" s="103">
        <f t="shared" si="187"/>
        <v>11602</v>
      </c>
      <c r="K600" s="103">
        <f t="shared" si="187"/>
        <v>11602</v>
      </c>
      <c r="L600" s="103">
        <f t="shared" si="187"/>
        <v>11602</v>
      </c>
      <c r="M600" s="103">
        <f t="shared" si="187"/>
        <v>82005</v>
      </c>
      <c r="N600" s="103">
        <f t="shared" si="187"/>
        <v>11602</v>
      </c>
      <c r="O600" s="105">
        <f t="shared" si="187"/>
        <v>110065</v>
      </c>
    </row>
    <row r="601" spans="1:18" s="258" customFormat="1" ht="13.5" customHeight="1" thickBot="1">
      <c r="A601" s="283"/>
      <c r="B601" s="250" t="s">
        <v>357</v>
      </c>
      <c r="C601" s="251">
        <f>SUM(D601:O601)</f>
        <v>449720</v>
      </c>
      <c r="D601" s="251">
        <f>1852+2080</f>
        <v>3932</v>
      </c>
      <c r="E601" s="251">
        <f>1852+9050</f>
        <v>10902</v>
      </c>
      <c r="F601" s="251">
        <f>1852+159750</f>
        <v>161602</v>
      </c>
      <c r="G601" s="251">
        <f aca="true" t="shared" si="188" ref="G601:L601">1852+9750</f>
        <v>11602</v>
      </c>
      <c r="H601" s="251">
        <f t="shared" si="188"/>
        <v>11602</v>
      </c>
      <c r="I601" s="251">
        <f t="shared" si="188"/>
        <v>11602</v>
      </c>
      <c r="J601" s="251">
        <f t="shared" si="188"/>
        <v>11602</v>
      </c>
      <c r="K601" s="251">
        <f t="shared" si="188"/>
        <v>11602</v>
      </c>
      <c r="L601" s="251">
        <f t="shared" si="188"/>
        <v>11602</v>
      </c>
      <c r="M601" s="251">
        <f>1852+80153</f>
        <v>82005</v>
      </c>
      <c r="N601" s="251">
        <f>1852+9750</f>
        <v>11602</v>
      </c>
      <c r="O601" s="262">
        <f>1852+108200+13</f>
        <v>110065</v>
      </c>
      <c r="Q601" s="4"/>
      <c r="R601" s="4"/>
    </row>
    <row r="602" spans="1:15" s="258" customFormat="1" ht="13.5" hidden="1" thickBot="1">
      <c r="A602" s="245"/>
      <c r="B602" s="246" t="s">
        <v>352</v>
      </c>
      <c r="C602" s="247">
        <f>SUM(C603)</f>
        <v>0</v>
      </c>
      <c r="D602" s="247">
        <f>SUM(D603)</f>
        <v>0</v>
      </c>
      <c r="E602" s="247"/>
      <c r="F602" s="247">
        <f>SUM(F603)</f>
        <v>0</v>
      </c>
      <c r="G602" s="252"/>
      <c r="H602" s="252"/>
      <c r="I602" s="252"/>
      <c r="J602" s="247">
        <f>SUM(J603)</f>
        <v>0</v>
      </c>
      <c r="K602" s="247"/>
      <c r="L602" s="247">
        <f>SUM(L603)</f>
        <v>0</v>
      </c>
      <c r="M602" s="252"/>
      <c r="N602" s="252"/>
      <c r="O602" s="253"/>
    </row>
    <row r="603" spans="1:15" s="258" customFormat="1" ht="13.5" hidden="1" thickBot="1">
      <c r="A603" s="245"/>
      <c r="B603" s="250" t="s">
        <v>368</v>
      </c>
      <c r="C603" s="251">
        <f>SUM(D603:E603)</f>
        <v>0</v>
      </c>
      <c r="D603" s="251">
        <f>F603+H603</f>
        <v>0</v>
      </c>
      <c r="E603" s="251"/>
      <c r="F603" s="252"/>
      <c r="G603" s="252"/>
      <c r="H603" s="252"/>
      <c r="I603" s="252"/>
      <c r="J603" s="251">
        <f>L603+N603</f>
        <v>0</v>
      </c>
      <c r="K603" s="251"/>
      <c r="L603" s="252"/>
      <c r="M603" s="252"/>
      <c r="N603" s="252"/>
      <c r="O603" s="253"/>
    </row>
    <row r="604" spans="1:15" ht="31.5" customHeight="1" thickBot="1" thickTop="1">
      <c r="A604" s="312"/>
      <c r="B604" s="243" t="s">
        <v>341</v>
      </c>
      <c r="C604" s="147">
        <f>C25+C21+C497+C57+C200+C305+C527+C312+C351+C585+C52+C100+C151+C154+C189+C193+C442+C17+C11+C79+C581+C145+C428+C183</f>
        <v>272216724</v>
      </c>
      <c r="D604" s="147">
        <f aca="true" t="shared" si="189" ref="D604:O604">D25+D21+D497+D57+D200+D305+D527+D312+D351+D585+D52+D100+D151+D154+D189+D193+D442+D17+D11+D79+D581+D145+D428+D183</f>
        <v>20295009</v>
      </c>
      <c r="E604" s="147">
        <f t="shared" si="189"/>
        <v>20539208</v>
      </c>
      <c r="F604" s="147">
        <f t="shared" si="189"/>
        <v>28818265</v>
      </c>
      <c r="G604" s="147">
        <f t="shared" si="189"/>
        <v>22753198</v>
      </c>
      <c r="H604" s="147">
        <f t="shared" si="189"/>
        <v>21658650</v>
      </c>
      <c r="I604" s="147">
        <f t="shared" si="189"/>
        <v>21669226</v>
      </c>
      <c r="J604" s="147">
        <f t="shared" si="189"/>
        <v>24986890</v>
      </c>
      <c r="K604" s="147">
        <f t="shared" si="189"/>
        <v>22743210</v>
      </c>
      <c r="L604" s="147">
        <f t="shared" si="189"/>
        <v>23425662</v>
      </c>
      <c r="M604" s="147">
        <f t="shared" si="189"/>
        <v>23584872</v>
      </c>
      <c r="N604" s="147">
        <f t="shared" si="189"/>
        <v>22086801</v>
      </c>
      <c r="O604" s="149">
        <f t="shared" si="189"/>
        <v>19655733</v>
      </c>
    </row>
    <row r="605" spans="1:18" s="364" customFormat="1" ht="18" customHeight="1" thickTop="1">
      <c r="A605" s="360"/>
      <c r="B605" s="361" t="s">
        <v>356</v>
      </c>
      <c r="C605" s="362">
        <f>C15+C23+C27+C30+C36+C42+C46+C54+C59+C66+C74+C81+C84+C87+C90+C97+C102+C107+C115+C118+C121+C130+C139+C147+C152+C164+C172+C175+C185+C191+C195+C198+C202+C211+C217+C223+C229+C236+C242+C251+C257+C270+C278+C284+C290+C293+C299+C307+C310+C314+C325+C329+C339+C342+C348+C353+C360+C363+C369+C375+C380+C383+C388+C394+C401+C409+C412+C418+C423+C430+C433+C436+C444+C450+C461+C467+C472+C478+C483+C488+C491+C502+C505+C508+C514+C520+C538+C542+C548+C551+C560+C566+C572+C578+C587+C597+C600</f>
        <v>222856244</v>
      </c>
      <c r="D605" s="362">
        <f aca="true" t="shared" si="190" ref="D605:O605">D15+D23+D27+D30+D36+D42+D46+D54+D59+D66+D74+D81+D84+D87+D90+D97+D102+D107+D115+D118+D121+D130+D139+D147+D152+D164+D172+D175+D185+D191+D195+D198+D202+D211+D217+D223+D229+D236+D242+D251+D257+D270+D278+D284+D290+D293+D299+D307+D310+D314+D325+D329+D339+D342+D348+D353+D360+D363+D369+D375+D380+D383+D388+D394+D401+D409+D412+D418+D423+D430+D433+D436+D444+D450+D461+D467+D472+D478+D483+D488+D491+D502+D505+D508+D514+D520+D538+D542+D548+D551+D560+D566+D572+D578+D587+D597+D600</f>
        <v>17462349</v>
      </c>
      <c r="E605" s="362">
        <f t="shared" si="190"/>
        <v>16888048</v>
      </c>
      <c r="F605" s="362">
        <f t="shared" si="190"/>
        <v>23129105</v>
      </c>
      <c r="G605" s="362">
        <f t="shared" si="190"/>
        <v>19316038</v>
      </c>
      <c r="H605" s="362">
        <f t="shared" si="190"/>
        <v>18147990</v>
      </c>
      <c r="I605" s="362">
        <f t="shared" si="190"/>
        <v>17823646</v>
      </c>
      <c r="J605" s="362">
        <f t="shared" si="190"/>
        <v>19632690</v>
      </c>
      <c r="K605" s="362">
        <f t="shared" si="190"/>
        <v>17825250</v>
      </c>
      <c r="L605" s="362">
        <f t="shared" si="190"/>
        <v>18382302</v>
      </c>
      <c r="M605" s="362">
        <f t="shared" si="190"/>
        <v>17711612</v>
      </c>
      <c r="N605" s="362">
        <f t="shared" si="190"/>
        <v>19194141</v>
      </c>
      <c r="O605" s="363">
        <f t="shared" si="190"/>
        <v>17343073</v>
      </c>
      <c r="Q605" s="4"/>
      <c r="R605" s="4"/>
    </row>
    <row r="606" spans="1:18" s="269" customFormat="1" ht="16.5" customHeight="1">
      <c r="A606" s="365"/>
      <c r="B606" s="250" t="s">
        <v>384</v>
      </c>
      <c r="C606" s="366">
        <f>C47+C91+C103+C108+C122+C131+C140+C165+C176+C186+C203+C212+C218+C224+C230+C237+C243+C252+C258+C271+C279+C285+C294+C300+C343+C354+C364+C370+C376+C384+C395+C402+C413+C419+C437+C445+C451+C462+C468+C473+C484+C492+C521</f>
        <v>97667473</v>
      </c>
      <c r="D606" s="366">
        <f aca="true" t="shared" si="191" ref="D606:O606">D47+D91+D103+D108+D122+D131+D140+D165+D176+D186+D203+D212+D218+D224+D230+D237+D243+D252+D258+D271+D279+D285+D294+D300+D343+D354+D364+D370+D376+D384+D395+D402+D413+D419+D437+D445+D451+D462+D468+D473+D484+D492+D521</f>
        <v>8372330</v>
      </c>
      <c r="E606" s="366">
        <f t="shared" si="191"/>
        <v>7555583</v>
      </c>
      <c r="F606" s="366">
        <f t="shared" si="191"/>
        <v>12230168</v>
      </c>
      <c r="G606" s="366">
        <f t="shared" si="191"/>
        <v>8455933</v>
      </c>
      <c r="H606" s="366">
        <f t="shared" si="191"/>
        <v>7592533</v>
      </c>
      <c r="I606" s="366">
        <f t="shared" si="191"/>
        <v>7592733</v>
      </c>
      <c r="J606" s="366">
        <f t="shared" si="191"/>
        <v>7598173</v>
      </c>
      <c r="K606" s="366">
        <f t="shared" si="191"/>
        <v>7593273</v>
      </c>
      <c r="L606" s="366">
        <f t="shared" si="191"/>
        <v>7863423</v>
      </c>
      <c r="M606" s="366">
        <f t="shared" si="191"/>
        <v>7588673</v>
      </c>
      <c r="N606" s="366">
        <f t="shared" si="191"/>
        <v>7594675</v>
      </c>
      <c r="O606" s="367">
        <f t="shared" si="191"/>
        <v>7629976</v>
      </c>
      <c r="Q606" s="4"/>
      <c r="R606" s="4"/>
    </row>
    <row r="607" spans="1:18" s="269" customFormat="1" ht="16.5" customHeight="1">
      <c r="A607" s="365"/>
      <c r="B607" s="250" t="s">
        <v>385</v>
      </c>
      <c r="C607" s="366"/>
      <c r="D607" s="366"/>
      <c r="E607" s="366"/>
      <c r="F607" s="366"/>
      <c r="G607" s="366"/>
      <c r="H607" s="366"/>
      <c r="I607" s="366"/>
      <c r="J607" s="366"/>
      <c r="K607" s="366"/>
      <c r="L607" s="366"/>
      <c r="M607" s="366"/>
      <c r="N607" s="366"/>
      <c r="O607" s="367"/>
      <c r="Q607" s="4"/>
      <c r="R607" s="4"/>
    </row>
    <row r="608" spans="1:18" s="269" customFormat="1" ht="16.5" customHeight="1">
      <c r="A608" s="365"/>
      <c r="B608" s="250" t="s">
        <v>373</v>
      </c>
      <c r="C608" s="368">
        <f>C55+C60+C111+C142+C173+C205+C220+C232+C245+C260+C296+C302+C311+C315+C326+C330+C349+C356+C372+C431+C424+C494+C539+C543+C549+C554+C561+C567+C579+C588+C598</f>
        <v>34316100</v>
      </c>
      <c r="D608" s="368">
        <f aca="true" t="shared" si="192" ref="D608:O608">D55+D60+D111+D142+D173+D205+D220+D232+D245+D260+D296+D302+D311+D315+D326+D330+D349+D356+D372+D431+D424+D494+D539+D543+D549+D554+D561+D567+D579+D588+D598</f>
        <v>2416536</v>
      </c>
      <c r="E608" s="368">
        <f t="shared" si="192"/>
        <v>2528332</v>
      </c>
      <c r="F608" s="368">
        <f t="shared" si="192"/>
        <v>2990482</v>
      </c>
      <c r="G608" s="368">
        <f t="shared" si="192"/>
        <v>2975232</v>
      </c>
      <c r="H608" s="368">
        <f t="shared" si="192"/>
        <v>2432432</v>
      </c>
      <c r="I608" s="368">
        <f t="shared" si="192"/>
        <v>2472682</v>
      </c>
      <c r="J608" s="368">
        <f t="shared" si="192"/>
        <v>4296132</v>
      </c>
      <c r="K608" s="368">
        <f t="shared" si="192"/>
        <v>2497432</v>
      </c>
      <c r="L608" s="368">
        <f t="shared" si="192"/>
        <v>2630782</v>
      </c>
      <c r="M608" s="368">
        <f t="shared" si="192"/>
        <v>2575532</v>
      </c>
      <c r="N608" s="368">
        <f t="shared" si="192"/>
        <v>4066436</v>
      </c>
      <c r="O608" s="369">
        <f t="shared" si="192"/>
        <v>2434090</v>
      </c>
      <c r="Q608" s="4"/>
      <c r="R608" s="4"/>
    </row>
    <row r="609" spans="1:18" s="374" customFormat="1" ht="16.5" customHeight="1">
      <c r="A609" s="370"/>
      <c r="B609" s="371" t="s">
        <v>472</v>
      </c>
      <c r="C609" s="372">
        <f>D609+E609+F609+G609+H609+I609+J609+K609+L609+M609+N609+O609</f>
        <v>3100000</v>
      </c>
      <c r="D609" s="372">
        <f aca="true" t="shared" si="193" ref="D609:O609">D61+D544+D562+D568</f>
        <v>0</v>
      </c>
      <c r="E609" s="372">
        <f t="shared" si="193"/>
        <v>0</v>
      </c>
      <c r="F609" s="372">
        <f t="shared" si="193"/>
        <v>0</v>
      </c>
      <c r="G609" s="372">
        <f t="shared" si="193"/>
        <v>0</v>
      </c>
      <c r="H609" s="372">
        <f t="shared" si="193"/>
        <v>0</v>
      </c>
      <c r="I609" s="372">
        <f t="shared" si="193"/>
        <v>0</v>
      </c>
      <c r="J609" s="372">
        <f t="shared" si="193"/>
        <v>1500000</v>
      </c>
      <c r="K609" s="372">
        <f t="shared" si="193"/>
        <v>50000</v>
      </c>
      <c r="L609" s="372">
        <f t="shared" si="193"/>
        <v>50000</v>
      </c>
      <c r="M609" s="372">
        <f t="shared" si="193"/>
        <v>0</v>
      </c>
      <c r="N609" s="372">
        <f t="shared" si="193"/>
        <v>1500000</v>
      </c>
      <c r="O609" s="373">
        <f t="shared" si="193"/>
        <v>0</v>
      </c>
      <c r="Q609" s="4"/>
      <c r="R609" s="4"/>
    </row>
    <row r="610" spans="1:18" s="260" customFormat="1" ht="16.5" customHeight="1">
      <c r="A610" s="375"/>
      <c r="B610" s="246"/>
      <c r="C610" s="376"/>
      <c r="D610" s="376"/>
      <c r="E610" s="376"/>
      <c r="F610" s="376"/>
      <c r="G610" s="376"/>
      <c r="H610" s="376"/>
      <c r="I610" s="376"/>
      <c r="J610" s="376"/>
      <c r="K610" s="376"/>
      <c r="L610" s="376"/>
      <c r="M610" s="376"/>
      <c r="N610" s="376"/>
      <c r="O610" s="377"/>
      <c r="Q610" s="4"/>
      <c r="R610" s="4"/>
    </row>
    <row r="611" spans="1:18" s="269" customFormat="1" ht="16.5" customHeight="1">
      <c r="A611" s="365"/>
      <c r="B611" s="250" t="s">
        <v>357</v>
      </c>
      <c r="C611" s="366">
        <f>C16+C24+C28+C31+C37+C43+C48+C56+C67+C75+C82+C85+C88+C93+C98+C105+C112+C116+C119+C124+C133+C143+C150+C153+C167+C178+C188+C192+C199+C196+C206+C214+C221+C226+C233+C239+C246+C254+C261+C273+C281+C287+C291+C297+C303+C308+C316+C327+C331+C340+C345+C350+C357+C361+C366+C373+C378+C381+C386+C389+C392+C397+C404+C410+C415+C421+C425+C434+C439+C447+C453+C464+C470+C475+C481+C486+C489+C495+C503+C506+C509+C515+C522+C540+C573+C580+C589+C601</f>
        <v>90872671</v>
      </c>
      <c r="D611" s="366">
        <f aca="true" t="shared" si="194" ref="D611:O611">D16+D24+D28+D31+D37+D43+D48+D56+D67+D75+D82+D85+D88+D93+D98+D105+D112+D116+D119+D124+D133+D143+D150+D153+D167+D178+D188+D192+D199+D196+D206+D214+D221+D226+D233+D239+D246+D254+D261+D273+D281+D287+D291+D297+D303+D308+D316+D327+D331+D340+D345+D350+D357+D361+D366+D373+D378+D381+D386+D389+D392+D397+D404+D410+D415+D421+D425+D434+D439+D447+D453+D464+D470+D475+D481+D486+D489+D495+D503+D506+D509+D515+D522+D540+D573+D580+D589+D601</f>
        <v>6673483</v>
      </c>
      <c r="E611" s="366">
        <f t="shared" si="194"/>
        <v>6804133</v>
      </c>
      <c r="F611" s="366">
        <f t="shared" si="194"/>
        <v>7908455</v>
      </c>
      <c r="G611" s="366">
        <f t="shared" si="194"/>
        <v>7884873</v>
      </c>
      <c r="H611" s="366">
        <f t="shared" si="194"/>
        <v>8123025</v>
      </c>
      <c r="I611" s="366">
        <f t="shared" si="194"/>
        <v>7758231</v>
      </c>
      <c r="J611" s="366">
        <f t="shared" si="194"/>
        <v>7738385</v>
      </c>
      <c r="K611" s="366">
        <f t="shared" si="194"/>
        <v>7734545</v>
      </c>
      <c r="L611" s="366">
        <f t="shared" si="194"/>
        <v>7888097</v>
      </c>
      <c r="M611" s="366">
        <f t="shared" si="194"/>
        <v>7547407</v>
      </c>
      <c r="N611" s="366">
        <f t="shared" si="194"/>
        <v>7533030</v>
      </c>
      <c r="O611" s="367">
        <f t="shared" si="194"/>
        <v>7279007</v>
      </c>
      <c r="Q611" s="4"/>
      <c r="R611" s="4"/>
    </row>
    <row r="612" spans="1:18" s="374" customFormat="1" ht="16.5" customHeight="1">
      <c r="A612" s="370"/>
      <c r="B612" s="371" t="s">
        <v>472</v>
      </c>
      <c r="C612" s="372">
        <f>C32+C38+C44+C49+C125+C137+C144+C168+C179+C207+C215+C227+C234+C240+C247+C255+C262+C282+C288+C304+C346+C358+C367+C405+C416+C448+C454+C476+C496+C510+C516+C523+C574+C590</f>
        <v>9429050</v>
      </c>
      <c r="D612" s="372">
        <f aca="true" t="shared" si="195" ref="D612:O612">D32+D38+D44+D49+D125+D137+D144+D168+D179+D207+D215+D227+D234+D240+D247+D255+D262+D282+D288+D304+D346+D358+D367+D405+D416+D448+D454+D476+D496+D510+D516+D523+D574+D590</f>
        <v>341100</v>
      </c>
      <c r="E612" s="372">
        <f t="shared" si="195"/>
        <v>367900</v>
      </c>
      <c r="F612" s="372">
        <f t="shared" si="195"/>
        <v>541900</v>
      </c>
      <c r="G612" s="372">
        <f t="shared" si="195"/>
        <v>596900</v>
      </c>
      <c r="H612" s="372">
        <f t="shared" si="195"/>
        <v>939800</v>
      </c>
      <c r="I612" s="372">
        <f t="shared" si="195"/>
        <v>1111800</v>
      </c>
      <c r="J612" s="372">
        <f t="shared" si="195"/>
        <v>1132450</v>
      </c>
      <c r="K612" s="372">
        <f t="shared" si="195"/>
        <v>1401800</v>
      </c>
      <c r="L612" s="372">
        <f t="shared" si="195"/>
        <v>1279000</v>
      </c>
      <c r="M612" s="372">
        <f t="shared" si="195"/>
        <v>831800</v>
      </c>
      <c r="N612" s="372">
        <f t="shared" si="195"/>
        <v>524800</v>
      </c>
      <c r="O612" s="373">
        <f t="shared" si="195"/>
        <v>359800</v>
      </c>
      <c r="Q612" s="4"/>
      <c r="R612" s="4"/>
    </row>
    <row r="613" spans="1:18" s="382" customFormat="1" ht="18" customHeight="1">
      <c r="A613" s="378"/>
      <c r="B613" s="379" t="s">
        <v>473</v>
      </c>
      <c r="C613" s="380">
        <f aca="true" t="shared" si="196" ref="C613:O613">C609+C612</f>
        <v>12529050</v>
      </c>
      <c r="D613" s="380">
        <f t="shared" si="196"/>
        <v>341100</v>
      </c>
      <c r="E613" s="380">
        <f t="shared" si="196"/>
        <v>367900</v>
      </c>
      <c r="F613" s="380">
        <f t="shared" si="196"/>
        <v>541900</v>
      </c>
      <c r="G613" s="380">
        <f t="shared" si="196"/>
        <v>596900</v>
      </c>
      <c r="H613" s="380">
        <f t="shared" si="196"/>
        <v>939800</v>
      </c>
      <c r="I613" s="380">
        <f t="shared" si="196"/>
        <v>1111800</v>
      </c>
      <c r="J613" s="380">
        <f t="shared" si="196"/>
        <v>2632450</v>
      </c>
      <c r="K613" s="380">
        <f t="shared" si="196"/>
        <v>1451800</v>
      </c>
      <c r="L613" s="380">
        <f t="shared" si="196"/>
        <v>1329000</v>
      </c>
      <c r="M613" s="380">
        <f t="shared" si="196"/>
        <v>831800</v>
      </c>
      <c r="N613" s="380">
        <f t="shared" si="196"/>
        <v>2024800</v>
      </c>
      <c r="O613" s="381">
        <f t="shared" si="196"/>
        <v>359800</v>
      </c>
      <c r="Q613" s="4"/>
      <c r="R613" s="4"/>
    </row>
    <row r="614" spans="1:18" s="364" customFormat="1" ht="16.5" customHeight="1">
      <c r="A614" s="360"/>
      <c r="B614" s="361" t="s">
        <v>352</v>
      </c>
      <c r="C614" s="362">
        <f>C33+C39+C50+C68+C71+C76+C126+C169+C180+C208+C248+C336+C398+C406+C440+C458+C499+C524+C545+C557+C563+C569+C575+C591</f>
        <v>49360480</v>
      </c>
      <c r="D614" s="362">
        <f aca="true" t="shared" si="197" ref="D614:O614">D33+D39+D50+D68+D71+D76+D126+D169+D180+D208+D248+D336+D398+D406+D440+D458+D499+D524+D545+D557+D563+D569+D575+D591</f>
        <v>2840000</v>
      </c>
      <c r="E614" s="362">
        <f t="shared" si="197"/>
        <v>3658500</v>
      </c>
      <c r="F614" s="362">
        <f t="shared" si="197"/>
        <v>5696500</v>
      </c>
      <c r="G614" s="362">
        <f t="shared" si="197"/>
        <v>3444500</v>
      </c>
      <c r="H614" s="362">
        <f t="shared" si="197"/>
        <v>3518000</v>
      </c>
      <c r="I614" s="362">
        <f t="shared" si="197"/>
        <v>3808880</v>
      </c>
      <c r="J614" s="362">
        <f t="shared" si="197"/>
        <v>5317500</v>
      </c>
      <c r="K614" s="362">
        <f t="shared" si="197"/>
        <v>4925300</v>
      </c>
      <c r="L614" s="362">
        <f t="shared" si="197"/>
        <v>5050700</v>
      </c>
      <c r="M614" s="362">
        <f t="shared" si="197"/>
        <v>5880600</v>
      </c>
      <c r="N614" s="362">
        <f t="shared" si="197"/>
        <v>2900000</v>
      </c>
      <c r="O614" s="363">
        <f t="shared" si="197"/>
        <v>2320000</v>
      </c>
      <c r="Q614" s="4"/>
      <c r="R614" s="4"/>
    </row>
    <row r="615" spans="1:18" s="269" customFormat="1" ht="16.5" customHeight="1">
      <c r="A615" s="365"/>
      <c r="B615" s="250" t="s">
        <v>353</v>
      </c>
      <c r="C615" s="366">
        <f>C51+C69+C128+C182+C399+C407+C441+C459+C570+C576</f>
        <v>717500</v>
      </c>
      <c r="D615" s="366">
        <f aca="true" t="shared" si="198" ref="D615:O615">D51+D69+D128+D182+D399+D407+D441+D459+D570+D576</f>
        <v>0</v>
      </c>
      <c r="E615" s="366">
        <f t="shared" si="198"/>
        <v>28500</v>
      </c>
      <c r="F615" s="366">
        <f t="shared" si="198"/>
        <v>46500</v>
      </c>
      <c r="G615" s="366">
        <f t="shared" si="198"/>
        <v>14500</v>
      </c>
      <c r="H615" s="366">
        <f t="shared" si="198"/>
        <v>58000</v>
      </c>
      <c r="I615" s="366">
        <f t="shared" si="198"/>
        <v>0</v>
      </c>
      <c r="J615" s="366">
        <f t="shared" si="198"/>
        <v>0</v>
      </c>
      <c r="K615" s="366">
        <f t="shared" si="198"/>
        <v>0</v>
      </c>
      <c r="L615" s="366">
        <f t="shared" si="198"/>
        <v>0</v>
      </c>
      <c r="M615" s="366">
        <f t="shared" si="198"/>
        <v>200000</v>
      </c>
      <c r="N615" s="366">
        <f t="shared" si="198"/>
        <v>300000</v>
      </c>
      <c r="O615" s="367">
        <f t="shared" si="198"/>
        <v>70000</v>
      </c>
      <c r="Q615" s="4"/>
      <c r="R615" s="4"/>
    </row>
    <row r="616" spans="1:18" s="269" customFormat="1" ht="16.5" customHeight="1">
      <c r="A616" s="365"/>
      <c r="B616" s="250" t="s">
        <v>368</v>
      </c>
      <c r="C616" s="366">
        <f>C34+C40+C77+C127+C170+C181+C209+C249+C337+C427+C500+C518+C525+C546+C558+C564+C592</f>
        <v>45282980</v>
      </c>
      <c r="D616" s="366">
        <f aca="true" t="shared" si="199" ref="D616:O616">D34+D40+D77+D127+D170+D181+D209+D249+D337+D427+D500+D518+D525+D546+D558+D564+D592</f>
        <v>2840000</v>
      </c>
      <c r="E616" s="366">
        <f t="shared" si="199"/>
        <v>3630000</v>
      </c>
      <c r="F616" s="366">
        <f t="shared" si="199"/>
        <v>2290000</v>
      </c>
      <c r="G616" s="366">
        <f t="shared" si="199"/>
        <v>3430000</v>
      </c>
      <c r="H616" s="366">
        <f t="shared" si="199"/>
        <v>3460000</v>
      </c>
      <c r="I616" s="366">
        <f t="shared" si="199"/>
        <v>3808880</v>
      </c>
      <c r="J616" s="366">
        <f t="shared" si="199"/>
        <v>5317500</v>
      </c>
      <c r="K616" s="366">
        <f t="shared" si="199"/>
        <v>4925300</v>
      </c>
      <c r="L616" s="366">
        <f t="shared" si="199"/>
        <v>5050700</v>
      </c>
      <c r="M616" s="366">
        <f t="shared" si="199"/>
        <v>5680600</v>
      </c>
      <c r="N616" s="366">
        <f t="shared" si="199"/>
        <v>2600000</v>
      </c>
      <c r="O616" s="367">
        <f t="shared" si="199"/>
        <v>2250000</v>
      </c>
      <c r="Q616" s="4"/>
      <c r="R616" s="4"/>
    </row>
    <row r="617" spans="1:18" s="269" customFormat="1" ht="16.5" customHeight="1" thickBot="1">
      <c r="A617" s="383"/>
      <c r="B617" s="384" t="s">
        <v>379</v>
      </c>
      <c r="C617" s="385">
        <f>C72</f>
        <v>3360000</v>
      </c>
      <c r="D617" s="385">
        <f aca="true" t="shared" si="200" ref="D617:O617">D72</f>
        <v>0</v>
      </c>
      <c r="E617" s="385">
        <f t="shared" si="200"/>
        <v>0</v>
      </c>
      <c r="F617" s="385">
        <f t="shared" si="200"/>
        <v>3360000</v>
      </c>
      <c r="G617" s="385">
        <f t="shared" si="200"/>
        <v>0</v>
      </c>
      <c r="H617" s="385">
        <f t="shared" si="200"/>
        <v>0</v>
      </c>
      <c r="I617" s="385">
        <f t="shared" si="200"/>
        <v>0</v>
      </c>
      <c r="J617" s="385">
        <f t="shared" si="200"/>
        <v>0</v>
      </c>
      <c r="K617" s="385">
        <f t="shared" si="200"/>
        <v>0</v>
      </c>
      <c r="L617" s="385">
        <f t="shared" si="200"/>
        <v>0</v>
      </c>
      <c r="M617" s="385">
        <f t="shared" si="200"/>
        <v>0</v>
      </c>
      <c r="N617" s="385">
        <f t="shared" si="200"/>
        <v>0</v>
      </c>
      <c r="O617" s="386">
        <f t="shared" si="200"/>
        <v>0</v>
      </c>
      <c r="Q617" s="4"/>
      <c r="R617" s="4"/>
    </row>
    <row r="618" spans="1:15" ht="13.5" thickTop="1">
      <c r="A618" s="387"/>
      <c r="B618" s="388"/>
      <c r="C618" s="389"/>
      <c r="D618" s="389"/>
      <c r="E618" s="389"/>
      <c r="F618" s="389"/>
      <c r="G618" s="390"/>
      <c r="H618" s="389"/>
      <c r="I618" s="390"/>
      <c r="J618" s="389"/>
      <c r="K618" s="389"/>
      <c r="L618" s="389"/>
      <c r="M618" s="390"/>
      <c r="N618" s="389"/>
      <c r="O618" s="390"/>
    </row>
    <row r="620" ht="12.75">
      <c r="A620" s="210" t="s">
        <v>505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C26" sqref="C26"/>
    </sheetView>
  </sheetViews>
  <sheetFormatPr defaultColWidth="9.00390625" defaultRowHeight="12.75"/>
  <cols>
    <col min="1" max="1" width="5.375" style="0" customWidth="1"/>
    <col min="2" max="2" width="23.375" style="0" customWidth="1"/>
    <col min="3" max="4" width="22.625" style="0" customWidth="1"/>
  </cols>
  <sheetData>
    <row r="3" ht="18.75">
      <c r="A3" s="391" t="s">
        <v>474</v>
      </c>
    </row>
    <row r="4" ht="18.75">
      <c r="A4" s="392" t="s">
        <v>475</v>
      </c>
    </row>
    <row r="5" ht="18.75">
      <c r="A5" s="392" t="s">
        <v>476</v>
      </c>
    </row>
    <row r="7" ht="13.5" thickBot="1"/>
    <row r="8" spans="1:4" ht="29.25" customHeight="1" thickBot="1" thickTop="1">
      <c r="A8" s="393" t="s">
        <v>477</v>
      </c>
      <c r="B8" s="394" t="s">
        <v>12</v>
      </c>
      <c r="C8" s="394" t="s">
        <v>478</v>
      </c>
      <c r="D8" s="395" t="s">
        <v>479</v>
      </c>
    </row>
    <row r="9" spans="1:4" ht="12" customHeight="1" thickBot="1" thickTop="1">
      <c r="A9" s="396">
        <v>1</v>
      </c>
      <c r="B9" s="397">
        <v>2</v>
      </c>
      <c r="C9" s="397">
        <v>3</v>
      </c>
      <c r="D9" s="398">
        <v>4</v>
      </c>
    </row>
    <row r="10" spans="1:4" ht="18" customHeight="1" thickTop="1">
      <c r="A10" s="399" t="s">
        <v>480</v>
      </c>
      <c r="B10" s="400" t="s">
        <v>481</v>
      </c>
      <c r="C10" s="401">
        <v>18006602</v>
      </c>
      <c r="D10" s="402">
        <v>20295009</v>
      </c>
    </row>
    <row r="11" spans="1:4" ht="18" customHeight="1">
      <c r="A11" s="403" t="s">
        <v>482</v>
      </c>
      <c r="B11" s="404" t="s">
        <v>483</v>
      </c>
      <c r="C11" s="405">
        <v>23129257</v>
      </c>
      <c r="D11" s="406">
        <v>20539208</v>
      </c>
    </row>
    <row r="12" spans="1:4" ht="18" customHeight="1">
      <c r="A12" s="403" t="s">
        <v>484</v>
      </c>
      <c r="B12" s="404" t="s">
        <v>485</v>
      </c>
      <c r="C12" s="405">
        <v>24418088</v>
      </c>
      <c r="D12" s="406">
        <v>28818265</v>
      </c>
    </row>
    <row r="13" spans="1:4" ht="18" customHeight="1">
      <c r="A13" s="403" t="s">
        <v>486</v>
      </c>
      <c r="B13" s="404" t="s">
        <v>487</v>
      </c>
      <c r="C13" s="405">
        <v>18856144</v>
      </c>
      <c r="D13" s="406">
        <v>22753198</v>
      </c>
    </row>
    <row r="14" spans="1:4" ht="18" customHeight="1">
      <c r="A14" s="403" t="s">
        <v>488</v>
      </c>
      <c r="B14" s="404" t="s">
        <v>489</v>
      </c>
      <c r="C14" s="405">
        <v>19435482</v>
      </c>
      <c r="D14" s="406">
        <v>21658650</v>
      </c>
    </row>
    <row r="15" spans="1:4" ht="18" customHeight="1">
      <c r="A15" s="403" t="s">
        <v>490</v>
      </c>
      <c r="B15" s="404" t="s">
        <v>491</v>
      </c>
      <c r="C15" s="405">
        <v>32588802</v>
      </c>
      <c r="D15" s="406">
        <v>21669226</v>
      </c>
    </row>
    <row r="16" spans="1:4" ht="18" customHeight="1">
      <c r="A16" s="403" t="s">
        <v>492</v>
      </c>
      <c r="B16" s="404" t="s">
        <v>493</v>
      </c>
      <c r="C16" s="405">
        <v>18425427</v>
      </c>
      <c r="D16" s="406">
        <v>24986890</v>
      </c>
    </row>
    <row r="17" spans="1:4" ht="18" customHeight="1">
      <c r="A17" s="403" t="s">
        <v>494</v>
      </c>
      <c r="B17" s="404" t="s">
        <v>495</v>
      </c>
      <c r="C17" s="405">
        <v>18440662</v>
      </c>
      <c r="D17" s="406">
        <v>22743210</v>
      </c>
    </row>
    <row r="18" spans="1:4" ht="18" customHeight="1">
      <c r="A18" s="403" t="s">
        <v>496</v>
      </c>
      <c r="B18" s="404" t="s">
        <v>497</v>
      </c>
      <c r="C18" s="405">
        <v>22349896</v>
      </c>
      <c r="D18" s="406">
        <v>23425662</v>
      </c>
    </row>
    <row r="19" spans="1:4" ht="18" customHeight="1">
      <c r="A19" s="403" t="s">
        <v>498</v>
      </c>
      <c r="B19" s="404" t="s">
        <v>499</v>
      </c>
      <c r="C19" s="405">
        <v>19144774</v>
      </c>
      <c r="D19" s="406">
        <v>23584872</v>
      </c>
    </row>
    <row r="20" spans="1:4" ht="18" customHeight="1">
      <c r="A20" s="403" t="s">
        <v>500</v>
      </c>
      <c r="B20" s="404" t="s">
        <v>501</v>
      </c>
      <c r="C20" s="405">
        <v>19300669</v>
      </c>
      <c r="D20" s="406">
        <v>22086801</v>
      </c>
    </row>
    <row r="21" spans="1:4" ht="18" customHeight="1" thickBot="1">
      <c r="A21" s="407" t="s">
        <v>502</v>
      </c>
      <c r="B21" s="408" t="s">
        <v>503</v>
      </c>
      <c r="C21" s="409">
        <v>19479521</v>
      </c>
      <c r="D21" s="410">
        <v>19655733</v>
      </c>
    </row>
    <row r="22" spans="1:4" ht="23.25" customHeight="1" thickBot="1" thickTop="1">
      <c r="A22" s="411"/>
      <c r="B22" s="412" t="s">
        <v>504</v>
      </c>
      <c r="C22" s="413">
        <f>SUM(C10:C21)</f>
        <v>253575324</v>
      </c>
      <c r="D22" s="414">
        <f>SUM(D10:D21)</f>
        <v>272216724</v>
      </c>
    </row>
    <row r="23" ht="13.5" thickTop="1"/>
    <row r="24" s="419" customFormat="1" ht="12">
      <c r="A24" s="418"/>
    </row>
    <row r="25" ht="12.75">
      <c r="A25" s="420" t="s">
        <v>505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Anabelle Marcinczak</dc:creator>
  <cp:keywords/>
  <dc:description/>
  <cp:lastModifiedBy>Tomasz Sobieraj</cp:lastModifiedBy>
  <dcterms:created xsi:type="dcterms:W3CDTF">2005-04-22T12:34:00Z</dcterms:created>
  <dcterms:modified xsi:type="dcterms:W3CDTF">2005-04-25T11:32:31Z</dcterms:modified>
  <cp:category/>
  <cp:version/>
  <cp:contentType/>
  <cp:contentStatus/>
</cp:coreProperties>
</file>