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zał nr1" sheetId="1" r:id="rId1"/>
    <sheet name="zał nr 2" sheetId="2" r:id="rId2"/>
    <sheet name="zał nr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<sst xmlns="http://schemas.openxmlformats.org/spreadsheetml/2006/main" count="115" uniqueCount="78">
  <si>
    <t>Wyszczególnienie</t>
  </si>
  <si>
    <t>Realizu         jący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</si>
  <si>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</si>
  <si>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</si>
  <si>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</si>
  <si>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</si>
  <si>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</si>
  <si>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</si>
  <si>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</si>
  <si>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</si>
  <si>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</si>
  <si>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</si>
  <si>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</si>
  <si>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</si>
  <si>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</si>
  <si>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Dodatki mieszkaniowe</t>
  </si>
  <si>
    <t>OGÓŁEM</t>
  </si>
  <si>
    <t>Załącznik nr 3 do Zarządzenia</t>
  </si>
  <si>
    <t>Prezydenta Miasta Koszalina</t>
  </si>
  <si>
    <t>w tys. zł</t>
  </si>
  <si>
    <t>Miesiące</t>
  </si>
  <si>
    <t>L.p.</t>
  </si>
  <si>
    <t>NAZWA</t>
  </si>
  <si>
    <t xml:space="preserve">DOCHODY </t>
  </si>
  <si>
    <t xml:space="preserve">WYDATKI </t>
  </si>
  <si>
    <t>Deficyt narastająco</t>
  </si>
  <si>
    <t>Pokrycie deficytu:</t>
  </si>
  <si>
    <t>spłata rat kredytów i pożyczek</t>
  </si>
  <si>
    <t>nadwyżka z lat ubiegłych</t>
  </si>
  <si>
    <t xml:space="preserve">planowany kredyt </t>
  </si>
  <si>
    <t>Załącznik nr 2 do Zarządzenia</t>
  </si>
  <si>
    <t>Urząd Miejski</t>
  </si>
  <si>
    <t>Zarząd Dróg Miejskich</t>
  </si>
  <si>
    <t>Ośrodek Adopcyjno - Opiekuńczy</t>
  </si>
  <si>
    <t>Powiatowy Inspektorat Nadzoru Budowlanego</t>
  </si>
  <si>
    <t>Załącznik nr 1 do Zarządzenia</t>
  </si>
  <si>
    <t>L.p</t>
  </si>
  <si>
    <t xml:space="preserve">1 </t>
  </si>
  <si>
    <t xml:space="preserve">Zarząd Dróg Miejskich </t>
  </si>
  <si>
    <t>2</t>
  </si>
  <si>
    <t>Gminne i powiatowe jednostki oświatowe</t>
  </si>
  <si>
    <t>3</t>
  </si>
  <si>
    <t xml:space="preserve">Miejski Ośrodek Pomocy Społecznej i Ośrodek Adopcyjno-Opiekuńczy </t>
  </si>
  <si>
    <t>4</t>
  </si>
  <si>
    <t xml:space="preserve">Urząd Miejski </t>
  </si>
  <si>
    <t>5</t>
  </si>
  <si>
    <r>
      <t xml:space="preserve">Dotacje </t>
    </r>
    <r>
      <rPr>
        <sz val="10"/>
        <rFont val="Times New Roman CE"/>
        <family val="1"/>
      </rPr>
      <t xml:space="preserve">celowe otrzymane z budżetu państwa </t>
    </r>
  </si>
  <si>
    <t>6</t>
  </si>
  <si>
    <t>Subwencje</t>
  </si>
  <si>
    <t>7</t>
  </si>
  <si>
    <t>Udziały w podatkach</t>
  </si>
  <si>
    <t>Środki UE</t>
  </si>
  <si>
    <t xml:space="preserve">OGÓŁEM </t>
  </si>
  <si>
    <t>HARMONOGRAM  REALIZACJI PLANU  DOCHODÓW  MIASTA  KOSZALINA  NA 2007 ROK</t>
  </si>
  <si>
    <t>DOTACJE</t>
  </si>
  <si>
    <t>DOCHODY WŁASNE</t>
  </si>
  <si>
    <t>WYDATKI</t>
  </si>
  <si>
    <t>WYSZCZEGÓLNIENIE</t>
  </si>
  <si>
    <t>NA ZADANIA WŁASNE</t>
  </si>
  <si>
    <t>NA ZADANIA ZLEC. I POR.</t>
  </si>
  <si>
    <t>Miejski Ośrodek Pomocy Społecznej (bez dodatków mieszkaniowych)</t>
  </si>
  <si>
    <t>Rodzinne Domy Dziecka (Nr 2 i Nr 3)</t>
  </si>
  <si>
    <t>Powiatowy Inspektorat Weterynarii</t>
  </si>
  <si>
    <t>Komendy powiatowe Państwowej Straży Pożarnej</t>
  </si>
  <si>
    <t>Komenda Miejska Policji</t>
  </si>
  <si>
    <t>Oświata i wychowanie</t>
  </si>
  <si>
    <t>Edukacyjna opieka wychowawcza</t>
  </si>
  <si>
    <t>Zespół Obsługi Ekonomiczno-Administracyjnej Przedszkoli Miejskich</t>
  </si>
  <si>
    <t>Dożywianie uczniów</t>
  </si>
  <si>
    <t>Pomoc dla repatriantów</t>
  </si>
  <si>
    <t xml:space="preserve"> </t>
  </si>
  <si>
    <t>Deficyt/
nadwyżka</t>
  </si>
  <si>
    <t>PŁYNNOŚĆ   FINANSOWA   2007 ROK</t>
  </si>
  <si>
    <t>M  I  E S  I  Ą  C  E</t>
  </si>
  <si>
    <t xml:space="preserve"> HARMONOGRAM  REALIZACJI  PLANU  WYDATKÓW  MIASTA  KOSZALINA  NA  2007  ROK</t>
  </si>
  <si>
    <t>Plan           2007 r.</t>
  </si>
  <si>
    <t xml:space="preserve">Nr  42 / 160 / 07  </t>
  </si>
  <si>
    <t>z dnia  14 marca  2007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</si>
</sst>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21">
    <font>
      <sz val="10"/>
      <name val="Arial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sz val="8"/>
      <name val="Times New Roman CE"/>
      <family val="1"/>
    </font>
    <font>
      <b/>
      <sz val="6"/>
      <name val="Times New Roman CE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5" fontId="7" fillId="0" borderId="0" xfId="0" applyNumberFormat="1" applyFont="1" applyBorder="1" applyAlignment="1">
      <alignment horizontal="centerContinuous" vertical="center"/>
    </xf>
    <xf numFmtId="1" fontId="7" fillId="0" borderId="0" xfId="0" applyNumberFormat="1" applyFont="1" applyBorder="1" applyAlignment="1">
      <alignment horizontal="centerContinuous" vertical="center"/>
    </xf>
    <xf numFmtId="165" fontId="7" fillId="0" borderId="0" xfId="0" applyNumberFormat="1" applyFont="1" applyBorder="1" applyAlignment="1">
      <alignment horizontal="centerContinuous" vertical="center" wrapText="1"/>
    </xf>
    <xf numFmtId="165" fontId="7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Border="1" applyAlignment="1">
      <alignment/>
    </xf>
    <xf numFmtId="165" fontId="8" fillId="0" borderId="3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0" fontId="8" fillId="2" borderId="5" xfId="0" applyNumberFormat="1" applyFont="1" applyFill="1" applyBorder="1" applyAlignment="1" applyProtection="1">
      <alignment horizontal="centerContinuous" wrapText="1"/>
      <protection locked="0"/>
    </xf>
    <xf numFmtId="0" fontId="3" fillId="2" borderId="5" xfId="0" applyNumberFormat="1" applyFont="1" applyFill="1" applyBorder="1" applyAlignment="1" applyProtection="1">
      <alignment horizontal="centerContinuous" wrapText="1"/>
      <protection locked="0"/>
    </xf>
    <xf numFmtId="0" fontId="8" fillId="2" borderId="6" xfId="0" applyNumberFormat="1" applyFont="1" applyFill="1" applyBorder="1" applyAlignment="1" applyProtection="1">
      <alignment horizontal="centerContinuous" wrapText="1"/>
      <protection locked="0"/>
    </xf>
    <xf numFmtId="0" fontId="8" fillId="2" borderId="5" xfId="0" applyNumberFormat="1" applyFont="1" applyFill="1" applyBorder="1" applyAlignment="1" applyProtection="1">
      <alignment horizontal="centerContinuous" vertical="center"/>
      <protection locked="0"/>
    </xf>
    <xf numFmtId="0" fontId="3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0" xfId="0" applyFont="1" applyAlignment="1">
      <alignment/>
    </xf>
    <xf numFmtId="1" fontId="8" fillId="0" borderId="7" xfId="0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18" applyNumberFormat="1" applyFont="1" applyFill="1" applyBorder="1" applyAlignment="1" applyProtection="1">
      <alignment horizontal="center" vertical="top" wrapText="1"/>
      <protection locked="0"/>
    </xf>
    <xf numFmtId="165" fontId="8" fillId="0" borderId="9" xfId="18" applyNumberFormat="1" applyFont="1" applyFill="1" applyBorder="1" applyAlignment="1" applyProtection="1">
      <alignment horizontal="center" vertical="top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165" fontId="6" fillId="0" borderId="21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2" borderId="25" xfId="0" applyNumberFormat="1" applyFont="1" applyFill="1" applyBorder="1" applyAlignment="1" applyProtection="1">
      <alignment horizontal="centerContinuous" wrapText="1"/>
      <protection locked="0"/>
    </xf>
    <xf numFmtId="49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17" fillId="0" borderId="0" xfId="0" applyNumberFormat="1" applyFont="1" applyFill="1" applyBorder="1" applyAlignment="1" applyProtection="1">
      <alignment horizontal="centerContinuous"/>
      <protection locked="0"/>
    </xf>
    <xf numFmtId="1" fontId="17" fillId="0" borderId="0" xfId="0" applyNumberFormat="1" applyFont="1" applyFill="1" applyBorder="1" applyAlignment="1" applyProtection="1">
      <alignment horizontal="centerContinuous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9" fontId="8" fillId="2" borderId="26" xfId="0" applyNumberFormat="1" applyFont="1" applyFill="1" applyBorder="1" applyAlignment="1" applyProtection="1">
      <alignment horizontal="center" wrapText="1"/>
      <protection locked="0"/>
    </xf>
    <xf numFmtId="0" fontId="8" fillId="2" borderId="3" xfId="0" applyNumberFormat="1" applyFont="1" applyFill="1" applyBorder="1" applyAlignment="1" applyProtection="1">
      <alignment horizontal="center" wrapText="1"/>
      <protection locked="0"/>
    </xf>
    <xf numFmtId="0" fontId="16" fillId="2" borderId="2" xfId="0" applyNumberFormat="1" applyFont="1" applyFill="1" applyBorder="1" applyAlignment="1" applyProtection="1">
      <alignment horizontal="center" wrapText="1"/>
      <protection locked="0"/>
    </xf>
    <xf numFmtId="0" fontId="8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164" fontId="8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164" fontId="8" fillId="2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8" xfId="0" applyNumberFormat="1" applyFont="1" applyFill="1" applyBorder="1" applyAlignment="1" applyProtection="1">
      <alignment horizontal="center" vertical="top" wrapText="1"/>
      <protection locked="0"/>
    </xf>
    <xf numFmtId="0" fontId="16" fillId="2" borderId="7" xfId="0" applyNumberFormat="1" applyFont="1" applyFill="1" applyBorder="1" applyAlignment="1" applyProtection="1">
      <alignment horizontal="center" vertical="top" wrapText="1"/>
      <protection locked="0"/>
    </xf>
    <xf numFmtId="0" fontId="8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33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49" fontId="5" fillId="0" borderId="3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35" xfId="0" applyNumberFormat="1" applyFont="1" applyFill="1" applyBorder="1" applyAlignment="1" applyProtection="1">
      <alignment vertical="center" wrapText="1"/>
      <protection locked="0"/>
    </xf>
    <xf numFmtId="0" fontId="1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49" fontId="5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9" xfId="0" applyNumberFormat="1" applyFont="1" applyFill="1" applyBorder="1" applyAlignment="1" applyProtection="1">
      <alignment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vertical="center" wrapText="1"/>
      <protection locked="0"/>
    </xf>
    <xf numFmtId="3" fontId="16" fillId="0" borderId="38" xfId="0" applyNumberFormat="1" applyFont="1" applyFill="1" applyBorder="1" applyAlignment="1" applyProtection="1">
      <alignment vertical="center" wrapText="1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0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5" fillId="0" borderId="8" xfId="0" applyNumberFormat="1" applyFont="1" applyFill="1" applyBorder="1" applyAlignment="1" applyProtection="1">
      <alignment vertical="center" wrapText="1"/>
      <protection locked="0"/>
    </xf>
    <xf numFmtId="0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4" xfId="0" applyNumberFormat="1" applyFont="1" applyFill="1" applyBorder="1" applyAlignment="1" applyProtection="1">
      <alignment vertical="center" wrapText="1"/>
      <protection locked="0"/>
    </xf>
    <xf numFmtId="3" fontId="16" fillId="0" borderId="28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horizontal="centerContinuous" vertical="center"/>
      <protection locked="0"/>
    </xf>
    <xf numFmtId="3" fontId="8" fillId="0" borderId="19" xfId="0" applyNumberFormat="1" applyFont="1" applyFill="1" applyBorder="1" applyAlignment="1" applyProtection="1">
      <alignment vertical="center" wrapText="1"/>
      <protection locked="0"/>
    </xf>
    <xf numFmtId="3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8" xfId="0" applyNumberFormat="1" applyFont="1" applyFill="1" applyBorder="1" applyAlignment="1" applyProtection="1">
      <alignment vertical="center" wrapText="1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2" borderId="17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8" xfId="0" applyNumberFormat="1" applyFont="1" applyFill="1" applyBorder="1" applyAlignment="1" applyProtection="1">
      <alignment horizontal="center" vertical="top" wrapText="1"/>
      <protection locked="0"/>
    </xf>
    <xf numFmtId="3" fontId="6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left" vertical="center" wrapText="1"/>
    </xf>
    <xf numFmtId="3" fontId="6" fillId="0" borderId="42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12" fillId="0" borderId="44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left" vertical="center" wrapText="1"/>
    </xf>
    <xf numFmtId="3" fontId="13" fillId="0" borderId="46" xfId="0" applyNumberFormat="1" applyFont="1" applyBorder="1" applyAlignment="1">
      <alignment horizontal="left" vertical="center" wrapText="1"/>
    </xf>
    <xf numFmtId="3" fontId="12" fillId="0" borderId="47" xfId="0" applyNumberFormat="1" applyFont="1" applyBorder="1" applyAlignment="1">
      <alignment horizontal="center" vertical="center"/>
    </xf>
    <xf numFmtId="3" fontId="12" fillId="0" borderId="48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46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5" fillId="0" borderId="26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3" fontId="15" fillId="0" borderId="50" xfId="0" applyNumberFormat="1" applyFont="1" applyBorder="1" applyAlignment="1">
      <alignment vertical="center" wrapText="1"/>
    </xf>
    <xf numFmtId="0" fontId="3" fillId="0" borderId="43" xfId="0" applyFont="1" applyBorder="1" applyAlignment="1">
      <alignment horizontal="center" wrapText="1"/>
    </xf>
    <xf numFmtId="0" fontId="8" fillId="0" borderId="4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3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55" xfId="0" applyNumberFormat="1" applyFont="1" applyBorder="1" applyAlignment="1">
      <alignment horizontal="center" vertical="center"/>
    </xf>
    <xf numFmtId="3" fontId="11" fillId="0" borderId="56" xfId="0" applyNumberFormat="1" applyFont="1" applyBorder="1" applyAlignment="1">
      <alignment horizontal="left" vertical="center" wrapText="1"/>
    </xf>
    <xf numFmtId="3" fontId="11" fillId="0" borderId="57" xfId="0" applyNumberFormat="1" applyFont="1" applyBorder="1" applyAlignment="1">
      <alignment horizontal="left" vertical="center" wrapText="1"/>
    </xf>
    <xf numFmtId="3" fontId="6" fillId="0" borderId="58" xfId="0" applyNumberFormat="1" applyFont="1" applyBorder="1" applyAlignment="1">
      <alignment horizontal="center" vertical="center"/>
    </xf>
    <xf numFmtId="3" fontId="11" fillId="0" borderId="59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left" vertical="center" wrapText="1"/>
    </xf>
    <xf numFmtId="3" fontId="11" fillId="0" borderId="60" xfId="0" applyNumberFormat="1" applyFont="1" applyBorder="1" applyAlignment="1">
      <alignment horizontal="left" vertical="center" wrapText="1"/>
    </xf>
    <xf numFmtId="3" fontId="6" fillId="0" borderId="61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63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3" fontId="15" fillId="0" borderId="5" xfId="0" applyNumberFormat="1" applyFont="1" applyBorder="1" applyAlignment="1">
      <alignment vertical="center" wrapText="1"/>
    </xf>
    <xf numFmtId="3" fontId="15" fillId="0" borderId="64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3" fontId="15" fillId="0" borderId="64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vertical="center" wrapText="1"/>
    </xf>
    <xf numFmtId="3" fontId="15" fillId="0" borderId="39" xfId="0" applyNumberFormat="1" applyFont="1" applyBorder="1" applyAlignment="1">
      <alignment vertical="center" wrapText="1"/>
    </xf>
    <xf numFmtId="3" fontId="15" fillId="0" borderId="24" xfId="0" applyNumberFormat="1" applyFont="1" applyBorder="1" applyAlignment="1">
      <alignment vertical="center" wrapText="1"/>
    </xf>
    <xf numFmtId="3" fontId="5" fillId="0" borderId="39" xfId="0" applyNumberFormat="1" applyFont="1" applyBorder="1" applyAlignment="1">
      <alignment vertical="center"/>
    </xf>
    <xf numFmtId="3" fontId="5" fillId="0" borderId="66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0" fontId="18" fillId="0" borderId="39" xfId="0" applyFont="1" applyBorder="1" applyAlignment="1">
      <alignment vertical="center" wrapText="1"/>
    </xf>
    <xf numFmtId="3" fontId="18" fillId="0" borderId="39" xfId="0" applyNumberFormat="1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/>
    </xf>
    <xf numFmtId="3" fontId="15" fillId="0" borderId="59" xfId="0" applyNumberFormat="1" applyFont="1" applyBorder="1" applyAlignment="1">
      <alignment vertical="center"/>
    </xf>
    <xf numFmtId="3" fontId="15" fillId="0" borderId="67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5" fillId="0" borderId="63" xfId="0" applyNumberFormat="1" applyFont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0" fontId="8" fillId="0" borderId="56" xfId="0" applyFont="1" applyBorder="1" applyAlignment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wrapText="1"/>
      <protection locked="0"/>
    </xf>
    <xf numFmtId="0" fontId="20" fillId="0" borderId="54" xfId="0" applyNumberFormat="1" applyFont="1" applyFill="1" applyBorder="1" applyAlignment="1" applyProtection="1">
      <alignment horizontal="center" wrapText="1"/>
      <protection locked="0"/>
    </xf>
    <xf numFmtId="0" fontId="20" fillId="0" borderId="15" xfId="0" applyNumberFormat="1" applyFont="1" applyFill="1" applyBorder="1" applyAlignment="1" applyProtection="1">
      <alignment horizontal="centerContinuous" wrapText="1"/>
      <protection locked="0"/>
    </xf>
    <xf numFmtId="0" fontId="20" fillId="0" borderId="50" xfId="0" applyNumberFormat="1" applyFont="1" applyFill="1" applyBorder="1" applyAlignment="1" applyProtection="1">
      <alignment horizontal="centerContinuous" wrapText="1"/>
      <protection locked="0"/>
    </xf>
    <xf numFmtId="164" fontId="20" fillId="0" borderId="50" xfId="0" applyNumberFormat="1" applyFont="1" applyFill="1" applyBorder="1" applyAlignment="1" applyProtection="1">
      <alignment horizontal="centerContinuous" vertical="center" wrapText="1"/>
      <protection locked="0"/>
    </xf>
    <xf numFmtId="164" fontId="20" fillId="0" borderId="54" xfId="0" applyNumberFormat="1" applyFont="1" applyFill="1" applyBorder="1" applyAlignment="1" applyProtection="1">
      <alignment horizontal="centerContinuous" vertical="center" wrapText="1"/>
      <protection locked="0"/>
    </xf>
    <xf numFmtId="164" fontId="20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5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LIWAK\PlFinUM\PL_FIN_2007\projekt%20Plfinan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"/>
      <sheetName val="Jednostki"/>
      <sheetName val="Zał4-801"/>
      <sheetName val="Szkoły 80120-4a"/>
      <sheetName val="Szkoły 80130-4b"/>
      <sheetName val="PU-10"/>
      <sheetName val="pozostałe-PU-10a"/>
    </sheetNames>
    <sheetDataSet>
      <sheetData sheetId="0">
        <row r="1606">
          <cell r="K1606">
            <v>1122000</v>
          </cell>
        </row>
        <row r="1608">
          <cell r="H1608">
            <v>149443916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F1">
      <selection activeCell="O20" sqref="O20"/>
    </sheetView>
  </sheetViews>
  <sheetFormatPr defaultColWidth="9.00390625" defaultRowHeight="12.75"/>
  <cols>
    <col min="1" max="1" width="4.75390625" style="1" customWidth="1"/>
    <col min="2" max="2" width="16.625" style="2" customWidth="1"/>
    <col min="3" max="3" width="4.25390625" style="3" hidden="1" customWidth="1"/>
    <col min="4" max="4" width="9.25390625" style="2" customWidth="1"/>
    <col min="5" max="5" width="9.375" style="2" customWidth="1"/>
    <col min="6" max="6" width="10.125" style="2" customWidth="1"/>
    <col min="7" max="8" width="9.25390625" style="2" customWidth="1"/>
    <col min="9" max="9" width="9.375" style="2" customWidth="1"/>
    <col min="10" max="10" width="9.00390625" style="2" customWidth="1"/>
    <col min="11" max="11" width="8.875" style="2" customWidth="1"/>
    <col min="12" max="15" width="9.25390625" style="2" customWidth="1"/>
    <col min="16" max="16" width="11.875" style="2" hidden="1" customWidth="1"/>
    <col min="17" max="17" width="11.125" style="116" customWidth="1"/>
    <col min="18" max="16384" width="9.125" style="2" customWidth="1"/>
  </cols>
  <sheetData>
    <row r="1" spans="13:15" ht="12.75">
      <c r="M1" s="15"/>
      <c r="N1" s="19" t="s">
        <v>35</v>
      </c>
      <c r="O1" s="4"/>
    </row>
    <row r="2" spans="13:17" ht="12.75">
      <c r="M2" s="15"/>
      <c r="N2" s="20" t="s">
        <v>76</v>
      </c>
      <c r="O2" s="4"/>
      <c r="Q2" s="117"/>
    </row>
    <row r="3" spans="13:17" ht="12.75">
      <c r="M3" s="15"/>
      <c r="N3" s="20" t="s">
        <v>18</v>
      </c>
      <c r="O3" s="4"/>
      <c r="Q3" s="117"/>
    </row>
    <row r="4" spans="1:1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5"/>
      <c r="N4" s="20" t="s">
        <v>77</v>
      </c>
      <c r="O4" s="7"/>
      <c r="Q4" s="117"/>
    </row>
    <row r="5" spans="1:17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5"/>
      <c r="N5" s="20"/>
      <c r="O5" s="7"/>
      <c r="Q5" s="117"/>
    </row>
    <row r="6" spans="1:17" s="64" customFormat="1" ht="16.5">
      <c r="A6" s="60" t="s">
        <v>53</v>
      </c>
      <c r="B6" s="61"/>
      <c r="C6" s="62"/>
      <c r="D6" s="61"/>
      <c r="E6" s="61"/>
      <c r="F6" s="61"/>
      <c r="G6" s="61"/>
      <c r="H6" s="61"/>
      <c r="I6" s="61"/>
      <c r="J6" s="61"/>
      <c r="K6" s="61"/>
      <c r="L6" s="61"/>
      <c r="M6" s="63"/>
      <c r="N6" s="63"/>
      <c r="O6" s="63"/>
      <c r="Q6" s="117"/>
    </row>
    <row r="7" spans="1:17" s="8" customFormat="1" ht="24" customHeight="1" thickBot="1">
      <c r="A7" s="9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  <c r="M7" s="7"/>
      <c r="N7" s="7"/>
      <c r="O7" s="12"/>
      <c r="Q7" s="25" t="s">
        <v>19</v>
      </c>
    </row>
    <row r="8" spans="1:17" s="71" customFormat="1" ht="18.75" customHeight="1" thickTop="1">
      <c r="A8" s="65"/>
      <c r="B8" s="66"/>
      <c r="C8" s="67" t="s">
        <v>1</v>
      </c>
      <c r="D8" s="59" t="s">
        <v>20</v>
      </c>
      <c r="E8" s="29"/>
      <c r="F8" s="29"/>
      <c r="G8" s="31"/>
      <c r="H8" s="32"/>
      <c r="I8" s="68"/>
      <c r="J8" s="29"/>
      <c r="K8" s="29"/>
      <c r="L8" s="29"/>
      <c r="M8" s="69"/>
      <c r="N8" s="69"/>
      <c r="O8" s="70"/>
      <c r="Q8" s="235" t="s">
        <v>75</v>
      </c>
    </row>
    <row r="9" spans="1:17" s="81" customFormat="1" ht="25.5" customHeight="1" thickBot="1">
      <c r="A9" s="72" t="s">
        <v>36</v>
      </c>
      <c r="B9" s="123" t="s">
        <v>0</v>
      </c>
      <c r="C9" s="73" t="s">
        <v>2</v>
      </c>
      <c r="D9" s="74" t="s">
        <v>3</v>
      </c>
      <c r="E9" s="75" t="s">
        <v>4</v>
      </c>
      <c r="F9" s="75" t="s">
        <v>5</v>
      </c>
      <c r="G9" s="76" t="s">
        <v>6</v>
      </c>
      <c r="H9" s="77" t="s">
        <v>7</v>
      </c>
      <c r="I9" s="77" t="s">
        <v>8</v>
      </c>
      <c r="J9" s="77" t="s">
        <v>9</v>
      </c>
      <c r="K9" s="77" t="s">
        <v>10</v>
      </c>
      <c r="L9" s="78" t="s">
        <v>11</v>
      </c>
      <c r="M9" s="78" t="s">
        <v>12</v>
      </c>
      <c r="N9" s="79" t="s">
        <v>13</v>
      </c>
      <c r="O9" s="80" t="s">
        <v>14</v>
      </c>
      <c r="Q9" s="236"/>
    </row>
    <row r="10" spans="1:17" s="89" customFormat="1" ht="11.25" customHeight="1" thickBot="1" thickTop="1">
      <c r="A10" s="82">
        <v>1</v>
      </c>
      <c r="B10" s="83">
        <v>2</v>
      </c>
      <c r="C10" s="84">
        <v>3</v>
      </c>
      <c r="D10" s="85">
        <v>3</v>
      </c>
      <c r="E10" s="86">
        <v>4</v>
      </c>
      <c r="F10" s="86">
        <v>5</v>
      </c>
      <c r="G10" s="86">
        <v>6</v>
      </c>
      <c r="H10" s="86">
        <v>7</v>
      </c>
      <c r="I10" s="86">
        <v>8</v>
      </c>
      <c r="J10" s="86">
        <v>9</v>
      </c>
      <c r="K10" s="86">
        <v>10</v>
      </c>
      <c r="L10" s="86">
        <v>11</v>
      </c>
      <c r="M10" s="86">
        <v>12</v>
      </c>
      <c r="N10" s="83">
        <v>13</v>
      </c>
      <c r="O10" s="87">
        <v>14</v>
      </c>
      <c r="P10" s="88"/>
      <c r="Q10" s="118">
        <v>15</v>
      </c>
    </row>
    <row r="11" spans="1:17" s="94" customFormat="1" ht="24" customHeight="1" thickTop="1">
      <c r="A11" s="90" t="s">
        <v>37</v>
      </c>
      <c r="B11" s="91" t="s">
        <v>38</v>
      </c>
      <c r="C11" s="92"/>
      <c r="D11" s="106">
        <v>3810</v>
      </c>
      <c r="E11" s="106">
        <v>3290</v>
      </c>
      <c r="F11" s="106">
        <v>3310</v>
      </c>
      <c r="G11" s="106">
        <v>3290</v>
      </c>
      <c r="H11" s="106">
        <v>3290</v>
      </c>
      <c r="I11" s="106">
        <v>3290</v>
      </c>
      <c r="J11" s="106">
        <v>3290</v>
      </c>
      <c r="K11" s="106">
        <v>3290</v>
      </c>
      <c r="L11" s="106">
        <v>3290</v>
      </c>
      <c r="M11" s="106">
        <v>3290</v>
      </c>
      <c r="N11" s="106">
        <v>3290</v>
      </c>
      <c r="O11" s="106">
        <v>3290</v>
      </c>
      <c r="P11" s="93"/>
      <c r="Q11" s="119">
        <f>SUM(D11:O11)</f>
        <v>40020</v>
      </c>
    </row>
    <row r="12" spans="1:17" s="98" customFormat="1" ht="28.5" customHeight="1">
      <c r="A12" s="95" t="s">
        <v>39</v>
      </c>
      <c r="B12" s="96" t="s">
        <v>40</v>
      </c>
      <c r="C12" s="97"/>
      <c r="D12" s="100">
        <v>96953</v>
      </c>
      <c r="E12" s="100">
        <v>96963</v>
      </c>
      <c r="F12" s="100">
        <v>96963</v>
      </c>
      <c r="G12" s="100">
        <v>96983</v>
      </c>
      <c r="H12" s="100">
        <v>96993</v>
      </c>
      <c r="I12" s="100">
        <v>118249</v>
      </c>
      <c r="J12" s="100">
        <v>123357</v>
      </c>
      <c r="K12" s="100">
        <v>119826</v>
      </c>
      <c r="L12" s="100">
        <v>105256</v>
      </c>
      <c r="M12" s="100">
        <v>88906</v>
      </c>
      <c r="N12" s="100">
        <v>88821</v>
      </c>
      <c r="O12" s="100">
        <v>90980</v>
      </c>
      <c r="P12" s="101"/>
      <c r="Q12" s="120">
        <f aca="true" t="shared" si="0" ref="Q12:Q18">SUM(D12:O12)</f>
        <v>1220250</v>
      </c>
    </row>
    <row r="13" spans="1:17" s="98" customFormat="1" ht="53.25" customHeight="1">
      <c r="A13" s="95" t="s">
        <v>41</v>
      </c>
      <c r="B13" s="96" t="s">
        <v>42</v>
      </c>
      <c r="C13" s="97"/>
      <c r="D13" s="100">
        <v>20330</v>
      </c>
      <c r="E13" s="100">
        <v>20330</v>
      </c>
      <c r="F13" s="100">
        <v>20330</v>
      </c>
      <c r="G13" s="100">
        <v>20330</v>
      </c>
      <c r="H13" s="100">
        <v>20330</v>
      </c>
      <c r="I13" s="100">
        <v>19830</v>
      </c>
      <c r="J13" s="100">
        <v>18580</v>
      </c>
      <c r="K13" s="100">
        <v>20580</v>
      </c>
      <c r="L13" s="100">
        <v>20330</v>
      </c>
      <c r="M13" s="100">
        <v>18330</v>
      </c>
      <c r="N13" s="100">
        <v>15650</v>
      </c>
      <c r="O13" s="100">
        <v>16550</v>
      </c>
      <c r="P13" s="101"/>
      <c r="Q13" s="120">
        <f t="shared" si="0"/>
        <v>231500</v>
      </c>
    </row>
    <row r="14" spans="1:17" s="94" customFormat="1" ht="21" customHeight="1">
      <c r="A14" s="95" t="s">
        <v>43</v>
      </c>
      <c r="B14" s="99" t="s">
        <v>44</v>
      </c>
      <c r="C14" s="102"/>
      <c r="D14" s="100">
        <v>5408740</v>
      </c>
      <c r="E14" s="100">
        <v>5842640</v>
      </c>
      <c r="F14" s="100">
        <v>9548390</v>
      </c>
      <c r="G14" s="100">
        <v>4708140</v>
      </c>
      <c r="H14" s="100">
        <v>6181870</v>
      </c>
      <c r="I14" s="100">
        <v>4803694</v>
      </c>
      <c r="J14" s="100">
        <v>4006786</v>
      </c>
      <c r="K14" s="100">
        <v>3922490</v>
      </c>
      <c r="L14" s="100">
        <v>7378640</v>
      </c>
      <c r="M14" s="100">
        <v>4583900</v>
      </c>
      <c r="N14" s="100">
        <v>7063880</v>
      </c>
      <c r="O14" s="100">
        <v>5678010</v>
      </c>
      <c r="P14" s="115"/>
      <c r="Q14" s="120">
        <f t="shared" si="0"/>
        <v>69127180</v>
      </c>
    </row>
    <row r="15" spans="1:17" s="98" customFormat="1" ht="39" customHeight="1">
      <c r="A15" s="95" t="s">
        <v>45</v>
      </c>
      <c r="B15" s="96" t="s">
        <v>46</v>
      </c>
      <c r="C15" s="97"/>
      <c r="D15" s="100">
        <v>2978410</v>
      </c>
      <c r="E15" s="100">
        <v>2996910</v>
      </c>
      <c r="F15" s="100">
        <v>2995077</v>
      </c>
      <c r="G15" s="100">
        <v>3592600</v>
      </c>
      <c r="H15" s="100">
        <v>3007300</v>
      </c>
      <c r="I15" s="100">
        <v>3006467</v>
      </c>
      <c r="J15" s="100">
        <v>2952100</v>
      </c>
      <c r="K15" s="100">
        <v>2927100</v>
      </c>
      <c r="L15" s="100">
        <v>2977300</v>
      </c>
      <c r="M15" s="100">
        <v>2977310</v>
      </c>
      <c r="N15" s="100">
        <v>2979080</v>
      </c>
      <c r="O15" s="114">
        <v>2978580</v>
      </c>
      <c r="P15" s="101"/>
      <c r="Q15" s="120">
        <f t="shared" si="0"/>
        <v>36368234</v>
      </c>
    </row>
    <row r="16" spans="1:17" s="112" customFormat="1" ht="21.75" customHeight="1">
      <c r="A16" s="109" t="s">
        <v>47</v>
      </c>
      <c r="B16" s="110" t="s">
        <v>48</v>
      </c>
      <c r="C16" s="111"/>
      <c r="D16" s="100">
        <v>6175270</v>
      </c>
      <c r="E16" s="100">
        <v>6175270</v>
      </c>
      <c r="F16" s="100">
        <v>11843970</v>
      </c>
      <c r="G16" s="100">
        <v>6175170</v>
      </c>
      <c r="H16" s="100">
        <v>6175170</v>
      </c>
      <c r="I16" s="100">
        <v>6175170</v>
      </c>
      <c r="J16" s="100">
        <v>6175170</v>
      </c>
      <c r="K16" s="100">
        <v>6175170</v>
      </c>
      <c r="L16" s="100">
        <v>6175170</v>
      </c>
      <c r="M16" s="100">
        <v>6175370</v>
      </c>
      <c r="N16" s="100">
        <v>6175370</v>
      </c>
      <c r="O16" s="100">
        <v>6175476</v>
      </c>
      <c r="P16" s="101">
        <f>SUM(G16:O16)</f>
        <v>55577236</v>
      </c>
      <c r="Q16" s="120">
        <f t="shared" si="0"/>
        <v>79771746</v>
      </c>
    </row>
    <row r="17" spans="1:17" s="94" customFormat="1" ht="21.75" customHeight="1">
      <c r="A17" s="95" t="s">
        <v>49</v>
      </c>
      <c r="B17" s="96" t="s">
        <v>50</v>
      </c>
      <c r="C17" s="102"/>
      <c r="D17" s="100">
        <v>8052700</v>
      </c>
      <c r="E17" s="100">
        <v>8052700</v>
      </c>
      <c r="F17" s="100">
        <v>8052700</v>
      </c>
      <c r="G17" s="100">
        <v>8052700</v>
      </c>
      <c r="H17" s="100">
        <v>8052700</v>
      </c>
      <c r="I17" s="100">
        <v>8052700</v>
      </c>
      <c r="J17" s="100">
        <v>8052700</v>
      </c>
      <c r="K17" s="100">
        <v>8052700</v>
      </c>
      <c r="L17" s="100">
        <v>8052700</v>
      </c>
      <c r="M17" s="100">
        <v>8052700</v>
      </c>
      <c r="N17" s="100">
        <v>8053100</v>
      </c>
      <c r="O17" s="100">
        <v>8053073</v>
      </c>
      <c r="P17" s="101">
        <f>SUM(G17:O17)</f>
        <v>72475073</v>
      </c>
      <c r="Q17" s="120">
        <f t="shared" si="0"/>
        <v>96633173</v>
      </c>
    </row>
    <row r="18" spans="1:17" s="94" customFormat="1" ht="24" customHeight="1" thickBot="1">
      <c r="A18" s="103" t="s">
        <v>47</v>
      </c>
      <c r="B18" s="104" t="s">
        <v>51</v>
      </c>
      <c r="C18" s="105"/>
      <c r="D18" s="107">
        <v>47540</v>
      </c>
      <c r="E18" s="107">
        <v>47540</v>
      </c>
      <c r="F18" s="107">
        <v>47540</v>
      </c>
      <c r="G18" s="107">
        <v>47540</v>
      </c>
      <c r="H18" s="107">
        <v>46363</v>
      </c>
      <c r="I18" s="107">
        <v>623482</v>
      </c>
      <c r="J18" s="107">
        <v>200000</v>
      </c>
      <c r="K18" s="107">
        <v>200000</v>
      </c>
      <c r="L18" s="107">
        <v>500000</v>
      </c>
      <c r="M18" s="107">
        <v>1200000</v>
      </c>
      <c r="N18" s="107">
        <v>1200000</v>
      </c>
      <c r="O18" s="107">
        <v>1503048</v>
      </c>
      <c r="P18" s="108">
        <f>SUM(G18:O18)</f>
        <v>5520433</v>
      </c>
      <c r="Q18" s="121">
        <f t="shared" si="0"/>
        <v>5663053</v>
      </c>
    </row>
    <row r="19" spans="1:17" s="14" customFormat="1" ht="18.75" customHeight="1" thickBot="1" thickTop="1">
      <c r="A19" s="237" t="s">
        <v>52</v>
      </c>
      <c r="B19" s="238"/>
      <c r="C19" s="113"/>
      <c r="D19" s="13">
        <f>SUM(D11:D18)</f>
        <v>22783753</v>
      </c>
      <c r="E19" s="13">
        <f aca="true" t="shared" si="1" ref="E19:L19">SUM(E11:E18)</f>
        <v>23235643</v>
      </c>
      <c r="F19" s="13">
        <f t="shared" si="1"/>
        <v>32608280</v>
      </c>
      <c r="G19" s="13">
        <f t="shared" si="1"/>
        <v>22696753</v>
      </c>
      <c r="H19" s="13">
        <f t="shared" si="1"/>
        <v>23584016</v>
      </c>
      <c r="I19" s="13">
        <f t="shared" si="1"/>
        <v>22802882</v>
      </c>
      <c r="J19" s="13">
        <f t="shared" si="1"/>
        <v>21531983</v>
      </c>
      <c r="K19" s="13">
        <f t="shared" si="1"/>
        <v>21421156</v>
      </c>
      <c r="L19" s="13">
        <f t="shared" si="1"/>
        <v>25212686</v>
      </c>
      <c r="M19" s="13">
        <f>SUM(M11:M18)</f>
        <v>23099806</v>
      </c>
      <c r="N19" s="13">
        <f>SUM(N11:N18)</f>
        <v>25579191</v>
      </c>
      <c r="O19" s="13">
        <f>SUM(O11:O18)</f>
        <v>24499007</v>
      </c>
      <c r="Q19" s="122">
        <f>SUM(D19:O19)</f>
        <v>289055156</v>
      </c>
    </row>
    <row r="20" ht="13.5" thickTop="1"/>
  </sheetData>
  <mergeCells count="2">
    <mergeCell ref="Q8:Q9"/>
    <mergeCell ref="A19:B19"/>
  </mergeCells>
  <printOptions/>
  <pageMargins left="0.27" right="0.3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3">
      <selection activeCell="Q5" sqref="Q5"/>
    </sheetView>
  </sheetViews>
  <sheetFormatPr defaultColWidth="9.00390625" defaultRowHeight="12.75"/>
  <cols>
    <col min="1" max="1" width="4.625" style="140" customWidth="1"/>
    <col min="2" max="2" width="25.125" style="141" customWidth="1"/>
    <col min="3" max="3" width="12.375" style="142" hidden="1" customWidth="1"/>
    <col min="4" max="4" width="12.75390625" style="141" hidden="1" customWidth="1"/>
    <col min="5" max="5" width="11.75390625" style="143" hidden="1" customWidth="1"/>
    <col min="6" max="6" width="11.25390625" style="143" hidden="1" customWidth="1"/>
    <col min="7" max="7" width="12.25390625" style="144" customWidth="1"/>
    <col min="8" max="18" width="9.875" style="143" bestFit="1" customWidth="1"/>
    <col min="19" max="19" width="9.875" style="143" customWidth="1"/>
    <col min="20" max="20" width="9.125" style="143" customWidth="1"/>
    <col min="21" max="21" width="10.125" style="143" bestFit="1" customWidth="1"/>
    <col min="22" max="22" width="9.625" style="143" bestFit="1" customWidth="1"/>
    <col min="23" max="16384" width="9.125" style="143" customWidth="1"/>
  </cols>
  <sheetData>
    <row r="1" ht="12.75">
      <c r="Q1" s="19" t="s">
        <v>30</v>
      </c>
    </row>
    <row r="2" ht="12.75">
      <c r="Q2" s="20" t="s">
        <v>76</v>
      </c>
    </row>
    <row r="3" ht="14.25" customHeight="1">
      <c r="Q3" s="20" t="s">
        <v>18</v>
      </c>
    </row>
    <row r="4" ht="15.75" customHeight="1">
      <c r="Q4" s="20" t="s">
        <v>77</v>
      </c>
    </row>
    <row r="5" spans="1:19" ht="36" customHeight="1">
      <c r="A5" s="58" t="s">
        <v>74</v>
      </c>
      <c r="B5" s="145"/>
      <c r="C5" s="146"/>
      <c r="D5" s="145"/>
      <c r="E5" s="147"/>
      <c r="F5" s="147"/>
      <c r="G5" s="147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</row>
    <row r="6" ht="17.25" customHeight="1" thickBot="1"/>
    <row r="7" spans="1:19" s="155" customFormat="1" ht="31.5" customHeight="1" thickBot="1" thickTop="1">
      <c r="A7" s="148"/>
      <c r="B7" s="149"/>
      <c r="C7" s="150" t="s">
        <v>54</v>
      </c>
      <c r="D7" s="151" t="s">
        <v>55</v>
      </c>
      <c r="E7" s="152" t="s">
        <v>56</v>
      </c>
      <c r="F7" s="153"/>
      <c r="G7" s="154" t="s">
        <v>16</v>
      </c>
      <c r="H7" s="223"/>
      <c r="I7" s="224"/>
      <c r="J7" s="224"/>
      <c r="K7" s="225" t="s">
        <v>73</v>
      </c>
      <c r="L7" s="226"/>
      <c r="M7" s="226"/>
      <c r="N7" s="226"/>
      <c r="O7" s="226"/>
      <c r="P7" s="226"/>
      <c r="Q7" s="227"/>
      <c r="R7" s="228"/>
      <c r="S7" s="229"/>
    </row>
    <row r="8" spans="1:19" s="155" customFormat="1" ht="29.25" customHeight="1" thickBot="1" thickTop="1">
      <c r="A8" s="156" t="s">
        <v>21</v>
      </c>
      <c r="B8" s="157" t="s">
        <v>57</v>
      </c>
      <c r="C8" s="158"/>
      <c r="D8" s="159"/>
      <c r="E8" s="160" t="s">
        <v>58</v>
      </c>
      <c r="F8" s="161" t="s">
        <v>59</v>
      </c>
      <c r="G8" s="162" t="s">
        <v>56</v>
      </c>
      <c r="H8" s="230" t="s">
        <v>3</v>
      </c>
      <c r="I8" s="231" t="s">
        <v>4</v>
      </c>
      <c r="J8" s="231" t="s">
        <v>5</v>
      </c>
      <c r="K8" s="231" t="s">
        <v>6</v>
      </c>
      <c r="L8" s="231" t="s">
        <v>7</v>
      </c>
      <c r="M8" s="231" t="s">
        <v>8</v>
      </c>
      <c r="N8" s="231" t="s">
        <v>9</v>
      </c>
      <c r="O8" s="231" t="s">
        <v>10</v>
      </c>
      <c r="P8" s="232" t="s">
        <v>11</v>
      </c>
      <c r="Q8" s="232" t="s">
        <v>12</v>
      </c>
      <c r="R8" s="232" t="s">
        <v>13</v>
      </c>
      <c r="S8" s="233" t="s">
        <v>14</v>
      </c>
    </row>
    <row r="9" spans="1:19" s="234" customFormat="1" ht="9.75" customHeight="1" thickBot="1" thickTop="1">
      <c r="A9" s="163">
        <v>1</v>
      </c>
      <c r="B9" s="164">
        <v>2</v>
      </c>
      <c r="C9" s="165"/>
      <c r="D9" s="166">
        <v>3</v>
      </c>
      <c r="E9" s="164">
        <v>4</v>
      </c>
      <c r="F9" s="167">
        <v>5</v>
      </c>
      <c r="G9" s="166">
        <v>3</v>
      </c>
      <c r="H9" s="169">
        <v>4</v>
      </c>
      <c r="I9" s="168">
        <v>5</v>
      </c>
      <c r="J9" s="168">
        <v>6</v>
      </c>
      <c r="K9" s="168">
        <v>7</v>
      </c>
      <c r="L9" s="168">
        <v>8</v>
      </c>
      <c r="M9" s="168">
        <v>9</v>
      </c>
      <c r="N9" s="168">
        <v>10</v>
      </c>
      <c r="O9" s="168">
        <v>11</v>
      </c>
      <c r="P9" s="168">
        <v>12</v>
      </c>
      <c r="Q9" s="168">
        <v>13</v>
      </c>
      <c r="R9" s="168">
        <v>14</v>
      </c>
      <c r="S9" s="167">
        <v>15</v>
      </c>
    </row>
    <row r="10" spans="1:22" ht="17.25" customHeight="1" thickTop="1">
      <c r="A10" s="193">
        <v>1</v>
      </c>
      <c r="B10" s="194" t="s">
        <v>31</v>
      </c>
      <c r="C10" s="195">
        <f>8334+39000+331400+959000+41000+5000-229800+262186+4803048+577388</f>
        <v>6796556</v>
      </c>
      <c r="D10" s="196">
        <f>11500000+17952200+1100000+2388900+46825280+96633173+80950896+20431+197000+67200+8000+3000</f>
        <v>257646080</v>
      </c>
      <c r="E10" s="197">
        <f>'[1]UM'!H1608+2317000+120000+200000+750000+20000+27300+356000-11500000+50000</f>
        <v>141784216</v>
      </c>
      <c r="F10" s="198">
        <f>'[1]UM'!K1606</f>
        <v>1122000</v>
      </c>
      <c r="G10" s="199">
        <f>F10+E10</f>
        <v>142906216</v>
      </c>
      <c r="H10" s="216">
        <f>2600000+3300000+2000000</f>
        <v>7900000</v>
      </c>
      <c r="I10" s="217">
        <f>1300000+3300000+2000000+1000000</f>
        <v>7600000</v>
      </c>
      <c r="J10" s="217">
        <f>1300000+3300000+2000000+500000</f>
        <v>7100000</v>
      </c>
      <c r="K10" s="217">
        <f>1300000+3300000+2500000+2500000</f>
        <v>9600000</v>
      </c>
      <c r="L10" s="217">
        <f>1300000+3300000+2500000+5000000</f>
        <v>12100000</v>
      </c>
      <c r="M10" s="217">
        <f>1300000+3300000+2500000+6500000</f>
        <v>13600000</v>
      </c>
      <c r="N10" s="217">
        <f>1300000+3300000+2500000+6500000</f>
        <v>13600000</v>
      </c>
      <c r="O10" s="217">
        <f>1300000+3300000+2500000+6500000</f>
        <v>13600000</v>
      </c>
      <c r="P10" s="217">
        <f>1300000+3300000+2500000+6500000</f>
        <v>13600000</v>
      </c>
      <c r="Q10" s="217">
        <f>1300000+3300000+2500000+6500000</f>
        <v>13600000</v>
      </c>
      <c r="R10" s="217">
        <f>1300000+3300000+2500000+8500000</f>
        <v>15600000</v>
      </c>
      <c r="S10" s="198">
        <f>1684840+3580185+3681327+6059864</f>
        <v>15006216</v>
      </c>
      <c r="U10" s="173">
        <f>SUM(H10:S10)-G10</f>
        <v>0</v>
      </c>
      <c r="V10" s="173">
        <f>G10-U10</f>
        <v>142906216</v>
      </c>
    </row>
    <row r="11" spans="1:22" ht="18.75" customHeight="1">
      <c r="A11" s="200">
        <v>2</v>
      </c>
      <c r="B11" s="201" t="s">
        <v>32</v>
      </c>
      <c r="C11" s="202"/>
      <c r="D11" s="203">
        <f>15000+25000+20+20000</f>
        <v>60020</v>
      </c>
      <c r="E11" s="204">
        <f>8215000+3020000+1346100+2280660+204000+2690000+1800000+2878600+406320+170000+200000</f>
        <v>23210680</v>
      </c>
      <c r="F11" s="205"/>
      <c r="G11" s="206">
        <v>23210680</v>
      </c>
      <c r="H11" s="218">
        <f>234800+800000</f>
        <v>1034800</v>
      </c>
      <c r="I11" s="219">
        <f>234800+800000</f>
        <v>1034800</v>
      </c>
      <c r="J11" s="219">
        <f>234800+800000+500000</f>
        <v>1534800</v>
      </c>
      <c r="K11" s="219">
        <f>234800+800000+500000</f>
        <v>1534800</v>
      </c>
      <c r="L11" s="219">
        <f>117400+1500000+1000000</f>
        <v>2617400</v>
      </c>
      <c r="M11" s="219">
        <f>117400+1500000+1000000</f>
        <v>2617400</v>
      </c>
      <c r="N11" s="219">
        <f>117400+1500000+1000000</f>
        <v>2617400</v>
      </c>
      <c r="O11" s="219">
        <f>117400+1500000+1000000-62200</f>
        <v>2555200</v>
      </c>
      <c r="P11" s="219">
        <f>117400+1500000</f>
        <v>1617400</v>
      </c>
      <c r="Q11" s="219">
        <f>117400+1500000</f>
        <v>1617400</v>
      </c>
      <c r="R11" s="219">
        <f>117400+2500000</f>
        <v>2617400</v>
      </c>
      <c r="S11" s="205">
        <f>117400+1694480</f>
        <v>1811880</v>
      </c>
      <c r="U11" s="173">
        <f>SUM(H11:S11)-G11</f>
        <v>0</v>
      </c>
      <c r="V11" s="173">
        <f aca="true" t="shared" si="0" ref="V11:V26">G11-U11</f>
        <v>23210680</v>
      </c>
    </row>
    <row r="12" spans="1:22" ht="39.75" customHeight="1">
      <c r="A12" s="200">
        <v>3</v>
      </c>
      <c r="B12" s="201" t="s">
        <v>60</v>
      </c>
      <c r="C12" s="202">
        <f>454000+28343000+106000</f>
        <v>28903000</v>
      </c>
      <c r="D12" s="203">
        <f>140000+201500</f>
        <v>341500</v>
      </c>
      <c r="E12" s="204">
        <f>17502986-1423940+50304-289060</f>
        <v>15840290</v>
      </c>
      <c r="F12" s="205">
        <f>25098000+106000</f>
        <v>25204000</v>
      </c>
      <c r="G12" s="206">
        <f>SUM(E12:F12)</f>
        <v>41044290</v>
      </c>
      <c r="H12" s="218">
        <f>580000+2742000+580260</f>
        <v>3902260</v>
      </c>
      <c r="I12" s="219">
        <f>580000+2742000</f>
        <v>3322000</v>
      </c>
      <c r="J12" s="219">
        <f>580000+2742000</f>
        <v>3322000</v>
      </c>
      <c r="K12" s="219">
        <f>580000+2742000</f>
        <v>3322000</v>
      </c>
      <c r="L12" s="219">
        <f>580000+2742000</f>
        <v>3322000</v>
      </c>
      <c r="M12" s="219">
        <f>580000+2742000</f>
        <v>3322000</v>
      </c>
      <c r="N12" s="219">
        <f>580000+100000+2742000</f>
        <v>3422000</v>
      </c>
      <c r="O12" s="219">
        <f>580000+100000+2742000</f>
        <v>3422000</v>
      </c>
      <c r="P12" s="219">
        <f>580000+100000+2742000</f>
        <v>3422000</v>
      </c>
      <c r="Q12" s="219">
        <f>580000+100000+2742000</f>
        <v>3422000</v>
      </c>
      <c r="R12" s="219">
        <f>580000+100000+2742000</f>
        <v>3422000</v>
      </c>
      <c r="S12" s="205">
        <f>580000+100000+2742000+30</f>
        <v>3422030</v>
      </c>
      <c r="U12" s="173">
        <f aca="true" t="shared" si="1" ref="U12:U27">SUM(H12:S12)-G12</f>
        <v>0</v>
      </c>
      <c r="V12" s="173">
        <f t="shared" si="0"/>
        <v>41044290</v>
      </c>
    </row>
    <row r="13" spans="1:22" ht="18.75" customHeight="1">
      <c r="A13" s="200">
        <v>4</v>
      </c>
      <c r="B13" s="201" t="s">
        <v>15</v>
      </c>
      <c r="C13" s="202"/>
      <c r="D13" s="203">
        <v>30000</v>
      </c>
      <c r="E13" s="204">
        <v>4489300</v>
      </c>
      <c r="F13" s="205"/>
      <c r="G13" s="206">
        <f>SUM(E13:F13)</f>
        <v>4489300</v>
      </c>
      <c r="H13" s="218">
        <v>374108</v>
      </c>
      <c r="I13" s="219">
        <v>374108</v>
      </c>
      <c r="J13" s="219">
        <v>374108</v>
      </c>
      <c r="K13" s="219">
        <v>374108</v>
      </c>
      <c r="L13" s="219">
        <v>374108</v>
      </c>
      <c r="M13" s="219">
        <v>374108</v>
      </c>
      <c r="N13" s="219">
        <v>374108</v>
      </c>
      <c r="O13" s="219">
        <v>374108</v>
      </c>
      <c r="P13" s="219">
        <v>374108</v>
      </c>
      <c r="Q13" s="219">
        <v>374108</v>
      </c>
      <c r="R13" s="219">
        <v>374108</v>
      </c>
      <c r="S13" s="205">
        <v>374112</v>
      </c>
      <c r="U13" s="173">
        <f t="shared" si="1"/>
        <v>0</v>
      </c>
      <c r="V13" s="173">
        <f t="shared" si="0"/>
        <v>4489300</v>
      </c>
    </row>
    <row r="14" spans="1:22" ht="27.75" customHeight="1">
      <c r="A14" s="200">
        <v>5</v>
      </c>
      <c r="B14" s="201" t="s">
        <v>33</v>
      </c>
      <c r="C14" s="202"/>
      <c r="D14" s="203"/>
      <c r="E14" s="204">
        <v>305940</v>
      </c>
      <c r="F14" s="205"/>
      <c r="G14" s="206">
        <f>SUM(E14:F14)</f>
        <v>305940</v>
      </c>
      <c r="H14" s="218">
        <v>47110</v>
      </c>
      <c r="I14" s="219">
        <v>23530</v>
      </c>
      <c r="J14" s="219">
        <v>23530</v>
      </c>
      <c r="K14" s="219">
        <v>23530</v>
      </c>
      <c r="L14" s="219">
        <v>23530</v>
      </c>
      <c r="M14" s="219">
        <v>23530</v>
      </c>
      <c r="N14" s="219">
        <v>23530</v>
      </c>
      <c r="O14" s="219">
        <v>23530</v>
      </c>
      <c r="P14" s="219">
        <v>23530</v>
      </c>
      <c r="Q14" s="219">
        <v>23530</v>
      </c>
      <c r="R14" s="219">
        <v>23530</v>
      </c>
      <c r="S14" s="205">
        <v>23530</v>
      </c>
      <c r="U14" s="173">
        <f t="shared" si="1"/>
        <v>0</v>
      </c>
      <c r="V14" s="173">
        <f t="shared" si="0"/>
        <v>305940</v>
      </c>
    </row>
    <row r="15" spans="1:22" ht="32.25" customHeight="1">
      <c r="A15" s="200">
        <v>6</v>
      </c>
      <c r="B15" s="201" t="s">
        <v>61</v>
      </c>
      <c r="C15" s="202">
        <v>8000</v>
      </c>
      <c r="D15" s="203"/>
      <c r="E15" s="204">
        <v>289060</v>
      </c>
      <c r="F15" s="205">
        <v>8000</v>
      </c>
      <c r="G15" s="206">
        <f>SUM(E15:F15)</f>
        <v>297060</v>
      </c>
      <c r="H15" s="218">
        <v>24755</v>
      </c>
      <c r="I15" s="219">
        <v>24755</v>
      </c>
      <c r="J15" s="219">
        <v>24755</v>
      </c>
      <c r="K15" s="219">
        <v>24755</v>
      </c>
      <c r="L15" s="219">
        <v>24755</v>
      </c>
      <c r="M15" s="219">
        <v>24755</v>
      </c>
      <c r="N15" s="219">
        <v>24755</v>
      </c>
      <c r="O15" s="219">
        <v>24755</v>
      </c>
      <c r="P15" s="219">
        <v>24755</v>
      </c>
      <c r="Q15" s="219">
        <v>24755</v>
      </c>
      <c r="R15" s="219">
        <v>24755</v>
      </c>
      <c r="S15" s="205">
        <v>24755</v>
      </c>
      <c r="U15" s="173">
        <f t="shared" si="1"/>
        <v>0</v>
      </c>
      <c r="V15" s="173">
        <f t="shared" si="0"/>
        <v>297060</v>
      </c>
    </row>
    <row r="16" spans="1:22" ht="24.75" customHeight="1" hidden="1">
      <c r="A16" s="200">
        <v>7</v>
      </c>
      <c r="B16" s="201" t="s">
        <v>62</v>
      </c>
      <c r="C16" s="202"/>
      <c r="D16" s="203"/>
      <c r="E16" s="204"/>
      <c r="F16" s="205"/>
      <c r="G16" s="206">
        <f aca="true" t="shared" si="2" ref="G16:G25">SUM(E16:F16)</f>
        <v>0</v>
      </c>
      <c r="H16" s="218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05"/>
      <c r="U16" s="173">
        <f t="shared" si="1"/>
        <v>0</v>
      </c>
      <c r="V16" s="173">
        <f t="shared" si="0"/>
        <v>0</v>
      </c>
    </row>
    <row r="17" spans="1:22" ht="31.5" customHeight="1">
      <c r="A17" s="200">
        <v>7</v>
      </c>
      <c r="B17" s="201" t="s">
        <v>34</v>
      </c>
      <c r="C17" s="202">
        <v>229800</v>
      </c>
      <c r="D17" s="203"/>
      <c r="E17" s="204">
        <v>149100</v>
      </c>
      <c r="F17" s="205">
        <v>229800</v>
      </c>
      <c r="G17" s="206">
        <f t="shared" si="2"/>
        <v>378900</v>
      </c>
      <c r="H17" s="218">
        <f>51340+3700</f>
        <v>55040</v>
      </c>
      <c r="I17" s="219">
        <f>25670+3700</f>
        <v>29370</v>
      </c>
      <c r="J17" s="219">
        <f aca="true" t="shared" si="3" ref="J17:R17">25670+3700</f>
        <v>29370</v>
      </c>
      <c r="K17" s="219">
        <f t="shared" si="3"/>
        <v>29370</v>
      </c>
      <c r="L17" s="219">
        <f t="shared" si="3"/>
        <v>29370</v>
      </c>
      <c r="M17" s="219">
        <f t="shared" si="3"/>
        <v>29370</v>
      </c>
      <c r="N17" s="219">
        <f t="shared" si="3"/>
        <v>29370</v>
      </c>
      <c r="O17" s="219">
        <f t="shared" si="3"/>
        <v>29370</v>
      </c>
      <c r="P17" s="219">
        <f t="shared" si="3"/>
        <v>29370</v>
      </c>
      <c r="Q17" s="219">
        <f t="shared" si="3"/>
        <v>29370</v>
      </c>
      <c r="R17" s="219">
        <f t="shared" si="3"/>
        <v>29370</v>
      </c>
      <c r="S17" s="205">
        <f>25670+3700+790</f>
        <v>30160</v>
      </c>
      <c r="U17" s="173">
        <f t="shared" si="1"/>
        <v>0</v>
      </c>
      <c r="V17" s="173">
        <f t="shared" si="0"/>
        <v>378900</v>
      </c>
    </row>
    <row r="18" spans="1:22" ht="27.75" customHeight="1">
      <c r="A18" s="200">
        <v>8</v>
      </c>
      <c r="B18" s="201" t="s">
        <v>63</v>
      </c>
      <c r="C18" s="202">
        <v>5323100</v>
      </c>
      <c r="D18" s="203"/>
      <c r="E18" s="204">
        <v>300000</v>
      </c>
      <c r="F18" s="205">
        <v>5323100</v>
      </c>
      <c r="G18" s="206">
        <f t="shared" si="2"/>
        <v>5623100</v>
      </c>
      <c r="H18" s="218">
        <v>404400</v>
      </c>
      <c r="I18" s="219">
        <v>404400</v>
      </c>
      <c r="J18" s="219">
        <f>608800+100000</f>
        <v>708800</v>
      </c>
      <c r="K18" s="219">
        <f>304400+104000</f>
        <v>408400</v>
      </c>
      <c r="L18" s="219">
        <f>304400+104000</f>
        <v>408400</v>
      </c>
      <c r="M18" s="219">
        <f>304400+104000</f>
        <v>408400</v>
      </c>
      <c r="N18" s="219">
        <f>304400+104000+300000</f>
        <v>708400</v>
      </c>
      <c r="O18" s="219">
        <f>304400+104000</f>
        <v>408400</v>
      </c>
      <c r="P18" s="219">
        <f>304400+104000+50000</f>
        <v>458400</v>
      </c>
      <c r="Q18" s="219">
        <f>304400+104000+30000</f>
        <v>438400</v>
      </c>
      <c r="R18" s="219">
        <f>304400+104000+30000</f>
        <v>438400</v>
      </c>
      <c r="S18" s="205">
        <f>304400+104000+19900</f>
        <v>428300</v>
      </c>
      <c r="U18" s="173">
        <f t="shared" si="1"/>
        <v>0</v>
      </c>
      <c r="V18" s="173">
        <f t="shared" si="0"/>
        <v>5623100</v>
      </c>
    </row>
    <row r="19" spans="1:22" ht="21.75" customHeight="1" hidden="1">
      <c r="A19" s="200">
        <v>10</v>
      </c>
      <c r="B19" s="201" t="s">
        <v>64</v>
      </c>
      <c r="C19" s="202"/>
      <c r="D19" s="203"/>
      <c r="E19" s="204"/>
      <c r="F19" s="205"/>
      <c r="G19" s="206">
        <f t="shared" si="2"/>
        <v>0</v>
      </c>
      <c r="H19" s="218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05"/>
      <c r="U19" s="173">
        <f t="shared" si="1"/>
        <v>0</v>
      </c>
      <c r="V19" s="173">
        <f t="shared" si="0"/>
        <v>0</v>
      </c>
    </row>
    <row r="20" spans="1:22" ht="18" customHeight="1">
      <c r="A20" s="200">
        <v>9</v>
      </c>
      <c r="B20" s="201" t="s">
        <v>65</v>
      </c>
      <c r="C20" s="202"/>
      <c r="D20" s="203">
        <v>823450</v>
      </c>
      <c r="E20" s="204">
        <f>101865700-1230700-18459500</f>
        <v>82175500</v>
      </c>
      <c r="F20" s="205"/>
      <c r="G20" s="206">
        <f>SUM(E20:F20)</f>
        <v>82175500</v>
      </c>
      <c r="H20" s="218">
        <f>5231000+1154000</f>
        <v>6385000</v>
      </c>
      <c r="I20" s="219">
        <f>5231000+1154000</f>
        <v>6385000</v>
      </c>
      <c r="J20" s="219">
        <f>5231000+1154000+5232200</f>
        <v>11617200</v>
      </c>
      <c r="K20" s="219">
        <f>5231000+1154000</f>
        <v>6385000</v>
      </c>
      <c r="L20" s="219">
        <f>5231000+1154000</f>
        <v>6385000</v>
      </c>
      <c r="M20" s="219">
        <f>5231000+1154000+150000</f>
        <v>6535000</v>
      </c>
      <c r="N20" s="219">
        <f>5231000+1154000+173300</f>
        <v>6558300</v>
      </c>
      <c r="O20" s="219">
        <f>5231000+1154000</f>
        <v>6385000</v>
      </c>
      <c r="P20" s="219">
        <f>5231000+1154000</f>
        <v>6385000</v>
      </c>
      <c r="Q20" s="219">
        <f>5231000+1154000</f>
        <v>6385000</v>
      </c>
      <c r="R20" s="219">
        <f>5231000+1154000</f>
        <v>6385000</v>
      </c>
      <c r="S20" s="205">
        <f>5231000+1154000</f>
        <v>6385000</v>
      </c>
      <c r="U20" s="173">
        <f t="shared" si="1"/>
        <v>0</v>
      </c>
      <c r="V20" s="173">
        <f t="shared" si="0"/>
        <v>82175500</v>
      </c>
    </row>
    <row r="21" spans="1:22" ht="24" customHeight="1">
      <c r="A21" s="200">
        <v>10</v>
      </c>
      <c r="B21" s="201" t="s">
        <v>66</v>
      </c>
      <c r="C21" s="202"/>
      <c r="D21" s="203">
        <v>378850</v>
      </c>
      <c r="E21" s="204">
        <f>8354786-606686</f>
        <v>7748100</v>
      </c>
      <c r="F21" s="205"/>
      <c r="G21" s="206">
        <f t="shared" si="2"/>
        <v>7748100</v>
      </c>
      <c r="H21" s="218">
        <f>465500+126150</f>
        <v>591650</v>
      </c>
      <c r="I21" s="219">
        <f>465500+126150</f>
        <v>591650</v>
      </c>
      <c r="J21" s="219">
        <f>465500+465500+126150</f>
        <v>1057150</v>
      </c>
      <c r="K21" s="219">
        <f>465500+126150</f>
        <v>591650</v>
      </c>
      <c r="L21" s="219">
        <f>465500+126150</f>
        <v>591650</v>
      </c>
      <c r="M21" s="219">
        <f aca="true" t="shared" si="4" ref="M21:R21">465500+126150+30000</f>
        <v>621650</v>
      </c>
      <c r="N21" s="219">
        <f t="shared" si="4"/>
        <v>621650</v>
      </c>
      <c r="O21" s="219">
        <f t="shared" si="4"/>
        <v>621650</v>
      </c>
      <c r="P21" s="219">
        <f t="shared" si="4"/>
        <v>621650</v>
      </c>
      <c r="Q21" s="219">
        <f t="shared" si="4"/>
        <v>621650</v>
      </c>
      <c r="R21" s="219">
        <f t="shared" si="4"/>
        <v>621650</v>
      </c>
      <c r="S21" s="205">
        <f>465500+126150+2800</f>
        <v>594450</v>
      </c>
      <c r="U21" s="173">
        <f t="shared" si="1"/>
        <v>0</v>
      </c>
      <c r="V21" s="173">
        <f t="shared" si="0"/>
        <v>7748100</v>
      </c>
    </row>
    <row r="22" spans="1:22" ht="40.5" customHeight="1">
      <c r="A22" s="200">
        <v>11</v>
      </c>
      <c r="B22" s="201" t="s">
        <v>67</v>
      </c>
      <c r="C22" s="202"/>
      <c r="D22" s="203">
        <v>14800</v>
      </c>
      <c r="E22" s="204">
        <v>1230700</v>
      </c>
      <c r="F22" s="205"/>
      <c r="G22" s="206">
        <f t="shared" si="2"/>
        <v>1230700</v>
      </c>
      <c r="H22" s="218">
        <v>115400</v>
      </c>
      <c r="I22" s="219">
        <f>57700+14000</f>
        <v>71700</v>
      </c>
      <c r="J22" s="219">
        <f>57700+14000</f>
        <v>71700</v>
      </c>
      <c r="K22" s="219">
        <f>57700+12600</f>
        <v>70300</v>
      </c>
      <c r="L22" s="219">
        <f>57700+40000+30000</f>
        <v>127700</v>
      </c>
      <c r="M22" s="219">
        <f>57700+40000+30000</f>
        <v>127700</v>
      </c>
      <c r="N22" s="219">
        <f>57700+40000+30000</f>
        <v>127700</v>
      </c>
      <c r="O22" s="219">
        <f>57700+40000+30000</f>
        <v>127700</v>
      </c>
      <c r="P22" s="219">
        <f>57700+40000+30000</f>
        <v>127700</v>
      </c>
      <c r="Q22" s="219">
        <f>57700+30000</f>
        <v>87700</v>
      </c>
      <c r="R22" s="219">
        <f>57700+30000</f>
        <v>87700</v>
      </c>
      <c r="S22" s="205">
        <f>57700+30000</f>
        <v>87700</v>
      </c>
      <c r="U22" s="173">
        <f t="shared" si="1"/>
        <v>0</v>
      </c>
      <c r="V22" s="173">
        <f t="shared" si="0"/>
        <v>1230700</v>
      </c>
    </row>
    <row r="23" spans="1:22" ht="21.75" customHeight="1" hidden="1">
      <c r="A23" s="200">
        <v>14</v>
      </c>
      <c r="B23" s="201" t="s">
        <v>68</v>
      </c>
      <c r="C23" s="202"/>
      <c r="D23" s="203"/>
      <c r="E23" s="204"/>
      <c r="F23" s="205"/>
      <c r="G23" s="206">
        <f t="shared" si="2"/>
        <v>0</v>
      </c>
      <c r="H23" s="218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05"/>
      <c r="U23" s="173">
        <f t="shared" si="1"/>
        <v>0</v>
      </c>
      <c r="V23" s="173">
        <f t="shared" si="0"/>
        <v>0</v>
      </c>
    </row>
    <row r="24" spans="1:22" ht="19.5" customHeight="1" hidden="1">
      <c r="A24" s="200">
        <v>15</v>
      </c>
      <c r="B24" s="201" t="s">
        <v>69</v>
      </c>
      <c r="C24" s="202"/>
      <c r="D24" s="203"/>
      <c r="E24" s="204"/>
      <c r="F24" s="205"/>
      <c r="G24" s="206">
        <f t="shared" si="2"/>
        <v>0</v>
      </c>
      <c r="H24" s="218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05"/>
      <c r="U24" s="173">
        <f t="shared" si="1"/>
        <v>0</v>
      </c>
      <c r="V24" s="173">
        <f t="shared" si="0"/>
        <v>0</v>
      </c>
    </row>
    <row r="25" spans="1:22" ht="30" customHeight="1" hidden="1">
      <c r="A25" s="200">
        <v>16</v>
      </c>
      <c r="B25" s="207"/>
      <c r="C25" s="208"/>
      <c r="D25" s="203"/>
      <c r="E25" s="204"/>
      <c r="F25" s="205"/>
      <c r="G25" s="206">
        <f t="shared" si="2"/>
        <v>0</v>
      </c>
      <c r="H25" s="218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05"/>
      <c r="U25" s="173">
        <f t="shared" si="1"/>
        <v>0</v>
      </c>
      <c r="V25" s="173">
        <f t="shared" si="0"/>
        <v>0</v>
      </c>
    </row>
    <row r="26" spans="1:22" s="213" customFormat="1" ht="30.75" customHeight="1" thickBot="1">
      <c r="A26" s="209" t="s">
        <v>70</v>
      </c>
      <c r="B26" s="222" t="s">
        <v>16</v>
      </c>
      <c r="C26" s="210">
        <f>SUM(C10:C25)</f>
        <v>41260456</v>
      </c>
      <c r="D26" s="210">
        <f>SUM(D10:D25)</f>
        <v>259294700</v>
      </c>
      <c r="E26" s="211">
        <f>SUM(E10:E25)</f>
        <v>277522886</v>
      </c>
      <c r="F26" s="212">
        <f>SUM(F10:F25)</f>
        <v>31886900</v>
      </c>
      <c r="G26" s="210">
        <f>F26+E26</f>
        <v>309409786</v>
      </c>
      <c r="H26" s="220">
        <f>SUM(H10:H22)</f>
        <v>20834523</v>
      </c>
      <c r="I26" s="221">
        <f aca="true" t="shared" si="5" ref="I26:S26">SUM(I10:I22)</f>
        <v>19861313</v>
      </c>
      <c r="J26" s="221">
        <f t="shared" si="5"/>
        <v>25863413</v>
      </c>
      <c r="K26" s="221">
        <f t="shared" si="5"/>
        <v>22363913</v>
      </c>
      <c r="L26" s="221">
        <f t="shared" si="5"/>
        <v>26003913</v>
      </c>
      <c r="M26" s="221">
        <f t="shared" si="5"/>
        <v>27683913</v>
      </c>
      <c r="N26" s="221">
        <f t="shared" si="5"/>
        <v>28107213</v>
      </c>
      <c r="O26" s="221">
        <f t="shared" si="5"/>
        <v>27571713</v>
      </c>
      <c r="P26" s="221">
        <f t="shared" si="5"/>
        <v>26683913</v>
      </c>
      <c r="Q26" s="221">
        <f t="shared" si="5"/>
        <v>26623913</v>
      </c>
      <c r="R26" s="221">
        <f t="shared" si="5"/>
        <v>29623913</v>
      </c>
      <c r="S26" s="212">
        <f t="shared" si="5"/>
        <v>28188133</v>
      </c>
      <c r="U26" s="214">
        <f t="shared" si="1"/>
        <v>0</v>
      </c>
      <c r="V26" s="215">
        <f t="shared" si="0"/>
        <v>309409786</v>
      </c>
    </row>
    <row r="27" spans="1:21" ht="13.5" thickTop="1">
      <c r="A27" s="170"/>
      <c r="E27" s="171"/>
      <c r="F27" s="171"/>
      <c r="G27" s="172"/>
      <c r="U27" s="173">
        <f t="shared" si="1"/>
        <v>0</v>
      </c>
    </row>
    <row r="28" spans="6:7" ht="12.75">
      <c r="F28" s="171"/>
      <c r="G28" s="172"/>
    </row>
    <row r="29" spans="5:7" ht="12.75">
      <c r="E29" s="171"/>
      <c r="F29" s="171"/>
      <c r="G29" s="172"/>
    </row>
    <row r="30" spans="5:7" ht="12.75">
      <c r="E30" s="171"/>
      <c r="F30" s="171"/>
      <c r="G30" s="172"/>
    </row>
    <row r="31" spans="5:7" ht="12.75">
      <c r="E31" s="171"/>
      <c r="F31" s="171"/>
      <c r="G31" s="172"/>
    </row>
    <row r="32" spans="5:7" ht="12.75">
      <c r="E32" s="171"/>
      <c r="F32" s="171"/>
      <c r="G32" s="172"/>
    </row>
    <row r="33" spans="5:7" ht="12.75">
      <c r="E33" s="171"/>
      <c r="F33" s="171"/>
      <c r="G33" s="172"/>
    </row>
    <row r="34" spans="5:7" ht="12.75">
      <c r="E34" s="171"/>
      <c r="F34" s="171"/>
      <c r="G34" s="172"/>
    </row>
    <row r="35" spans="5:7" ht="12.75">
      <c r="E35" s="171"/>
      <c r="F35" s="171"/>
      <c r="G35" s="172"/>
    </row>
  </sheetData>
  <printOptions/>
  <pageMargins left="0.2" right="0.26" top="0.68" bottom="1" header="0.31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G1">
      <selection activeCell="K14" sqref="K14"/>
    </sheetView>
  </sheetViews>
  <sheetFormatPr defaultColWidth="9.125" defaultRowHeight="12.75"/>
  <cols>
    <col min="1" max="1" width="4.625" style="15" customWidth="1"/>
    <col min="2" max="2" width="10.625" style="16" customWidth="1"/>
    <col min="3" max="3" width="9.875" style="16" customWidth="1"/>
    <col min="4" max="4" width="10.375" style="17" bestFit="1" customWidth="1"/>
    <col min="5" max="5" width="10.375" style="15" bestFit="1" customWidth="1"/>
    <col min="6" max="6" width="11.00390625" style="15" bestFit="1" customWidth="1"/>
    <col min="7" max="8" width="10.375" style="15" bestFit="1" customWidth="1"/>
    <col min="9" max="9" width="10.375" style="18" bestFit="1" customWidth="1"/>
    <col min="10" max="10" width="10.375" style="15" bestFit="1" customWidth="1"/>
    <col min="11" max="11" width="10.375" style="18" customWidth="1"/>
    <col min="12" max="15" width="10.375" style="15" bestFit="1" customWidth="1"/>
    <col min="16" max="16" width="11.00390625" style="15" bestFit="1" customWidth="1"/>
    <col min="17" max="16384" width="9.125" style="15" customWidth="1"/>
  </cols>
  <sheetData>
    <row r="1" ht="12.75">
      <c r="N1" s="19" t="s">
        <v>17</v>
      </c>
    </row>
    <row r="2" ht="12.75">
      <c r="N2" s="20" t="s">
        <v>76</v>
      </c>
    </row>
    <row r="3" ht="12.75">
      <c r="N3" s="20" t="s">
        <v>18</v>
      </c>
    </row>
    <row r="4" ht="12.75">
      <c r="N4" s="20" t="s">
        <v>77</v>
      </c>
    </row>
    <row r="5" spans="1:16" s="24" customFormat="1" ht="16.5">
      <c r="A5" s="21" t="s">
        <v>72</v>
      </c>
      <c r="B5" s="22"/>
      <c r="C5" s="22"/>
      <c r="D5" s="2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ht="13.5" thickBot="1">
      <c r="P6" s="25" t="s">
        <v>19</v>
      </c>
    </row>
    <row r="7" spans="1:16" s="35" customFormat="1" ht="16.5" customHeight="1" thickTop="1">
      <c r="A7" s="26"/>
      <c r="B7" s="27"/>
      <c r="C7" s="28"/>
      <c r="D7" s="29" t="s">
        <v>20</v>
      </c>
      <c r="E7" s="30"/>
      <c r="F7" s="30"/>
      <c r="G7" s="31"/>
      <c r="H7" s="32"/>
      <c r="I7" s="33"/>
      <c r="J7" s="30"/>
      <c r="K7" s="30"/>
      <c r="L7" s="30"/>
      <c r="M7" s="34"/>
      <c r="N7" s="34"/>
      <c r="O7" s="34"/>
      <c r="P7" s="239" t="s">
        <v>75</v>
      </c>
    </row>
    <row r="8" spans="1:16" s="35" customFormat="1" ht="19.5" customHeight="1" thickBot="1">
      <c r="A8" s="36" t="s">
        <v>21</v>
      </c>
      <c r="B8" s="37" t="s">
        <v>22</v>
      </c>
      <c r="C8" s="38"/>
      <c r="D8" s="39" t="s">
        <v>3</v>
      </c>
      <c r="E8" s="40" t="s">
        <v>4</v>
      </c>
      <c r="F8" s="40" t="s">
        <v>5</v>
      </c>
      <c r="G8" s="40" t="s">
        <v>6</v>
      </c>
      <c r="H8" s="40" t="s">
        <v>7</v>
      </c>
      <c r="I8" s="40" t="s">
        <v>8</v>
      </c>
      <c r="J8" s="40" t="s">
        <v>9</v>
      </c>
      <c r="K8" s="40" t="s">
        <v>10</v>
      </c>
      <c r="L8" s="40" t="s">
        <v>11</v>
      </c>
      <c r="M8" s="40" t="s">
        <v>12</v>
      </c>
      <c r="N8" s="40" t="s">
        <v>13</v>
      </c>
      <c r="O8" s="41" t="s">
        <v>14</v>
      </c>
      <c r="P8" s="240"/>
    </row>
    <row r="9" spans="1:16" s="49" customFormat="1" ht="12.75" thickBot="1" thickTop="1">
      <c r="A9" s="42">
        <v>1</v>
      </c>
      <c r="B9" s="43">
        <v>2</v>
      </c>
      <c r="C9" s="44"/>
      <c r="D9" s="45">
        <v>3</v>
      </c>
      <c r="E9" s="46">
        <v>4</v>
      </c>
      <c r="F9" s="46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  <c r="L9" s="46">
        <v>11</v>
      </c>
      <c r="M9" s="46">
        <v>12</v>
      </c>
      <c r="N9" s="46">
        <v>13</v>
      </c>
      <c r="O9" s="47">
        <v>14</v>
      </c>
      <c r="P9" s="48">
        <v>15</v>
      </c>
    </row>
    <row r="10" spans="1:16" s="129" customFormat="1" ht="25.5" customHeight="1" thickTop="1">
      <c r="A10" s="124">
        <v>1</v>
      </c>
      <c r="B10" s="125" t="s">
        <v>23</v>
      </c>
      <c r="C10" s="126"/>
      <c r="D10" s="127">
        <f>'zał nr1'!D19</f>
        <v>22783753</v>
      </c>
      <c r="E10" s="127">
        <f>'zał nr1'!E19</f>
        <v>23235643</v>
      </c>
      <c r="F10" s="127">
        <f>'zał nr1'!F19</f>
        <v>32608280</v>
      </c>
      <c r="G10" s="127">
        <f>'zał nr1'!G19</f>
        <v>22696753</v>
      </c>
      <c r="H10" s="127">
        <f>'zał nr1'!H19</f>
        <v>23584016</v>
      </c>
      <c r="I10" s="127">
        <f>'zał nr1'!I19</f>
        <v>22802882</v>
      </c>
      <c r="J10" s="127">
        <f>'zał nr1'!J19</f>
        <v>21531983</v>
      </c>
      <c r="K10" s="127">
        <f>'zał nr1'!K19</f>
        <v>21421156</v>
      </c>
      <c r="L10" s="127">
        <f>'zał nr1'!L19</f>
        <v>25212686</v>
      </c>
      <c r="M10" s="127">
        <f>'zał nr1'!M19</f>
        <v>23099806</v>
      </c>
      <c r="N10" s="127">
        <f>'zał nr1'!N19</f>
        <v>25579191</v>
      </c>
      <c r="O10" s="127">
        <f>'zał nr1'!O19</f>
        <v>24499007</v>
      </c>
      <c r="P10" s="128">
        <f>SUM(D10:O10)</f>
        <v>289055156</v>
      </c>
    </row>
    <row r="11" spans="1:16" s="129" customFormat="1" ht="32.25" customHeight="1" thickBot="1">
      <c r="A11" s="174">
        <v>2</v>
      </c>
      <c r="B11" s="175" t="s">
        <v>24</v>
      </c>
      <c r="C11" s="176"/>
      <c r="D11" s="177">
        <f>'zał nr 2'!H26</f>
        <v>20834523</v>
      </c>
      <c r="E11" s="177">
        <f>'zał nr 2'!I26</f>
        <v>19861313</v>
      </c>
      <c r="F11" s="177">
        <f>'zał nr 2'!J26</f>
        <v>25863413</v>
      </c>
      <c r="G11" s="177">
        <f>'zał nr 2'!K26</f>
        <v>22363913</v>
      </c>
      <c r="H11" s="177">
        <f>'zał nr 2'!L26</f>
        <v>26003913</v>
      </c>
      <c r="I11" s="177">
        <f>'zał nr 2'!M26</f>
        <v>27683913</v>
      </c>
      <c r="J11" s="177">
        <f>'zał nr 2'!N26</f>
        <v>28107213</v>
      </c>
      <c r="K11" s="177">
        <f>'zał nr 2'!O26</f>
        <v>27571713</v>
      </c>
      <c r="L11" s="177">
        <f>'zał nr 2'!P26</f>
        <v>26683913</v>
      </c>
      <c r="M11" s="177">
        <f>'zał nr 2'!Q26</f>
        <v>26623913</v>
      </c>
      <c r="N11" s="177">
        <f>'zał nr 2'!R26</f>
        <v>29623913</v>
      </c>
      <c r="O11" s="177">
        <f>'zał nr 2'!S26</f>
        <v>28188133</v>
      </c>
      <c r="P11" s="178">
        <f>SUM(D11:O11)</f>
        <v>309409786</v>
      </c>
    </row>
    <row r="12" spans="1:16" s="129" customFormat="1" ht="32.25" customHeight="1" thickTop="1">
      <c r="A12" s="179">
        <v>3</v>
      </c>
      <c r="B12" s="180" t="s">
        <v>71</v>
      </c>
      <c r="C12" s="181"/>
      <c r="D12" s="182">
        <f>D10-D11</f>
        <v>1949230</v>
      </c>
      <c r="E12" s="183">
        <f aca="true" t="shared" si="0" ref="E12:P12">E10-E11</f>
        <v>3374330</v>
      </c>
      <c r="F12" s="183">
        <f t="shared" si="0"/>
        <v>6744867</v>
      </c>
      <c r="G12" s="183">
        <f t="shared" si="0"/>
        <v>332840</v>
      </c>
      <c r="H12" s="183">
        <f t="shared" si="0"/>
        <v>-2419897</v>
      </c>
      <c r="I12" s="183">
        <f t="shared" si="0"/>
        <v>-4881031</v>
      </c>
      <c r="J12" s="183">
        <f t="shared" si="0"/>
        <v>-6575230</v>
      </c>
      <c r="K12" s="183">
        <f t="shared" si="0"/>
        <v>-6150557</v>
      </c>
      <c r="L12" s="183">
        <f t="shared" si="0"/>
        <v>-1471227</v>
      </c>
      <c r="M12" s="183">
        <f t="shared" si="0"/>
        <v>-3524107</v>
      </c>
      <c r="N12" s="183">
        <f t="shared" si="0"/>
        <v>-4044722</v>
      </c>
      <c r="O12" s="184">
        <f t="shared" si="0"/>
        <v>-3689126</v>
      </c>
      <c r="P12" s="185">
        <f t="shared" si="0"/>
        <v>-20354630</v>
      </c>
    </row>
    <row r="13" spans="1:16" s="35" customFormat="1" ht="40.5" customHeight="1" hidden="1">
      <c r="A13" s="50">
        <v>4</v>
      </c>
      <c r="B13" s="51" t="s">
        <v>25</v>
      </c>
      <c r="C13" s="52"/>
      <c r="D13" s="53">
        <f>D12</f>
        <v>1949230</v>
      </c>
      <c r="E13" s="54">
        <f>D12+E12</f>
        <v>5323560</v>
      </c>
      <c r="F13" s="54">
        <f>E13+F12</f>
        <v>12068427</v>
      </c>
      <c r="G13" s="54">
        <f aca="true" t="shared" si="1" ref="G13:O13">F13+G12</f>
        <v>12401267</v>
      </c>
      <c r="H13" s="54">
        <f t="shared" si="1"/>
        <v>9981370</v>
      </c>
      <c r="I13" s="54">
        <f t="shared" si="1"/>
        <v>5100339</v>
      </c>
      <c r="J13" s="54">
        <f t="shared" si="1"/>
        <v>-1474891</v>
      </c>
      <c r="K13" s="54">
        <f t="shared" si="1"/>
        <v>-7625448</v>
      </c>
      <c r="L13" s="54">
        <f t="shared" si="1"/>
        <v>-9096675</v>
      </c>
      <c r="M13" s="54">
        <f t="shared" si="1"/>
        <v>-12620782</v>
      </c>
      <c r="N13" s="54">
        <f t="shared" si="1"/>
        <v>-16665504</v>
      </c>
      <c r="O13" s="55">
        <f t="shared" si="1"/>
        <v>-20354630</v>
      </c>
      <c r="P13" s="56"/>
    </row>
    <row r="14" spans="1:16" s="35" customFormat="1" ht="27.75" customHeight="1">
      <c r="A14" s="50">
        <v>4</v>
      </c>
      <c r="B14" s="51" t="s">
        <v>26</v>
      </c>
      <c r="C14" s="52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7">
        <f>SUM(P15:P17)</f>
        <v>20354630</v>
      </c>
    </row>
    <row r="15" spans="1:16" s="137" customFormat="1" ht="40.5" customHeight="1">
      <c r="A15" s="130"/>
      <c r="B15" s="131" t="s">
        <v>27</v>
      </c>
      <c r="C15" s="132"/>
      <c r="D15" s="133"/>
      <c r="E15" s="134"/>
      <c r="F15" s="134">
        <v>-2275500</v>
      </c>
      <c r="G15" s="134"/>
      <c r="H15" s="134"/>
      <c r="I15" s="134">
        <v>-2275500</v>
      </c>
      <c r="J15" s="134"/>
      <c r="K15" s="134"/>
      <c r="L15" s="134">
        <v>-2275500</v>
      </c>
      <c r="M15" s="134"/>
      <c r="N15" s="134"/>
      <c r="O15" s="134">
        <v>-2275400</v>
      </c>
      <c r="P15" s="136">
        <f>SUM(F15:O15)</f>
        <v>-9101900</v>
      </c>
    </row>
    <row r="16" spans="1:16" s="137" customFormat="1" ht="38.25" customHeight="1">
      <c r="A16" s="130"/>
      <c r="B16" s="131" t="s">
        <v>28</v>
      </c>
      <c r="C16" s="138">
        <v>9456530</v>
      </c>
      <c r="D16" s="133">
        <f>C16+D12</f>
        <v>11405760</v>
      </c>
      <c r="E16" s="134">
        <f>D16+E12</f>
        <v>14780090</v>
      </c>
      <c r="F16" s="134">
        <f>E16+F15+F12</f>
        <v>19249457</v>
      </c>
      <c r="G16" s="134">
        <f>F16+G12</f>
        <v>19582297</v>
      </c>
      <c r="H16" s="134">
        <f>G16+H12</f>
        <v>17162400</v>
      </c>
      <c r="I16" s="134">
        <f>H16+I12+I15</f>
        <v>10005869</v>
      </c>
      <c r="J16" s="134">
        <f>I16+J12</f>
        <v>3430639</v>
      </c>
      <c r="K16" s="134"/>
      <c r="L16" s="134"/>
      <c r="M16" s="134"/>
      <c r="N16" s="134"/>
      <c r="O16" s="135"/>
      <c r="P16" s="136">
        <f>C16</f>
        <v>9456530</v>
      </c>
    </row>
    <row r="17" spans="1:16" s="137" customFormat="1" ht="39.75" customHeight="1" thickBot="1">
      <c r="A17" s="186"/>
      <c r="B17" s="187" t="s">
        <v>29</v>
      </c>
      <c r="C17" s="139">
        <v>20000000</v>
      </c>
      <c r="D17" s="188"/>
      <c r="E17" s="189"/>
      <c r="F17" s="189"/>
      <c r="G17" s="189"/>
      <c r="H17" s="189"/>
      <c r="I17" s="189"/>
      <c r="J17" s="189"/>
      <c r="K17" s="189">
        <f>J16+C17+K12</f>
        <v>17280082</v>
      </c>
      <c r="L17" s="189">
        <f>K17+L15+L12</f>
        <v>13533355</v>
      </c>
      <c r="M17" s="189">
        <f>L17+M12</f>
        <v>10009248</v>
      </c>
      <c r="N17" s="189">
        <f>M17+N12</f>
        <v>5964526</v>
      </c>
      <c r="O17" s="190">
        <f>N17+O15+O12</f>
        <v>0</v>
      </c>
      <c r="P17" s="191">
        <f>C17</f>
        <v>20000000</v>
      </c>
    </row>
    <row r="18" ht="13.5" thickTop="1"/>
  </sheetData>
  <mergeCells count="1">
    <mergeCell ref="P7:P8"/>
  </mergeCells>
  <printOptions/>
  <pageMargins left="0.2" right="0.21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Raniszewska</cp:lastModifiedBy>
  <cp:lastPrinted>2007-03-13T09:59:53Z</cp:lastPrinted>
  <dcterms:created xsi:type="dcterms:W3CDTF">2007-02-21T09:46:16Z</dcterms:created>
  <dcterms:modified xsi:type="dcterms:W3CDTF">2007-05-22T10:04:53Z</dcterms:modified>
  <cp:category/>
  <cp:version/>
  <cp:contentType/>
  <cp:contentStatus/>
</cp:coreProperties>
</file>