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firstSheet="13" activeTab="18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 14" sheetId="14" r:id="rId14"/>
    <sheet name="Tabela 15" sheetId="15" r:id="rId15"/>
    <sheet name="Tabela 16" sheetId="16" r:id="rId16"/>
    <sheet name="Tabela 17" sheetId="17" r:id="rId17"/>
    <sheet name="Tabela 18" sheetId="18" r:id="rId18"/>
    <sheet name="Tabela 19" sheetId="19" r:id="rId19"/>
  </sheets>
  <definedNames/>
  <calcPr fullCalcOnLoad="1"/>
</workbook>
</file>

<file path=xl/sharedStrings.xml><?xml version="1.0" encoding="utf-8"?>
<sst xmlns="http://schemas.openxmlformats.org/spreadsheetml/2006/main" count="734" uniqueCount="219">
  <si>
    <t>TABELA 1</t>
  </si>
  <si>
    <t>Wartość netto majątku Miasta Koszalin</t>
  </si>
  <si>
    <t>wg stanu na 30.09.2006 roku</t>
  </si>
  <si>
    <t>L.p.</t>
  </si>
  <si>
    <t>Wyszczególnienie</t>
  </si>
  <si>
    <t>Stan
na dzień
30.09.2006</t>
  </si>
  <si>
    <t>Struktura
(%)</t>
  </si>
  <si>
    <t>I</t>
  </si>
  <si>
    <t>Aktywa trwałe</t>
  </si>
  <si>
    <t>1.</t>
  </si>
  <si>
    <t>Rzeczowe aktywa trwałe</t>
  </si>
  <si>
    <t>2.</t>
  </si>
  <si>
    <t>Pozostałe aktywa trwałe</t>
  </si>
  <si>
    <t>II</t>
  </si>
  <si>
    <t>Aktywa obrotowe</t>
  </si>
  <si>
    <t>Majątek ogółem:</t>
  </si>
  <si>
    <t>Opis mienia wg grup rodzajowych</t>
  </si>
  <si>
    <t>Wartość netto wg stanu na dzień</t>
  </si>
  <si>
    <t>Zmiana
wartości</t>
  </si>
  <si>
    <t>Dynamika</t>
  </si>
  <si>
    <t>Struktura na dzień</t>
  </si>
  <si>
    <t>30.09.2005</t>
  </si>
  <si>
    <t>30.09.2006</t>
  </si>
  <si>
    <t>I.Grunty komunalne</t>
  </si>
  <si>
    <t>1. Grunty rolne</t>
  </si>
  <si>
    <t xml:space="preserve">2. Drogi </t>
  </si>
  <si>
    <t>3. Lasy</t>
  </si>
  <si>
    <t>4. Place i tereny zielone</t>
  </si>
  <si>
    <t>5. Ogrody działkowe</t>
  </si>
  <si>
    <t>6. Działki budowlane</t>
  </si>
  <si>
    <t>7. Cmentarz komunalny</t>
  </si>
  <si>
    <t>8. Inne</t>
  </si>
  <si>
    <t>II. Obiekty komunalne</t>
  </si>
  <si>
    <t>1.Lokale mieszkalne</t>
  </si>
  <si>
    <t>2. Inne budynki</t>
  </si>
  <si>
    <t>4. Szkoły</t>
  </si>
  <si>
    <t>5. Przedszkola</t>
  </si>
  <si>
    <t>6. Ośrodki kultury</t>
  </si>
  <si>
    <t>7. Ośrodki sportu i rekreacji</t>
  </si>
  <si>
    <t>8. Ośrodki służby zdrowia</t>
  </si>
  <si>
    <t>III. Obiekty inżynierii lądowej i wodnej</t>
  </si>
  <si>
    <t>IV.Kotły i maszyny energetyczne</t>
  </si>
  <si>
    <t xml:space="preserve">V.Maszyny,urządzenia i aparaty ogóln. zast. </t>
  </si>
  <si>
    <t>VI.Specjalistyczne maszyny,urządzenia i aparaty</t>
  </si>
  <si>
    <t>VII.Urządzenia techniczne</t>
  </si>
  <si>
    <t>VIII.Środki transportowe</t>
  </si>
  <si>
    <t>IX.Narzędzia,przyrządy,ruchomości i wyposażenie w tym:</t>
  </si>
  <si>
    <t>a) grupa 8 KRŚT</t>
  </si>
  <si>
    <t>b) wyposażenie</t>
  </si>
  <si>
    <t>X.Środki trwałe w budowie</t>
  </si>
  <si>
    <t>Razem aktywa rzeczowe</t>
  </si>
  <si>
    <t>XI.Wartości niematerialne i prawne</t>
  </si>
  <si>
    <t>XII.Należności długoterminowe</t>
  </si>
  <si>
    <t>XIII.Długoterminowe aktywa</t>
  </si>
  <si>
    <t>Razem aktywa trwałe</t>
  </si>
  <si>
    <t>Łączna ilość</t>
  </si>
  <si>
    <t xml:space="preserve">Wartość brutto </t>
  </si>
  <si>
    <t xml:space="preserve">Wartość umorzenia </t>
  </si>
  <si>
    <t xml:space="preserve">Wartośc netto </t>
  </si>
  <si>
    <t>Struktura</t>
  </si>
  <si>
    <t>szt.</t>
  </si>
  <si>
    <t>ha.</t>
  </si>
  <si>
    <t>na 30.09.2006</t>
  </si>
  <si>
    <t>I. Grunty komunalne</t>
  </si>
  <si>
    <t>x</t>
  </si>
  <si>
    <t>2. Drogi</t>
  </si>
  <si>
    <t>3. Inne budynki</t>
  </si>
  <si>
    <t>IV. Kotły i maszyny energetyczne</t>
  </si>
  <si>
    <t xml:space="preserve">V. Maszyny,urządzenia i aparaty ogólnego zast. </t>
  </si>
  <si>
    <t>VI. Specjalistyczne maszyny,urządzenia i aparaty</t>
  </si>
  <si>
    <t>VII. Urządzenia techniczne</t>
  </si>
  <si>
    <t>VIII. Środki transportowe</t>
  </si>
  <si>
    <t>IX. Narzędzia,przyrządy,ruchomości i wyposażenie w tym:</t>
  </si>
  <si>
    <t>X. Środki trwałe w budowie</t>
  </si>
  <si>
    <t>XI. Wartości niematerialne i prawne</t>
  </si>
  <si>
    <t>XII. Należności długoterminowe</t>
  </si>
  <si>
    <t>XIII. Długoterminowe aktywa</t>
  </si>
  <si>
    <t xml:space="preserve">                                              Wartość aktywów trwałych Miasta Koszalina na dzień 30.09.2006</t>
  </si>
  <si>
    <t>TABELA 3</t>
  </si>
  <si>
    <t>TABELA 2</t>
  </si>
  <si>
    <t>Aktywa</t>
  </si>
  <si>
    <t xml:space="preserve">Stan na dzień </t>
  </si>
  <si>
    <t>Struktura
na 30.09.2006</t>
  </si>
  <si>
    <t>Aktywa Obrotowe:</t>
  </si>
  <si>
    <t>I.Zapasy</t>
  </si>
  <si>
    <t>1.Materiały</t>
  </si>
  <si>
    <t>2.Półprodukty i produkty w toku</t>
  </si>
  <si>
    <t>3.Produkty gotowe</t>
  </si>
  <si>
    <t>4.Towary</t>
  </si>
  <si>
    <t>5.Odchylenia od cen ewid. wyrobów gotowych</t>
  </si>
  <si>
    <t>6.Zaliczki na poczet dostaw</t>
  </si>
  <si>
    <t>II.Należności krótkoterminowe</t>
  </si>
  <si>
    <t>1.Należności z tytułu dostaw i usług</t>
  </si>
  <si>
    <t>2.Należności od budżetów</t>
  </si>
  <si>
    <t>3.Należności z tytułu ubezpieczeń społecznych</t>
  </si>
  <si>
    <t>4.Inne należności</t>
  </si>
  <si>
    <t>III.Środki pieniężne</t>
  </si>
  <si>
    <t>1.Środki pieniężne w kasie</t>
  </si>
  <si>
    <t>2.Środki pieniężne na rachunkach</t>
  </si>
  <si>
    <t>3.Inne inwestycje krótkoterminowe</t>
  </si>
  <si>
    <t xml:space="preserve">                                  Wartość aktywów obrotowych Miasta Koszalina na dzień 30.09.2006</t>
  </si>
  <si>
    <t>×</t>
  </si>
  <si>
    <t>TABELA 5</t>
  </si>
  <si>
    <t xml:space="preserve">                               Wartość aktywów trwałych Urzędu Miejskiego na dzień 30.09.2006</t>
  </si>
  <si>
    <t>TABELA 6</t>
  </si>
  <si>
    <t>l.p</t>
  </si>
  <si>
    <t>Nazwa spółki</t>
  </si>
  <si>
    <t>Udział miasta</t>
  </si>
  <si>
    <t>Razem:</t>
  </si>
  <si>
    <t>udział
pieniężny</t>
  </si>
  <si>
    <t>udział
niepieniężny</t>
  </si>
  <si>
    <t>dopłata do kapitału zapasowego</t>
  </si>
  <si>
    <t>dopłata na pokrycie straty za 2003 rok</t>
  </si>
  <si>
    <t>akcje</t>
  </si>
  <si>
    <t xml:space="preserve">Miejskie Wodociągi i Kanalizacja </t>
  </si>
  <si>
    <t>Miejska Energetyka Cieplna</t>
  </si>
  <si>
    <t>Zarząd Obiektów Sportowych</t>
  </si>
  <si>
    <t>Przedsiębiorstwo Gospodarki Komunalnej</t>
  </si>
  <si>
    <t>Koszalińska Agencja Rozwoju Regionalnego S.A</t>
  </si>
  <si>
    <t>Telewizja Kablowa sp.z o.o.</t>
  </si>
  <si>
    <t>Koszalińskie Towarz. Budownictwa Społecznego sp.z o.o.</t>
  </si>
  <si>
    <t>Miejski Zakład Komunikacji sp.z o.o.</t>
  </si>
  <si>
    <t>Pomorska Agencja Rozwoju Regionalnego S.A.Słupsk</t>
  </si>
  <si>
    <t>Błękit Bałtyku sp. z o.o.</t>
  </si>
  <si>
    <t>TABELA 7</t>
  </si>
  <si>
    <t>Opis mienia
wg grup rodzajowych</t>
  </si>
  <si>
    <t>Wartość</t>
  </si>
  <si>
    <t>Forma władania nieruchomością</t>
  </si>
  <si>
    <t>trwały zarząd</t>
  </si>
  <si>
    <t>użytkowanie</t>
  </si>
  <si>
    <t>użytkowanie wieczyste</t>
  </si>
  <si>
    <t>dzierżawa</t>
  </si>
  <si>
    <t>inne</t>
  </si>
  <si>
    <t>TABELA 8</t>
  </si>
  <si>
    <t>Ilość</t>
  </si>
  <si>
    <t>I. Obiekty komunalne</t>
  </si>
  <si>
    <t>2. Lokale w innych budynkach</t>
  </si>
  <si>
    <t>II. Obiekty inżynierii lądowej i wodnej</t>
  </si>
  <si>
    <t>III.Kotły i maszyny energetyczne</t>
  </si>
  <si>
    <t xml:space="preserve">IV.Maszyny,urządzenia i aparaty ogólnego zast. </t>
  </si>
  <si>
    <t>V.Specjalistyczne maszyny,urządzenia i aparaty</t>
  </si>
  <si>
    <t>VI.Urządzenia techniczne</t>
  </si>
  <si>
    <t>VII.Środki transportowe</t>
  </si>
  <si>
    <t>VIII.Narzędzia,przyrządy,ruchomości i wyposażenie w tym:</t>
  </si>
  <si>
    <t>IX.Środki trwałe w budowie</t>
  </si>
  <si>
    <t>X.Wartości niematerialne i prawne</t>
  </si>
  <si>
    <t>XI.Należności długoterminowe</t>
  </si>
  <si>
    <t>XII.Długoterminowe aktywa</t>
  </si>
  <si>
    <t>TABELA 9</t>
  </si>
  <si>
    <t xml:space="preserve">     Wartość aktywów trwałych w placówkach ochrony zdrowia i opieki społecznej stan na dzień 30.09.2006 </t>
  </si>
  <si>
    <t>Aktywa Obrotowe</t>
  </si>
  <si>
    <t>-</t>
  </si>
  <si>
    <t>TABELA 10</t>
  </si>
  <si>
    <t>TABELA 11</t>
  </si>
  <si>
    <t xml:space="preserve">          Wartość aktywów trwałych w placówkach oświaty i wychowania stan na dzień 30.09.2006 </t>
  </si>
  <si>
    <t>TABELA 12</t>
  </si>
  <si>
    <t xml:space="preserve">                           Wartość aktywów obrotowych w placówkach oświaty i wychowania</t>
  </si>
  <si>
    <t xml:space="preserve">          Wartość aktywów trwałych w jednostkach kultury i sportu stan na dzień 30.09.2006 </t>
  </si>
  <si>
    <t>TABELA 13</t>
  </si>
  <si>
    <t xml:space="preserve">                                            Wartość aktywów obrotowych jednostek kultury i sportu</t>
  </si>
  <si>
    <t>TABELA 14</t>
  </si>
  <si>
    <t>TABELA 15</t>
  </si>
  <si>
    <t xml:space="preserve">Wartość aktywów trwałych będących w dyspozycji Zarządu Budynków Mieszkalnych stan na dzień 30.09.2006 </t>
  </si>
  <si>
    <t>TABELA 16</t>
  </si>
  <si>
    <t xml:space="preserve">     Wartość aktywów obrotowych będących w dyspozycji Zarządu Budynków Mieszkalnych</t>
  </si>
  <si>
    <t>TABELA 17</t>
  </si>
  <si>
    <t xml:space="preserve">                      Wartość aktywów obrotowych będących w dyspozycji Zarządu Dróg Miejskich </t>
  </si>
  <si>
    <t>TABELA 18</t>
  </si>
  <si>
    <t xml:space="preserve">                           Zmiany w aktywach trwałych Miasta Koszalina na dzień 30.09.2006 roku</t>
  </si>
  <si>
    <t>TABELA 4</t>
  </si>
  <si>
    <t xml:space="preserve">                    Zestawienie aktywów obrotowych Urzędu Miejskiego na dzień 30.09.2006</t>
  </si>
  <si>
    <t>Wykaz udziałów Gminy Miasto Koszalin w spółkach miejskich na dzień 30.09.2006 roku</t>
  </si>
  <si>
    <t xml:space="preserve">                Powierzchnia i wartość gruntów komunalnych na dzień 30.09.2006 roku</t>
  </si>
  <si>
    <t xml:space="preserve">           Wartość aktywów obrotowych w placówkach ochrony zdrowia i opieki społecznej  </t>
  </si>
  <si>
    <t xml:space="preserve">      Wartość aktywów trwałych będących w dyspozycji Zarządu Dróg Miejskich stan na dzień 30.09.2006 </t>
  </si>
  <si>
    <t>TABELA 19</t>
  </si>
  <si>
    <t>DOCHODY I WYDATKI  DOTYCZĄCE  MIENIA KOMUNALNEGO  W 2007 ROKU</t>
  </si>
  <si>
    <t>w tys. zł</t>
  </si>
  <si>
    <t>UDZIAŁ W DOCHODACH BUDŻETOWYCH</t>
  </si>
  <si>
    <t>UDZIAŁ W WYDATKACH  BUDŻETOWYCH</t>
  </si>
  <si>
    <t>OPIS MIENIA WG</t>
  </si>
  <si>
    <t>kwota dochodów</t>
  </si>
  <si>
    <t>% w dochodach ogółem</t>
  </si>
  <si>
    <t>kwota wydatków</t>
  </si>
  <si>
    <t>%  w wydatkach  ogółem</t>
  </si>
  <si>
    <t>GRUP RODZAJOWYCH</t>
  </si>
  <si>
    <t>2006 rok</t>
  </si>
  <si>
    <t>2007 rok</t>
  </si>
  <si>
    <t>dynamika
3 : 2</t>
  </si>
  <si>
    <t>dynamika
9 : 7</t>
  </si>
  <si>
    <t>dynamika
10 :8</t>
  </si>
  <si>
    <t>wydatki ogółem</t>
  </si>
  <si>
    <t>w tym majątkowe</t>
  </si>
  <si>
    <t>GRUNTY KOMUNALNE</t>
  </si>
  <si>
    <t>Grunty rolne</t>
  </si>
  <si>
    <t>Drogi</t>
  </si>
  <si>
    <t>Place i tereny zielone</t>
  </si>
  <si>
    <t>Działki budowlane</t>
  </si>
  <si>
    <t>Cmentarze komunalne</t>
  </si>
  <si>
    <t>Inne  (użytkowanie wieczyste i inne)</t>
  </si>
  <si>
    <t>OBIEKTY KOMUNALNE</t>
  </si>
  <si>
    <t>Lokale mieszkalne  i użytkowe</t>
  </si>
  <si>
    <t>Budynki, budowle</t>
  </si>
  <si>
    <t>Szkoły, Przedszkola</t>
  </si>
  <si>
    <t>Żłobki, MOPS, obiekt służący rehabilitacji</t>
  </si>
  <si>
    <t>Ośrodki i instytucje kultury</t>
  </si>
  <si>
    <t>Ośrodki sportu i rekreacji</t>
  </si>
  <si>
    <t>III</t>
  </si>
  <si>
    <t>OBIEKTY INŻYNIERII LĄDOWEJ</t>
  </si>
  <si>
    <t>Sieć wodociągowa i sanitarna</t>
  </si>
  <si>
    <t>IV</t>
  </si>
  <si>
    <t>UDZIAŁY W SPÓŁKACH</t>
  </si>
  <si>
    <t xml:space="preserve">OGÓŁEM </t>
  </si>
  <si>
    <t xml:space="preserve">               DOCHODY OGÓŁEM:</t>
  </si>
  <si>
    <t>2006rok</t>
  </si>
  <si>
    <t>tys.zł</t>
  </si>
  <si>
    <t xml:space="preserve">           WYDATKI OGÓŁEM:</t>
  </si>
  <si>
    <t>2007rok</t>
  </si>
  <si>
    <t>POPRAWIĆ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</si>
</sst>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#,##0.000"/>
    <numFmt numFmtId="167" formatCode="#,##0.0"/>
    <numFmt numFmtId="168" formatCode="0.0"/>
  </numFmts>
  <fonts count="27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5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4"/>
      <name val="Arial CE"/>
      <family val="0"/>
    </font>
    <font>
      <i/>
      <sz val="10"/>
      <name val="Times New Roman"/>
      <family val="1"/>
    </font>
    <font>
      <sz val="6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1" fontId="1" fillId="2" borderId="6" xfId="0" applyNumberFormat="1" applyFont="1" applyFill="1" applyBorder="1" applyAlignment="1">
      <alignment horizontal="center" vertical="center"/>
    </xf>
    <xf numFmtId="41" fontId="1" fillId="2" borderId="4" xfId="0" applyNumberFormat="1" applyFont="1" applyFill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1" fontId="8" fillId="2" borderId="5" xfId="0" applyNumberFormat="1" applyFont="1" applyFill="1" applyBorder="1" applyAlignment="1">
      <alignment horizontal="center" vertical="center"/>
    </xf>
    <xf numFmtId="41" fontId="8" fillId="2" borderId="6" xfId="15" applyNumberFormat="1" applyFont="1" applyFill="1" applyBorder="1" applyAlignment="1">
      <alignment horizontal="center" vertical="center"/>
    </xf>
    <xf numFmtId="41" fontId="8" fillId="2" borderId="4" xfId="15" applyNumberFormat="1" applyFont="1" applyFill="1" applyBorder="1" applyAlignment="1">
      <alignment horizontal="center" vertical="center"/>
    </xf>
    <xf numFmtId="41" fontId="8" fillId="2" borderId="7" xfId="15" applyNumberFormat="1" applyFont="1" applyFill="1" applyBorder="1" applyAlignment="1">
      <alignment horizontal="center" vertical="center"/>
    </xf>
    <xf numFmtId="43" fontId="8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41" fontId="1" fillId="2" borderId="21" xfId="15" applyNumberFormat="1" applyFont="1" applyFill="1" applyBorder="1" applyAlignment="1">
      <alignment horizontal="center" vertical="center"/>
    </xf>
    <xf numFmtId="41" fontId="1" fillId="2" borderId="22" xfId="15" applyNumberFormat="1" applyFont="1" applyFill="1" applyBorder="1" applyAlignment="1">
      <alignment horizontal="center" vertical="center"/>
    </xf>
    <xf numFmtId="41" fontId="1" fillId="2" borderId="23" xfId="15" applyNumberFormat="1" applyFont="1" applyFill="1" applyBorder="1" applyAlignment="1">
      <alignment horizontal="center" vertical="center"/>
    </xf>
    <xf numFmtId="41" fontId="1" fillId="2" borderId="24" xfId="15" applyNumberFormat="1" applyFont="1" applyFill="1" applyBorder="1" applyAlignment="1">
      <alignment horizontal="center" vertical="center"/>
    </xf>
    <xf numFmtId="43" fontId="1" fillId="2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41" fontId="2" fillId="0" borderId="27" xfId="15" applyNumberFormat="1" applyFont="1" applyBorder="1" applyAlignment="1">
      <alignment horizontal="center" vertical="center"/>
    </xf>
    <xf numFmtId="41" fontId="2" fillId="0" borderId="17" xfId="15" applyNumberFormat="1" applyFont="1" applyBorder="1" applyAlignment="1">
      <alignment horizontal="center" vertical="center"/>
    </xf>
    <xf numFmtId="41" fontId="2" fillId="0" borderId="28" xfId="15" applyNumberFormat="1" applyFont="1" applyBorder="1" applyAlignment="1">
      <alignment horizontal="center" vertical="center"/>
    </xf>
    <xf numFmtId="41" fontId="2" fillId="0" borderId="29" xfId="15" applyNumberFormat="1" applyFont="1" applyBorder="1" applyAlignment="1">
      <alignment horizontal="center" vertical="center"/>
    </xf>
    <xf numFmtId="43" fontId="2" fillId="0" borderId="3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41" fontId="2" fillId="0" borderId="31" xfId="15" applyNumberFormat="1" applyFont="1" applyBorder="1" applyAlignment="1">
      <alignment horizontal="center" vertical="center"/>
    </xf>
    <xf numFmtId="41" fontId="2" fillId="0" borderId="32" xfId="15" applyNumberFormat="1" applyFont="1" applyBorder="1" applyAlignment="1">
      <alignment horizontal="center" vertical="center"/>
    </xf>
    <xf numFmtId="43" fontId="2" fillId="0" borderId="33" xfId="0" applyNumberFormat="1" applyFont="1" applyBorder="1" applyAlignment="1">
      <alignment horizontal="center" vertical="center"/>
    </xf>
    <xf numFmtId="43" fontId="2" fillId="0" borderId="34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41" fontId="2" fillId="0" borderId="21" xfId="15" applyNumberFormat="1" applyFont="1" applyBorder="1" applyAlignment="1">
      <alignment horizontal="center" vertical="center"/>
    </xf>
    <xf numFmtId="41" fontId="2" fillId="0" borderId="22" xfId="15" applyNumberFormat="1" applyFont="1" applyBorder="1" applyAlignment="1">
      <alignment horizontal="center" vertical="center"/>
    </xf>
    <xf numFmtId="41" fontId="2" fillId="0" borderId="24" xfId="15" applyNumberFormat="1" applyFont="1" applyBorder="1" applyAlignment="1">
      <alignment horizontal="center" vertical="center"/>
    </xf>
    <xf numFmtId="43" fontId="2" fillId="0" borderId="36" xfId="0" applyNumberFormat="1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41" fontId="1" fillId="2" borderId="38" xfId="15" applyNumberFormat="1" applyFont="1" applyFill="1" applyBorder="1" applyAlignment="1">
      <alignment horizontal="center" vertical="center"/>
    </xf>
    <xf numFmtId="41" fontId="1" fillId="2" borderId="39" xfId="15" applyNumberFormat="1" applyFont="1" applyFill="1" applyBorder="1" applyAlignment="1">
      <alignment horizontal="center" vertical="center"/>
    </xf>
    <xf numFmtId="41" fontId="1" fillId="2" borderId="40" xfId="15" applyNumberFormat="1" applyFont="1" applyFill="1" applyBorder="1" applyAlignment="1">
      <alignment horizontal="center" vertical="center"/>
    </xf>
    <xf numFmtId="43" fontId="1" fillId="2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41" fontId="2" fillId="0" borderId="43" xfId="15" applyNumberFormat="1" applyFont="1" applyBorder="1" applyAlignment="1">
      <alignment horizontal="center" vertical="center"/>
    </xf>
    <xf numFmtId="41" fontId="2" fillId="0" borderId="40" xfId="15" applyNumberFormat="1" applyFont="1" applyBorder="1" applyAlignment="1">
      <alignment horizontal="center" vertical="center"/>
    </xf>
    <xf numFmtId="43" fontId="2" fillId="0" borderId="44" xfId="0" applyNumberFormat="1" applyFont="1" applyBorder="1" applyAlignment="1">
      <alignment horizontal="center" vertical="center"/>
    </xf>
    <xf numFmtId="41" fontId="2" fillId="0" borderId="45" xfId="15" applyNumberFormat="1" applyFont="1" applyBorder="1" applyAlignment="1">
      <alignment horizontal="center" vertical="center"/>
    </xf>
    <xf numFmtId="41" fontId="2" fillId="0" borderId="46" xfId="15" applyNumberFormat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41" fontId="2" fillId="0" borderId="48" xfId="15" applyNumberFormat="1" applyFont="1" applyBorder="1" applyAlignment="1">
      <alignment horizontal="center" vertical="center"/>
    </xf>
    <xf numFmtId="41" fontId="2" fillId="0" borderId="10" xfId="15" applyNumberFormat="1" applyFont="1" applyBorder="1" applyAlignment="1">
      <alignment horizontal="center" vertical="center"/>
    </xf>
    <xf numFmtId="41" fontId="2" fillId="0" borderId="14" xfId="15" applyNumberFormat="1" applyFont="1" applyBorder="1" applyAlignment="1">
      <alignment horizontal="center" vertical="center"/>
    </xf>
    <xf numFmtId="41" fontId="2" fillId="0" borderId="49" xfId="15" applyNumberFormat="1" applyFont="1" applyBorder="1" applyAlignment="1">
      <alignment horizontal="center" vertical="center"/>
    </xf>
    <xf numFmtId="43" fontId="2" fillId="0" borderId="5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15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43" fontId="1" fillId="2" borderId="7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41" fontId="1" fillId="2" borderId="21" xfId="15" applyNumberFormat="1" applyFont="1" applyFill="1" applyBorder="1" applyAlignment="1">
      <alignment horizontal="center" vertical="center"/>
    </xf>
    <xf numFmtId="41" fontId="1" fillId="2" borderId="22" xfId="15" applyNumberFormat="1" applyFont="1" applyFill="1" applyBorder="1" applyAlignment="1">
      <alignment horizontal="center" vertical="center"/>
    </xf>
    <xf numFmtId="41" fontId="1" fillId="2" borderId="23" xfId="15" applyNumberFormat="1" applyFont="1" applyFill="1" applyBorder="1" applyAlignment="1">
      <alignment horizontal="center" vertical="center"/>
    </xf>
    <xf numFmtId="41" fontId="1" fillId="2" borderId="24" xfId="15" applyNumberFormat="1" applyFont="1" applyFill="1" applyBorder="1" applyAlignment="1">
      <alignment horizontal="center" vertical="center"/>
    </xf>
    <xf numFmtId="43" fontId="1" fillId="2" borderId="25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41" fontId="1" fillId="2" borderId="38" xfId="15" applyNumberFormat="1" applyFont="1" applyFill="1" applyBorder="1" applyAlignment="1">
      <alignment horizontal="center" vertical="center"/>
    </xf>
    <xf numFmtId="41" fontId="1" fillId="2" borderId="39" xfId="15" applyNumberFormat="1" applyFont="1" applyFill="1" applyBorder="1" applyAlignment="1">
      <alignment horizontal="center" vertical="center"/>
    </xf>
    <xf numFmtId="41" fontId="1" fillId="2" borderId="40" xfId="15" applyNumberFormat="1" applyFont="1" applyFill="1" applyBorder="1" applyAlignment="1">
      <alignment horizontal="center" vertical="center"/>
    </xf>
    <xf numFmtId="43" fontId="1" fillId="2" borderId="41" xfId="0" applyNumberFormat="1" applyFont="1" applyFill="1" applyBorder="1" applyAlignment="1">
      <alignment horizontal="center" vertical="center"/>
    </xf>
    <xf numFmtId="43" fontId="1" fillId="0" borderId="14" xfId="15" applyFont="1" applyBorder="1" applyAlignment="1">
      <alignment horizontal="center" vertical="center" wrapText="1"/>
    </xf>
    <xf numFmtId="41" fontId="10" fillId="0" borderId="17" xfId="15" applyNumberFormat="1" applyFont="1" applyBorder="1" applyAlignment="1">
      <alignment horizontal="center" vertical="center"/>
    </xf>
    <xf numFmtId="41" fontId="10" fillId="0" borderId="51" xfId="15" applyNumberFormat="1" applyFont="1" applyBorder="1" applyAlignment="1">
      <alignment horizontal="center" vertical="center"/>
    </xf>
    <xf numFmtId="41" fontId="10" fillId="0" borderId="32" xfId="15" applyNumberFormat="1" applyFont="1" applyBorder="1" applyAlignment="1">
      <alignment horizontal="center" vertical="center"/>
    </xf>
    <xf numFmtId="41" fontId="10" fillId="0" borderId="15" xfId="15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41" fontId="10" fillId="0" borderId="10" xfId="15" applyNumberFormat="1" applyFont="1" applyBorder="1" applyAlignment="1">
      <alignment horizontal="center" vertical="center"/>
    </xf>
    <xf numFmtId="41" fontId="9" fillId="2" borderId="4" xfId="0" applyNumberFormat="1" applyFont="1" applyFill="1" applyBorder="1" applyAlignment="1">
      <alignment horizontal="center" vertical="center"/>
    </xf>
    <xf numFmtId="41" fontId="9" fillId="2" borderId="7" xfId="15" applyNumberFormat="1" applyFont="1" applyFill="1" applyBorder="1" applyAlignment="1">
      <alignment horizontal="center" vertical="center"/>
    </xf>
    <xf numFmtId="41" fontId="9" fillId="2" borderId="4" xfId="15" applyNumberFormat="1" applyFont="1" applyFill="1" applyBorder="1" applyAlignment="1">
      <alignment horizontal="center" vertical="center"/>
    </xf>
    <xf numFmtId="41" fontId="9" fillId="2" borderId="1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9" fillId="2" borderId="34" xfId="0" applyNumberFormat="1" applyFont="1" applyFill="1" applyBorder="1" applyAlignment="1">
      <alignment horizontal="center" vertical="center"/>
    </xf>
    <xf numFmtId="41" fontId="9" fillId="2" borderId="34" xfId="15" applyNumberFormat="1" applyFont="1" applyFill="1" applyBorder="1" applyAlignment="1">
      <alignment horizontal="center" vertical="center"/>
    </xf>
    <xf numFmtId="41" fontId="9" fillId="2" borderId="33" xfId="15" applyNumberFormat="1" applyFont="1" applyFill="1" applyBorder="1" applyAlignment="1">
      <alignment horizontal="center" vertical="center"/>
    </xf>
    <xf numFmtId="41" fontId="9" fillId="2" borderId="33" xfId="0" applyNumberFormat="1" applyFont="1" applyFill="1" applyBorder="1" applyAlignment="1">
      <alignment horizontal="center" vertical="center"/>
    </xf>
    <xf numFmtId="41" fontId="9" fillId="2" borderId="18" xfId="0" applyNumberFormat="1" applyFont="1" applyFill="1" applyBorder="1" applyAlignment="1">
      <alignment horizontal="center" vertical="center"/>
    </xf>
    <xf numFmtId="41" fontId="9" fillId="2" borderId="5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64" fontId="1" fillId="2" borderId="4" xfId="15" applyNumberFormat="1" applyFont="1" applyFill="1" applyBorder="1" applyAlignment="1">
      <alignment horizontal="center" vertical="center"/>
    </xf>
    <xf numFmtId="164" fontId="1" fillId="2" borderId="7" xfId="15" applyNumberFormat="1" applyFont="1" applyFill="1" applyBorder="1" applyAlignment="1">
      <alignment horizontal="center" vertical="center"/>
    </xf>
    <xf numFmtId="164" fontId="1" fillId="2" borderId="19" xfId="15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41" fontId="1" fillId="2" borderId="15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5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41" fontId="1" fillId="2" borderId="6" xfId="15" applyNumberFormat="1" applyFont="1" applyFill="1" applyBorder="1" applyAlignment="1">
      <alignment horizontal="center" vertical="center"/>
    </xf>
    <xf numFmtId="41" fontId="1" fillId="2" borderId="4" xfId="15" applyNumberFormat="1" applyFont="1" applyFill="1" applyBorder="1" applyAlignment="1">
      <alignment horizontal="center" vertical="center"/>
    </xf>
    <xf numFmtId="41" fontId="1" fillId="2" borderId="7" xfId="15" applyNumberFormat="1" applyFont="1" applyFill="1" applyBorder="1" applyAlignment="1">
      <alignment horizontal="center" vertical="center"/>
    </xf>
    <xf numFmtId="3" fontId="1" fillId="2" borderId="7" xfId="15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3" fontId="1" fillId="2" borderId="40" xfId="15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center" vertical="center"/>
    </xf>
    <xf numFmtId="3" fontId="1" fillId="2" borderId="54" xfId="15" applyNumberFormat="1" applyFont="1" applyFill="1" applyBorder="1" applyAlignment="1">
      <alignment horizontal="center" vertical="center"/>
    </xf>
    <xf numFmtId="3" fontId="1" fillId="2" borderId="23" xfId="15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41" fontId="1" fillId="2" borderId="15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1" fillId="2" borderId="17" xfId="0" applyNumberFormat="1" applyFont="1" applyFill="1" applyBorder="1" applyAlignment="1">
      <alignment horizontal="center" vertical="center"/>
    </xf>
    <xf numFmtId="41" fontId="2" fillId="2" borderId="40" xfId="15" applyNumberFormat="1" applyFont="1" applyFill="1" applyBorder="1" applyAlignment="1">
      <alignment horizontal="center" vertical="center"/>
    </xf>
    <xf numFmtId="41" fontId="1" fillId="2" borderId="17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/>
    </xf>
    <xf numFmtId="43" fontId="10" fillId="0" borderId="5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43" fontId="10" fillId="0" borderId="18" xfId="0" applyNumberFormat="1" applyFont="1" applyBorder="1" applyAlignment="1">
      <alignment horizontal="center" vertical="center"/>
    </xf>
    <xf numFmtId="41" fontId="9" fillId="2" borderId="4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1" fontId="10" fillId="0" borderId="32" xfId="0" applyNumberFormat="1" applyFont="1" applyBorder="1" applyAlignment="1">
      <alignment vertical="center"/>
    </xf>
    <xf numFmtId="43" fontId="10" fillId="0" borderId="18" xfId="0" applyNumberFormat="1" applyFont="1" applyBorder="1" applyAlignment="1">
      <alignment vertical="center"/>
    </xf>
    <xf numFmtId="43" fontId="9" fillId="2" borderId="5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41" fontId="1" fillId="2" borderId="58" xfId="0" applyNumberFormat="1" applyFont="1" applyFill="1" applyBorder="1" applyAlignment="1">
      <alignment horizontal="center" vertical="center"/>
    </xf>
    <xf numFmtId="4" fontId="1" fillId="2" borderId="59" xfId="0" applyNumberFormat="1" applyFont="1" applyFill="1" applyBorder="1" applyAlignment="1">
      <alignment horizontal="center" vertical="center"/>
    </xf>
    <xf numFmtId="41" fontId="1" fillId="2" borderId="5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59" xfId="0" applyNumberFormat="1" applyFont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41" fontId="10" fillId="0" borderId="27" xfId="0" applyNumberFormat="1" applyFont="1" applyBorder="1" applyAlignment="1">
      <alignment horizontal="center" vertical="center"/>
    </xf>
    <xf numFmtId="41" fontId="10" fillId="0" borderId="60" xfId="0" applyNumberFormat="1" applyFont="1" applyFill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vertical="center" wrapText="1"/>
    </xf>
    <xf numFmtId="41" fontId="10" fillId="0" borderId="63" xfId="0" applyNumberFormat="1" applyFont="1" applyBorder="1" applyAlignment="1">
      <alignment horizontal="center" vertical="center"/>
    </xf>
    <xf numFmtId="41" fontId="10" fillId="0" borderId="32" xfId="0" applyNumberFormat="1" applyFont="1" applyFill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41" fontId="10" fillId="0" borderId="31" xfId="0" applyNumberFormat="1" applyFont="1" applyBorder="1" applyAlignment="1">
      <alignment horizontal="center" vertical="center"/>
    </xf>
    <xf numFmtId="41" fontId="10" fillId="0" borderId="64" xfId="0" applyNumberFormat="1" applyFont="1" applyFill="1" applyBorder="1" applyAlignment="1">
      <alignment horizontal="center" vertical="center"/>
    </xf>
    <xf numFmtId="41" fontId="10" fillId="0" borderId="4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64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horizontal="center" vertical="center"/>
    </xf>
    <xf numFmtId="41" fontId="10" fillId="0" borderId="61" xfId="0" applyNumberFormat="1" applyFont="1" applyBorder="1" applyAlignment="1">
      <alignment horizontal="center" vertical="center"/>
    </xf>
    <xf numFmtId="41" fontId="10" fillId="0" borderId="6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67" xfId="0" applyFont="1" applyBorder="1" applyAlignment="1">
      <alignment vertical="center" wrapText="1"/>
    </xf>
    <xf numFmtId="41" fontId="10" fillId="0" borderId="68" xfId="0" applyNumberFormat="1" applyFont="1" applyBorder="1" applyAlignment="1">
      <alignment horizontal="center" vertical="center"/>
    </xf>
    <xf numFmtId="41" fontId="10" fillId="0" borderId="69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" fontId="10" fillId="0" borderId="45" xfId="0" applyNumberFormat="1" applyFont="1" applyBorder="1" applyAlignment="1">
      <alignment horizontal="center" vertical="center"/>
    </xf>
    <xf numFmtId="41" fontId="10" fillId="0" borderId="51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2" borderId="70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41" fontId="10" fillId="0" borderId="64" xfId="0" applyNumberFormat="1" applyFont="1" applyBorder="1" applyAlignment="1">
      <alignment horizontal="center" vertical="center"/>
    </xf>
    <xf numFmtId="4" fontId="10" fillId="0" borderId="65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41" fontId="10" fillId="0" borderId="17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43" fontId="10" fillId="0" borderId="72" xfId="0" applyNumberFormat="1" applyFont="1" applyBorder="1" applyAlignment="1">
      <alignment horizontal="right" vertical="center"/>
    </xf>
    <xf numFmtId="43" fontId="10" fillId="0" borderId="73" xfId="0" applyNumberFormat="1" applyFont="1" applyBorder="1" applyAlignment="1">
      <alignment horizontal="right" vertical="center"/>
    </xf>
    <xf numFmtId="43" fontId="10" fillId="0" borderId="74" xfId="0" applyNumberFormat="1" applyFont="1" applyBorder="1" applyAlignment="1">
      <alignment horizontal="right" vertical="center"/>
    </xf>
    <xf numFmtId="0" fontId="10" fillId="0" borderId="6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41" fontId="10" fillId="0" borderId="27" xfId="15" applyNumberFormat="1" applyFont="1" applyBorder="1" applyAlignment="1">
      <alignment horizontal="center" vertical="center"/>
    </xf>
    <xf numFmtId="41" fontId="10" fillId="0" borderId="28" xfId="15" applyNumberFormat="1" applyFont="1" applyBorder="1" applyAlignment="1">
      <alignment horizontal="center" vertical="center"/>
    </xf>
    <xf numFmtId="41" fontId="10" fillId="0" borderId="29" xfId="15" applyNumberFormat="1" applyFont="1" applyBorder="1" applyAlignment="1">
      <alignment horizontal="center" vertical="center"/>
    </xf>
    <xf numFmtId="43" fontId="10" fillId="0" borderId="3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41" fontId="10" fillId="0" borderId="31" xfId="15" applyNumberFormat="1" applyFont="1" applyBorder="1" applyAlignment="1">
      <alignment horizontal="center" vertical="center"/>
    </xf>
    <xf numFmtId="43" fontId="10" fillId="0" borderId="33" xfId="0" applyNumberFormat="1" applyFont="1" applyBorder="1" applyAlignment="1">
      <alignment horizontal="center" vertical="center"/>
    </xf>
    <xf numFmtId="43" fontId="10" fillId="0" borderId="34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41" fontId="10" fillId="0" borderId="21" xfId="15" applyNumberFormat="1" applyFont="1" applyBorder="1" applyAlignment="1">
      <alignment horizontal="center" vertical="center"/>
    </xf>
    <xf numFmtId="41" fontId="10" fillId="0" borderId="22" xfId="15" applyNumberFormat="1" applyFont="1" applyBorder="1" applyAlignment="1">
      <alignment horizontal="center" vertical="center"/>
    </xf>
    <xf numFmtId="41" fontId="10" fillId="0" borderId="24" xfId="15" applyNumberFormat="1" applyFont="1" applyBorder="1" applyAlignment="1">
      <alignment horizontal="center" vertical="center"/>
    </xf>
    <xf numFmtId="43" fontId="10" fillId="0" borderId="36" xfId="0" applyNumberFormat="1" applyFont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41" fontId="10" fillId="0" borderId="43" xfId="15" applyNumberFormat="1" applyFont="1" applyBorder="1" applyAlignment="1">
      <alignment horizontal="center" vertical="center"/>
    </xf>
    <xf numFmtId="41" fontId="10" fillId="0" borderId="40" xfId="15" applyNumberFormat="1" applyFont="1" applyBorder="1" applyAlignment="1">
      <alignment horizontal="center" vertical="center"/>
    </xf>
    <xf numFmtId="43" fontId="10" fillId="0" borderId="44" xfId="0" applyNumberFormat="1" applyFont="1" applyBorder="1" applyAlignment="1">
      <alignment horizontal="center" vertical="center"/>
    </xf>
    <xf numFmtId="41" fontId="10" fillId="0" borderId="45" xfId="15" applyNumberFormat="1" applyFont="1" applyBorder="1" applyAlignment="1">
      <alignment horizontal="center" vertical="center"/>
    </xf>
    <xf numFmtId="41" fontId="10" fillId="0" borderId="46" xfId="15" applyNumberFormat="1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41" fontId="10" fillId="0" borderId="48" xfId="15" applyNumberFormat="1" applyFont="1" applyBorder="1" applyAlignment="1">
      <alignment horizontal="center" vertical="center"/>
    </xf>
    <xf numFmtId="41" fontId="10" fillId="0" borderId="14" xfId="15" applyNumberFormat="1" applyFont="1" applyBorder="1" applyAlignment="1">
      <alignment horizontal="center" vertical="center"/>
    </xf>
    <xf numFmtId="41" fontId="10" fillId="0" borderId="49" xfId="15" applyNumberFormat="1" applyFont="1" applyBorder="1" applyAlignment="1">
      <alignment horizontal="center" vertical="center"/>
    </xf>
    <xf numFmtId="43" fontId="10" fillId="0" borderId="50" xfId="0" applyNumberFormat="1" applyFont="1" applyBorder="1" applyAlignment="1">
      <alignment horizontal="center" vertical="center"/>
    </xf>
    <xf numFmtId="41" fontId="8" fillId="2" borderId="6" xfId="15" applyNumberFormat="1" applyFont="1" applyFill="1" applyBorder="1" applyAlignment="1">
      <alignment horizontal="right" vertical="center"/>
    </xf>
    <xf numFmtId="0" fontId="10" fillId="0" borderId="75" xfId="0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/>
    </xf>
    <xf numFmtId="41" fontId="10" fillId="0" borderId="44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164" fontId="10" fillId="0" borderId="17" xfId="15" applyNumberFormat="1" applyFont="1" applyBorder="1" applyAlignment="1">
      <alignment horizontal="center" vertical="center"/>
    </xf>
    <xf numFmtId="164" fontId="10" fillId="0" borderId="51" xfId="15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164" fontId="10" fillId="0" borderId="32" xfId="15" applyNumberFormat="1" applyFont="1" applyBorder="1" applyAlignment="1">
      <alignment horizontal="center" vertical="center"/>
    </xf>
    <xf numFmtId="2" fontId="10" fillId="0" borderId="76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64" fontId="10" fillId="0" borderId="15" xfId="15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10" fillId="0" borderId="49" xfId="15" applyNumberFormat="1" applyFont="1" applyBorder="1" applyAlignment="1">
      <alignment horizontal="center" vertical="center"/>
    </xf>
    <xf numFmtId="164" fontId="10" fillId="0" borderId="13" xfId="15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165" fontId="10" fillId="0" borderId="51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" fontId="10" fillId="0" borderId="34" xfId="0" applyNumberFormat="1" applyFont="1" applyBorder="1" applyAlignment="1">
      <alignment horizontal="center" vertical="center"/>
    </xf>
    <xf numFmtId="3" fontId="10" fillId="0" borderId="29" xfId="15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3" fontId="10" fillId="0" borderId="24" xfId="15" applyNumberFormat="1" applyFont="1" applyBorder="1" applyAlignment="1">
      <alignment horizontal="center" vertical="center"/>
    </xf>
    <xf numFmtId="3" fontId="10" fillId="0" borderId="17" xfId="15" applyNumberFormat="1" applyFont="1" applyBorder="1" applyAlignment="1">
      <alignment horizontal="center" vertical="center"/>
    </xf>
    <xf numFmtId="3" fontId="10" fillId="0" borderId="32" xfId="15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4" fontId="10" fillId="0" borderId="50" xfId="0" applyNumberFormat="1" applyFont="1" applyBorder="1" applyAlignment="1">
      <alignment horizontal="center" vertical="center"/>
    </xf>
    <xf numFmtId="0" fontId="1" fillId="2" borderId="77" xfId="0" applyFont="1" applyFill="1" applyBorder="1" applyAlignment="1">
      <alignment horizontal="left" vertical="center"/>
    </xf>
    <xf numFmtId="41" fontId="1" fillId="2" borderId="55" xfId="15" applyNumberFormat="1" applyFont="1" applyFill="1" applyBorder="1" applyAlignment="1">
      <alignment horizontal="center" vertical="center"/>
    </xf>
    <xf numFmtId="41" fontId="1" fillId="2" borderId="60" xfId="15" applyNumberFormat="1" applyFont="1" applyFill="1" applyBorder="1" applyAlignment="1">
      <alignment horizontal="center" vertical="center"/>
    </xf>
    <xf numFmtId="41" fontId="1" fillId="2" borderId="78" xfId="15" applyNumberFormat="1" applyFont="1" applyFill="1" applyBorder="1" applyAlignment="1">
      <alignment horizontal="center" vertical="center"/>
    </xf>
    <xf numFmtId="43" fontId="1" fillId="2" borderId="79" xfId="0" applyNumberFormat="1" applyFont="1" applyFill="1" applyBorder="1" applyAlignment="1">
      <alignment horizontal="center" vertical="center"/>
    </xf>
    <xf numFmtId="41" fontId="1" fillId="0" borderId="17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3" fontId="1" fillId="2" borderId="40" xfId="15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center" vertical="center"/>
    </xf>
    <xf numFmtId="3" fontId="1" fillId="2" borderId="54" xfId="15" applyNumberFormat="1" applyFont="1" applyFill="1" applyBorder="1" applyAlignment="1">
      <alignment horizontal="center" vertical="center"/>
    </xf>
    <xf numFmtId="165" fontId="10" fillId="0" borderId="32" xfId="15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41" fontId="10" fillId="0" borderId="51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45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Alignment="1">
      <alignment/>
    </xf>
    <xf numFmtId="0" fontId="3" fillId="0" borderId="7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Alignment="1">
      <alignment/>
    </xf>
    <xf numFmtId="0" fontId="5" fillId="0" borderId="80" xfId="0" applyFont="1" applyBorder="1" applyAlignment="1">
      <alignment horizontal="centerContinuous"/>
    </xf>
    <xf numFmtId="0" fontId="5" fillId="0" borderId="81" xfId="0" applyFont="1" applyBorder="1" applyAlignment="1">
      <alignment/>
    </xf>
    <xf numFmtId="0" fontId="5" fillId="0" borderId="0" xfId="0" applyFont="1" applyAlignment="1">
      <alignment/>
    </xf>
    <xf numFmtId="0" fontId="6" fillId="0" borderId="82" xfId="0" applyFont="1" applyBorder="1" applyAlignment="1">
      <alignment horizontal="centerContinuous"/>
    </xf>
    <xf numFmtId="0" fontId="6" fillId="0" borderId="36" xfId="0" applyFont="1" applyBorder="1" applyAlignment="1">
      <alignment/>
    </xf>
    <xf numFmtId="0" fontId="6" fillId="0" borderId="8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60" xfId="0" applyFont="1" applyBorder="1" applyAlignment="1">
      <alignment horizontal="centerContinuous" vertical="center"/>
    </xf>
    <xf numFmtId="0" fontId="23" fillId="0" borderId="83" xfId="0" applyFont="1" applyBorder="1" applyAlignment="1">
      <alignment horizontal="centerContinuous" vertical="center"/>
    </xf>
    <xf numFmtId="0" fontId="17" fillId="0" borderId="8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36" xfId="0" applyFont="1" applyBorder="1" applyAlignment="1">
      <alignment vertical="top"/>
    </xf>
    <xf numFmtId="0" fontId="5" fillId="0" borderId="32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25" fillId="0" borderId="84" xfId="0" applyFont="1" applyBorder="1" applyAlignment="1">
      <alignment horizontal="centerContinuous"/>
    </xf>
    <xf numFmtId="0" fontId="25" fillId="0" borderId="50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23" fillId="0" borderId="2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167" fontId="5" fillId="0" borderId="75" xfId="0" applyNumberFormat="1" applyFont="1" applyBorder="1" applyAlignment="1">
      <alignment horizontal="centerContinuous" vertical="center"/>
    </xf>
    <xf numFmtId="167" fontId="5" fillId="0" borderId="33" xfId="0" applyNumberFormat="1" applyFont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5" fillId="0" borderId="32" xfId="0" applyNumberFormat="1" applyFont="1" applyBorder="1" applyAlignment="1">
      <alignment vertical="center"/>
    </xf>
    <xf numFmtId="167" fontId="5" fillId="0" borderId="66" xfId="0" applyNumberFormat="1" applyFont="1" applyBorder="1" applyAlignment="1">
      <alignment vertical="center"/>
    </xf>
    <xf numFmtId="167" fontId="5" fillId="0" borderId="18" xfId="0" applyNumberFormat="1" applyFont="1" applyBorder="1" applyAlignment="1">
      <alignment vertical="center"/>
    </xf>
    <xf numFmtId="167" fontId="5" fillId="0" borderId="31" xfId="0" applyNumberFormat="1" applyFont="1" applyBorder="1" applyAlignment="1">
      <alignment vertical="center"/>
    </xf>
    <xf numFmtId="167" fontId="5" fillId="0" borderId="0" xfId="0" applyNumberFormat="1" applyFont="1" applyAlignment="1">
      <alignment vertical="center"/>
    </xf>
    <xf numFmtId="0" fontId="3" fillId="0" borderId="82" xfId="0" applyFont="1" applyBorder="1" applyAlignment="1">
      <alignment horizontal="centerContinuous" vertical="center"/>
    </xf>
    <xf numFmtId="0" fontId="26" fillId="0" borderId="36" xfId="0" applyFont="1" applyBorder="1" applyAlignment="1">
      <alignment vertical="center"/>
    </xf>
    <xf numFmtId="167" fontId="26" fillId="0" borderId="24" xfId="0" applyNumberFormat="1" applyFont="1" applyBorder="1" applyAlignment="1">
      <alignment vertical="center"/>
    </xf>
    <xf numFmtId="167" fontId="26" fillId="0" borderId="45" xfId="0" applyNumberFormat="1" applyFont="1" applyBorder="1" applyAlignment="1">
      <alignment vertical="center"/>
    </xf>
    <xf numFmtId="167" fontId="26" fillId="0" borderId="0" xfId="0" applyNumberFormat="1" applyFont="1" applyAlignment="1">
      <alignment vertical="center"/>
    </xf>
    <xf numFmtId="167" fontId="26" fillId="0" borderId="76" xfId="0" applyNumberFormat="1" applyFont="1" applyBorder="1" applyAlignment="1">
      <alignment vertical="center"/>
    </xf>
    <xf numFmtId="167" fontId="26" fillId="0" borderId="63" xfId="0" applyNumberFormat="1" applyFont="1" applyBorder="1" applyAlignment="1">
      <alignment vertical="center"/>
    </xf>
    <xf numFmtId="167" fontId="26" fillId="0" borderId="45" xfId="0" applyNumberFormat="1" applyFont="1" applyBorder="1" applyAlignment="1">
      <alignment vertical="center"/>
    </xf>
    <xf numFmtId="167" fontId="26" fillId="0" borderId="24" xfId="0" applyNumberFormat="1" applyFont="1" applyBorder="1" applyAlignment="1">
      <alignment vertical="center"/>
    </xf>
    <xf numFmtId="167" fontId="26" fillId="0" borderId="36" xfId="0" applyNumberFormat="1" applyFont="1" applyBorder="1" applyAlignment="1">
      <alignment vertical="center"/>
    </xf>
    <xf numFmtId="0" fontId="5" fillId="0" borderId="75" xfId="0" applyFont="1" applyBorder="1" applyAlignment="1">
      <alignment horizontal="centerContinuous"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26" fillId="0" borderId="36" xfId="0" applyFont="1" applyBorder="1" applyAlignment="1">
      <alignment vertical="center" wrapText="1"/>
    </xf>
    <xf numFmtId="167" fontId="5" fillId="0" borderId="74" xfId="0" applyNumberFormat="1" applyFont="1" applyBorder="1" applyAlignment="1">
      <alignment vertical="center"/>
    </xf>
    <xf numFmtId="167" fontId="26" fillId="0" borderId="73" xfId="0" applyNumberFormat="1" applyFont="1" applyBorder="1" applyAlignment="1">
      <alignment vertical="center"/>
    </xf>
    <xf numFmtId="167" fontId="26" fillId="0" borderId="32" xfId="0" applyNumberFormat="1" applyFont="1" applyBorder="1" applyAlignment="1">
      <alignment vertical="center"/>
    </xf>
    <xf numFmtId="167" fontId="26" fillId="0" borderId="17" xfId="0" applyNumberFormat="1" applyFont="1" applyBorder="1" applyAlignment="1">
      <alignment vertical="center"/>
    </xf>
    <xf numFmtId="0" fontId="6" fillId="0" borderId="84" xfId="0" applyFont="1" applyBorder="1" applyAlignment="1">
      <alignment horizontal="centerContinuous" vertical="center"/>
    </xf>
    <xf numFmtId="0" fontId="6" fillId="0" borderId="50" xfId="0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57" xfId="0" applyNumberFormat="1" applyFont="1" applyBorder="1" applyAlignment="1">
      <alignment vertical="center"/>
    </xf>
    <xf numFmtId="167" fontId="5" fillId="0" borderId="4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Continuous"/>
    </xf>
    <xf numFmtId="0" fontId="9" fillId="2" borderId="8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1" fillId="0" borderId="7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1" fillId="0" borderId="87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4">
      <selection activeCell="A5" sqref="A5"/>
    </sheetView>
  </sheetViews>
  <sheetFormatPr defaultColWidth="9.00390625" defaultRowHeight="12.75"/>
  <cols>
    <col min="1" max="1" width="9.125" style="161" customWidth="1"/>
    <col min="2" max="2" width="29.25390625" style="161" customWidth="1"/>
    <col min="3" max="3" width="27.125" style="161" customWidth="1"/>
    <col min="4" max="4" width="19.00390625" style="161" customWidth="1"/>
    <col min="5" max="16384" width="9.125" style="161" customWidth="1"/>
  </cols>
  <sheetData>
    <row r="2" ht="12.75">
      <c r="D2" s="156" t="s">
        <v>0</v>
      </c>
    </row>
    <row r="3" ht="18" customHeight="1">
      <c r="D3" s="175"/>
    </row>
    <row r="4" spans="1:4" ht="20.25">
      <c r="A4" s="162" t="s">
        <v>1</v>
      </c>
      <c r="B4" s="163"/>
      <c r="C4" s="163"/>
      <c r="D4" s="163"/>
    </row>
    <row r="5" spans="1:4" ht="20.25">
      <c r="A5" s="162" t="s">
        <v>2</v>
      </c>
      <c r="B5" s="163"/>
      <c r="C5" s="163"/>
      <c r="D5" s="163"/>
    </row>
    <row r="6" ht="13.5" thickBot="1"/>
    <row r="7" spans="1:4" s="148" customFormat="1" ht="59.25" customHeight="1" thickBot="1" thickTop="1">
      <c r="A7" s="30" t="s">
        <v>3</v>
      </c>
      <c r="B7" s="31" t="s">
        <v>4</v>
      </c>
      <c r="C7" s="173" t="s">
        <v>5</v>
      </c>
      <c r="D7" s="174" t="s">
        <v>6</v>
      </c>
    </row>
    <row r="8" spans="1:4" s="164" customFormat="1" ht="25.5" customHeight="1" thickTop="1">
      <c r="A8" s="165" t="s">
        <v>7</v>
      </c>
      <c r="B8" s="166" t="s">
        <v>8</v>
      </c>
      <c r="C8" s="167">
        <v>821517873</v>
      </c>
      <c r="D8" s="168">
        <f>C8*100/$C$12</f>
        <v>90.55872024420387</v>
      </c>
    </row>
    <row r="9" spans="1:4" ht="22.5" customHeight="1">
      <c r="A9" s="176" t="s">
        <v>9</v>
      </c>
      <c r="B9" s="177" t="s">
        <v>10</v>
      </c>
      <c r="C9" s="178">
        <v>612544693</v>
      </c>
      <c r="D9" s="179">
        <v>67.53</v>
      </c>
    </row>
    <row r="10" spans="1:4" ht="22.5" customHeight="1">
      <c r="A10" s="176" t="s">
        <v>11</v>
      </c>
      <c r="B10" s="177" t="s">
        <v>12</v>
      </c>
      <c r="C10" s="178">
        <f>184056446+24354999+561735</f>
        <v>208973180</v>
      </c>
      <c r="D10" s="179">
        <v>23.03</v>
      </c>
    </row>
    <row r="11" spans="1:4" s="164" customFormat="1" ht="25.5" customHeight="1">
      <c r="A11" s="169" t="s">
        <v>13</v>
      </c>
      <c r="B11" s="170" t="s">
        <v>14</v>
      </c>
      <c r="C11" s="105">
        <v>85648075</v>
      </c>
      <c r="D11" s="171">
        <f>C11*100/$C$12</f>
        <v>9.441279755796124</v>
      </c>
    </row>
    <row r="12" spans="1:4" ht="34.5" customHeight="1" thickBot="1">
      <c r="A12" s="439" t="s">
        <v>15</v>
      </c>
      <c r="B12" s="440"/>
      <c r="C12" s="172">
        <f>SUM(C9:C11)</f>
        <v>907165948</v>
      </c>
      <c r="D12" s="180">
        <f>C12*100/$C$12</f>
        <v>100</v>
      </c>
    </row>
    <row r="13" ht="13.5" thickTop="1"/>
  </sheetData>
  <mergeCells count="1"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C1">
      <selection activeCell="F4" sqref="F4:F5"/>
    </sheetView>
  </sheetViews>
  <sheetFormatPr defaultColWidth="9.00390625" defaultRowHeight="12.75"/>
  <cols>
    <col min="1" max="1" width="43.125" style="0" customWidth="1"/>
    <col min="2" max="2" width="16.875" style="0" customWidth="1"/>
    <col min="3" max="3" width="16.375" style="0" customWidth="1"/>
    <col min="4" max="4" width="17.25390625" style="0" customWidth="1"/>
    <col min="5" max="5" width="11.625" style="0" customWidth="1"/>
    <col min="6" max="6" width="15.125" style="0" customWidth="1"/>
    <col min="7" max="7" width="11.00390625" style="0" customWidth="1"/>
  </cols>
  <sheetData>
    <row r="1" ht="12.75">
      <c r="F1" s="149" t="s">
        <v>152</v>
      </c>
    </row>
    <row r="2" ht="20.25">
      <c r="A2" s="119" t="s">
        <v>173</v>
      </c>
    </row>
    <row r="3" ht="13.5" thickBot="1"/>
    <row r="4" spans="1:6" ht="27.75" customHeight="1" thickBot="1" thickTop="1">
      <c r="A4" s="451" t="s">
        <v>80</v>
      </c>
      <c r="B4" s="453" t="s">
        <v>81</v>
      </c>
      <c r="C4" s="477"/>
      <c r="D4" s="447" t="s">
        <v>18</v>
      </c>
      <c r="E4" s="456" t="s">
        <v>19</v>
      </c>
      <c r="F4" s="342" t="s">
        <v>82</v>
      </c>
    </row>
    <row r="5" spans="1:6" ht="27.75" customHeight="1" thickBot="1" thickTop="1">
      <c r="A5" s="476"/>
      <c r="B5" s="30" t="s">
        <v>21</v>
      </c>
      <c r="C5" s="31" t="s">
        <v>22</v>
      </c>
      <c r="D5" s="478"/>
      <c r="E5" s="478"/>
      <c r="F5" s="475"/>
    </row>
    <row r="6" spans="1:6" ht="30" customHeight="1" thickBot="1" thickTop="1">
      <c r="A6" s="138" t="s">
        <v>150</v>
      </c>
      <c r="B6" s="139">
        <v>3010144.94</v>
      </c>
      <c r="C6" s="140">
        <v>13308274</v>
      </c>
      <c r="D6" s="141">
        <v>10298129.06</v>
      </c>
      <c r="E6" s="142">
        <v>442.11405979673526</v>
      </c>
      <c r="F6" s="87">
        <v>100</v>
      </c>
    </row>
    <row r="7" spans="1:6" ht="17.25" thickBot="1" thickTop="1">
      <c r="A7" s="37" t="s">
        <v>84</v>
      </c>
      <c r="B7" s="38">
        <v>2770</v>
      </c>
      <c r="C7" s="39">
        <v>3456</v>
      </c>
      <c r="D7" s="40">
        <v>686</v>
      </c>
      <c r="E7" s="147">
        <v>124.7653429602888</v>
      </c>
      <c r="F7" s="143">
        <v>0.025968807074456087</v>
      </c>
    </row>
    <row r="8" spans="1:6" s="306" customFormat="1" ht="15">
      <c r="A8" s="250" t="s">
        <v>85</v>
      </c>
      <c r="B8" s="251">
        <v>2770</v>
      </c>
      <c r="C8" s="101">
        <v>3456</v>
      </c>
      <c r="D8" s="252">
        <v>686</v>
      </c>
      <c r="E8" s="262">
        <v>0</v>
      </c>
      <c r="F8" s="305">
        <v>0.025968807074456087</v>
      </c>
    </row>
    <row r="9" spans="1:6" s="306" customFormat="1" ht="15">
      <c r="A9" s="255" t="s">
        <v>86</v>
      </c>
      <c r="B9" s="251">
        <v>0</v>
      </c>
      <c r="C9" s="101">
        <v>0</v>
      </c>
      <c r="D9" s="103">
        <v>0</v>
      </c>
      <c r="E9" s="104">
        <v>0</v>
      </c>
      <c r="F9" s="239">
        <v>0</v>
      </c>
    </row>
    <row r="10" spans="1:6" s="306" customFormat="1" ht="15">
      <c r="A10" s="255" t="s">
        <v>87</v>
      </c>
      <c r="B10" s="251">
        <v>0</v>
      </c>
      <c r="C10" s="101">
        <v>0</v>
      </c>
      <c r="D10" s="101">
        <v>0</v>
      </c>
      <c r="E10" s="262">
        <v>0</v>
      </c>
      <c r="F10" s="307">
        <v>0</v>
      </c>
    </row>
    <row r="11" spans="1:6" s="306" customFormat="1" ht="15">
      <c r="A11" s="255" t="s">
        <v>88</v>
      </c>
      <c r="B11" s="251">
        <v>0</v>
      </c>
      <c r="C11" s="101">
        <v>0</v>
      </c>
      <c r="D11" s="103">
        <v>0</v>
      </c>
      <c r="E11" s="103">
        <v>0</v>
      </c>
      <c r="F11" s="239">
        <v>0</v>
      </c>
    </row>
    <row r="12" spans="1:6" s="306" customFormat="1" ht="15">
      <c r="A12" s="255" t="s">
        <v>89</v>
      </c>
      <c r="B12" s="251">
        <v>0</v>
      </c>
      <c r="C12" s="101">
        <v>0</v>
      </c>
      <c r="D12" s="103">
        <v>0</v>
      </c>
      <c r="E12" s="103">
        <v>0</v>
      </c>
      <c r="F12" s="239">
        <v>0</v>
      </c>
    </row>
    <row r="13" spans="1:6" s="306" customFormat="1" ht="15.75" thickBot="1">
      <c r="A13" s="259" t="s">
        <v>90</v>
      </c>
      <c r="B13" s="251">
        <v>0</v>
      </c>
      <c r="C13" s="101">
        <v>0</v>
      </c>
      <c r="D13" s="261">
        <v>0</v>
      </c>
      <c r="E13" s="262">
        <v>0</v>
      </c>
      <c r="F13" s="241">
        <v>0</v>
      </c>
    </row>
    <row r="14" spans="1:6" ht="16.5" thickBot="1">
      <c r="A14" s="59" t="s">
        <v>91</v>
      </c>
      <c r="B14" s="60">
        <v>120667</v>
      </c>
      <c r="C14" s="61">
        <v>4282016</v>
      </c>
      <c r="D14" s="39">
        <v>4161349</v>
      </c>
      <c r="E14" s="144">
        <v>3548.6222413750243</v>
      </c>
      <c r="F14" s="145">
        <v>32.175592417168446</v>
      </c>
    </row>
    <row r="15" spans="1:6" s="306" customFormat="1" ht="15">
      <c r="A15" s="264" t="s">
        <v>92</v>
      </c>
      <c r="B15" s="265">
        <v>100318</v>
      </c>
      <c r="C15" s="253">
        <v>3216</v>
      </c>
      <c r="D15" s="253">
        <v>-97102</v>
      </c>
      <c r="E15" s="308">
        <v>3.2058055383879265</v>
      </c>
      <c r="F15" s="309">
        <v>0.024165417694285526</v>
      </c>
    </row>
    <row r="16" spans="1:6" s="306" customFormat="1" ht="15">
      <c r="A16" s="255" t="s">
        <v>93</v>
      </c>
      <c r="B16" s="256">
        <v>0</v>
      </c>
      <c r="C16" s="103">
        <v>570</v>
      </c>
      <c r="D16" s="101">
        <v>570</v>
      </c>
      <c r="E16" s="103">
        <v>0</v>
      </c>
      <c r="F16" s="239">
        <v>0.004283049777905084</v>
      </c>
    </row>
    <row r="17" spans="1:6" s="306" customFormat="1" ht="15">
      <c r="A17" s="255" t="s">
        <v>94</v>
      </c>
      <c r="B17" s="256">
        <v>0</v>
      </c>
      <c r="C17" s="103">
        <v>0</v>
      </c>
      <c r="D17" s="101">
        <v>0</v>
      </c>
      <c r="E17" s="103">
        <v>0</v>
      </c>
      <c r="F17" s="239">
        <v>0</v>
      </c>
    </row>
    <row r="18" spans="1:6" s="306" customFormat="1" ht="15.75" thickBot="1">
      <c r="A18" s="259" t="s">
        <v>95</v>
      </c>
      <c r="B18" s="260">
        <v>20349</v>
      </c>
      <c r="C18" s="268">
        <v>4278230</v>
      </c>
      <c r="D18" s="269">
        <v>4257881</v>
      </c>
      <c r="E18" s="310">
        <v>21024.276377217557</v>
      </c>
      <c r="F18" s="241">
        <v>32.14714394969626</v>
      </c>
    </row>
    <row r="19" spans="1:6" ht="16.5" thickBot="1">
      <c r="A19" s="59" t="s">
        <v>96</v>
      </c>
      <c r="B19" s="60">
        <v>2886707.94</v>
      </c>
      <c r="C19" s="61">
        <v>9022802</v>
      </c>
      <c r="D19" s="61">
        <v>6136094.0600000005</v>
      </c>
      <c r="E19" s="146">
        <v>312.56372960265594</v>
      </c>
      <c r="F19" s="145">
        <v>67.79843877575709</v>
      </c>
    </row>
    <row r="20" spans="1:6" s="306" customFormat="1" ht="15">
      <c r="A20" s="264" t="s">
        <v>97</v>
      </c>
      <c r="B20" s="265">
        <v>4565.94</v>
      </c>
      <c r="C20" s="253">
        <v>4534</v>
      </c>
      <c r="D20" s="253">
        <v>-31.94000000000051</v>
      </c>
      <c r="E20" s="311">
        <v>99.30047262995132</v>
      </c>
      <c r="F20" s="309">
        <v>0.03406903104038886</v>
      </c>
    </row>
    <row r="21" spans="1:6" s="306" customFormat="1" ht="15">
      <c r="A21" s="255" t="s">
        <v>98</v>
      </c>
      <c r="B21" s="256">
        <v>2882142</v>
      </c>
      <c r="C21" s="103">
        <v>9018268</v>
      </c>
      <c r="D21" s="103">
        <v>6136126</v>
      </c>
      <c r="E21" s="312">
        <v>312.90158500171054</v>
      </c>
      <c r="F21" s="239">
        <v>67.7643697447167</v>
      </c>
    </row>
    <row r="22" spans="1:6" s="306" customFormat="1" ht="15.75" thickBot="1">
      <c r="A22" s="270" t="s">
        <v>99</v>
      </c>
      <c r="B22" s="271">
        <v>0</v>
      </c>
      <c r="C22" s="106">
        <v>0</v>
      </c>
      <c r="D22" s="272">
        <v>0</v>
      </c>
      <c r="E22" s="313" t="s">
        <v>151</v>
      </c>
      <c r="F22" s="314">
        <v>0</v>
      </c>
    </row>
    <row r="23" ht="13.5" thickTop="1"/>
  </sheetData>
  <mergeCells count="5">
    <mergeCell ref="F4:F5"/>
    <mergeCell ref="A4:A5"/>
    <mergeCell ref="B4:C4"/>
    <mergeCell ref="D4:D5"/>
    <mergeCell ref="E4:E5"/>
  </mergeCells>
  <printOptions horizontalCentered="1"/>
  <pageMargins left="0.7874015748031497" right="0.7874015748031497" top="1.06" bottom="0.984251968503937" header="0.62" footer="0.5118110236220472"/>
  <pageSetup firstPageNumber="80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6" sqref="A6"/>
    </sheetView>
  </sheetViews>
  <sheetFormatPr defaultColWidth="9.00390625" defaultRowHeight="12.75"/>
  <cols>
    <col min="1" max="1" width="58.75390625" style="76" customWidth="1"/>
    <col min="2" max="2" width="9.125" style="76" customWidth="1"/>
    <col min="3" max="3" width="18.75390625" style="76" customWidth="1"/>
    <col min="4" max="4" width="19.00390625" style="76" customWidth="1"/>
    <col min="5" max="5" width="17.25390625" style="76" customWidth="1"/>
    <col min="6" max="6" width="15.75390625" style="76" customWidth="1"/>
    <col min="7" max="16384" width="9.125" style="76" customWidth="1"/>
  </cols>
  <sheetData>
    <row r="1" spans="1:6" s="148" customFormat="1" ht="30.75" customHeight="1" thickBot="1">
      <c r="A1" s="119" t="s">
        <v>154</v>
      </c>
      <c r="F1" s="156" t="s">
        <v>153</v>
      </c>
    </row>
    <row r="2" spans="1:6" ht="16.5" thickTop="1">
      <c r="A2" s="443" t="s">
        <v>16</v>
      </c>
      <c r="B2" s="125" t="s">
        <v>134</v>
      </c>
      <c r="C2" s="111" t="s">
        <v>56</v>
      </c>
      <c r="D2" s="111" t="s">
        <v>57</v>
      </c>
      <c r="E2" s="111" t="s">
        <v>58</v>
      </c>
      <c r="F2" s="474" t="s">
        <v>59</v>
      </c>
    </row>
    <row r="3" spans="1:6" ht="16.5" thickBot="1">
      <c r="A3" s="449"/>
      <c r="B3" s="112" t="s">
        <v>60</v>
      </c>
      <c r="C3" s="112" t="s">
        <v>62</v>
      </c>
      <c r="D3" s="112" t="s">
        <v>62</v>
      </c>
      <c r="E3" s="112" t="s">
        <v>62</v>
      </c>
      <c r="F3" s="353"/>
    </row>
    <row r="4" spans="1:6" ht="16.5" thickTop="1">
      <c r="A4" s="127" t="s">
        <v>135</v>
      </c>
      <c r="B4" s="128" t="s">
        <v>101</v>
      </c>
      <c r="C4" s="129">
        <f>SUM(C5:C12)</f>
        <v>65856249</v>
      </c>
      <c r="D4" s="129">
        <f>SUM(D5:D12)</f>
        <v>32092120</v>
      </c>
      <c r="E4" s="157">
        <f aca="true" t="shared" si="0" ref="E4:E26">C4-D4</f>
        <v>33764129</v>
      </c>
      <c r="F4" s="130">
        <f>E4*100/E27</f>
        <v>91.56914813843106</v>
      </c>
    </row>
    <row r="5" spans="1:6" s="303" customFormat="1" ht="15">
      <c r="A5" s="192" t="s">
        <v>33</v>
      </c>
      <c r="B5" s="220">
        <v>11</v>
      </c>
      <c r="C5" s="220">
        <f>22286+73907</f>
        <v>96193</v>
      </c>
      <c r="D5" s="220">
        <f>8747+73568</f>
        <v>82315</v>
      </c>
      <c r="E5" s="195">
        <f t="shared" si="0"/>
        <v>13878</v>
      </c>
      <c r="F5" s="203">
        <f>E5*100/E27</f>
        <v>0.037637477272555925</v>
      </c>
    </row>
    <row r="6" spans="1:6" s="303" customFormat="1" ht="15">
      <c r="A6" s="192" t="s">
        <v>136</v>
      </c>
      <c r="B6" s="220">
        <v>0</v>
      </c>
      <c r="C6" s="220">
        <v>0</v>
      </c>
      <c r="D6" s="220">
        <v>0</v>
      </c>
      <c r="E6" s="195">
        <f t="shared" si="0"/>
        <v>0</v>
      </c>
      <c r="F6" s="203">
        <f>E6*100/E27</f>
        <v>0</v>
      </c>
    </row>
    <row r="7" spans="1:6" s="303" customFormat="1" ht="15">
      <c r="A7" s="204" t="s">
        <v>66</v>
      </c>
      <c r="B7" s="237">
        <v>16</v>
      </c>
      <c r="C7" s="237">
        <v>2747932</v>
      </c>
      <c r="D7" s="237">
        <v>1507788</v>
      </c>
      <c r="E7" s="195">
        <f t="shared" si="0"/>
        <v>1240144</v>
      </c>
      <c r="F7" s="203">
        <f>E7*100/E27</f>
        <v>3.363301024261175</v>
      </c>
    </row>
    <row r="8" spans="1:6" s="303" customFormat="1" ht="15">
      <c r="A8" s="204" t="s">
        <v>35</v>
      </c>
      <c r="B8" s="237">
        <v>46</v>
      </c>
      <c r="C8" s="237">
        <v>53022198</v>
      </c>
      <c r="D8" s="237">
        <v>24203147</v>
      </c>
      <c r="E8" s="195">
        <f t="shared" si="0"/>
        <v>28819051</v>
      </c>
      <c r="F8" s="203">
        <f>E8*100/E27</f>
        <v>78.15797499849619</v>
      </c>
    </row>
    <row r="9" spans="1:6" s="303" customFormat="1" ht="15">
      <c r="A9" s="204" t="s">
        <v>36</v>
      </c>
      <c r="B9" s="237">
        <v>17</v>
      </c>
      <c r="C9" s="237">
        <v>9722638</v>
      </c>
      <c r="D9" s="237">
        <v>6031582</v>
      </c>
      <c r="E9" s="195">
        <f t="shared" si="0"/>
        <v>3691056</v>
      </c>
      <c r="F9" s="203">
        <f>E9*100/E27</f>
        <v>10.010234638401151</v>
      </c>
    </row>
    <row r="10" spans="1:6" s="303" customFormat="1" ht="15">
      <c r="A10" s="204" t="s">
        <v>37</v>
      </c>
      <c r="B10" s="237">
        <v>0</v>
      </c>
      <c r="C10" s="237">
        <v>0</v>
      </c>
      <c r="D10" s="237">
        <v>0</v>
      </c>
      <c r="E10" s="195">
        <f t="shared" si="0"/>
        <v>0</v>
      </c>
      <c r="F10" s="203">
        <f>E10*100/E27</f>
        <v>0</v>
      </c>
    </row>
    <row r="11" spans="1:6" s="303" customFormat="1" ht="15">
      <c r="A11" s="204" t="s">
        <v>38</v>
      </c>
      <c r="B11" s="237">
        <v>0</v>
      </c>
      <c r="C11" s="237">
        <v>0</v>
      </c>
      <c r="D11" s="237">
        <v>0</v>
      </c>
      <c r="E11" s="195">
        <f t="shared" si="0"/>
        <v>0</v>
      </c>
      <c r="F11" s="203">
        <f>E11*100/E27</f>
        <v>0</v>
      </c>
    </row>
    <row r="12" spans="1:6" s="303" customFormat="1" ht="15">
      <c r="A12" s="204" t="s">
        <v>39</v>
      </c>
      <c r="B12" s="237">
        <f>1</f>
        <v>1</v>
      </c>
      <c r="C12" s="237">
        <f>267288</f>
        <v>267288</v>
      </c>
      <c r="D12" s="237">
        <f>267288</f>
        <v>267288</v>
      </c>
      <c r="E12" s="195">
        <f t="shared" si="0"/>
        <v>0</v>
      </c>
      <c r="F12" s="203">
        <f>E12*100/E27</f>
        <v>0</v>
      </c>
    </row>
    <row r="13" spans="1:6" s="303" customFormat="1" ht="15">
      <c r="A13" s="192" t="s">
        <v>137</v>
      </c>
      <c r="B13" s="237" t="s">
        <v>101</v>
      </c>
      <c r="C13" s="220">
        <v>5621434</v>
      </c>
      <c r="D13" s="220">
        <v>3389271</v>
      </c>
      <c r="E13" s="195">
        <f t="shared" si="0"/>
        <v>2232163</v>
      </c>
      <c r="F13" s="203">
        <f>E13*100/E27</f>
        <v>6.05368094690447</v>
      </c>
    </row>
    <row r="14" spans="1:6" s="303" customFormat="1" ht="15">
      <c r="A14" s="204" t="s">
        <v>138</v>
      </c>
      <c r="B14" s="237">
        <f>9+3+2</f>
        <v>14</v>
      </c>
      <c r="C14" s="237">
        <f>95277+23393+79592</f>
        <v>198262</v>
      </c>
      <c r="D14" s="237">
        <f>44594+18388+33019</f>
        <v>96001</v>
      </c>
      <c r="E14" s="195">
        <f t="shared" si="0"/>
        <v>102261</v>
      </c>
      <c r="F14" s="203">
        <f>E14*100/E27</f>
        <v>0.27733434669036183</v>
      </c>
    </row>
    <row r="15" spans="1:6" s="303" customFormat="1" ht="18" customHeight="1">
      <c r="A15" s="204" t="s">
        <v>139</v>
      </c>
      <c r="B15" s="237">
        <v>283</v>
      </c>
      <c r="C15" s="237">
        <v>1675430</v>
      </c>
      <c r="D15" s="237">
        <v>1565760</v>
      </c>
      <c r="E15" s="195">
        <f t="shared" si="0"/>
        <v>109670</v>
      </c>
      <c r="F15" s="203">
        <f>E15*100/E27</f>
        <v>0.2974277368843643</v>
      </c>
    </row>
    <row r="16" spans="1:6" s="303" customFormat="1" ht="15">
      <c r="A16" s="213" t="s">
        <v>140</v>
      </c>
      <c r="B16" s="237">
        <v>61</v>
      </c>
      <c r="C16" s="237">
        <v>224227</v>
      </c>
      <c r="D16" s="237">
        <v>143404</v>
      </c>
      <c r="E16" s="195">
        <f t="shared" si="0"/>
        <v>80823</v>
      </c>
      <c r="F16" s="203">
        <f>E16*100/E27</f>
        <v>0.219193963510577</v>
      </c>
    </row>
    <row r="17" spans="1:6" s="303" customFormat="1" ht="15">
      <c r="A17" s="204" t="s">
        <v>141</v>
      </c>
      <c r="B17" s="237">
        <v>114</v>
      </c>
      <c r="C17" s="237">
        <v>734847</v>
      </c>
      <c r="D17" s="237">
        <v>512827</v>
      </c>
      <c r="E17" s="195">
        <f t="shared" si="0"/>
        <v>222020</v>
      </c>
      <c r="F17" s="203">
        <f>E17*100/E27</f>
        <v>0.6021236996723495</v>
      </c>
    </row>
    <row r="18" spans="1:6" s="303" customFormat="1" ht="15">
      <c r="A18" s="204" t="s">
        <v>142</v>
      </c>
      <c r="B18" s="237">
        <v>19</v>
      </c>
      <c r="C18" s="237">
        <v>510865</v>
      </c>
      <c r="D18" s="105">
        <v>428350</v>
      </c>
      <c r="E18" s="195">
        <f t="shared" si="0"/>
        <v>82515</v>
      </c>
      <c r="F18" s="203">
        <f>E18*100/E27</f>
        <v>0.22378270911838535</v>
      </c>
    </row>
    <row r="19" spans="1:6" ht="15.75">
      <c r="A19" s="80" t="s">
        <v>143</v>
      </c>
      <c r="B19" s="81" t="s">
        <v>101</v>
      </c>
      <c r="C19" s="82">
        <f>SUM(C20:C21)</f>
        <v>10046692</v>
      </c>
      <c r="D19" s="82">
        <f>SUM(D20:D21)</f>
        <v>9769523</v>
      </c>
      <c r="E19" s="83">
        <f t="shared" si="0"/>
        <v>277169</v>
      </c>
      <c r="F19" s="84">
        <f>E19*100/E27</f>
        <v>0.7516891438360752</v>
      </c>
    </row>
    <row r="20" spans="1:6" s="303" customFormat="1" ht="15">
      <c r="A20" s="213" t="s">
        <v>47</v>
      </c>
      <c r="B20" s="280" t="s">
        <v>101</v>
      </c>
      <c r="C20" s="237">
        <v>1104216</v>
      </c>
      <c r="D20" s="105">
        <v>937066</v>
      </c>
      <c r="E20" s="195">
        <f t="shared" si="0"/>
        <v>167150</v>
      </c>
      <c r="F20" s="239">
        <f>E20*100/E27</f>
        <v>0.4533149103694857</v>
      </c>
    </row>
    <row r="21" spans="1:6" s="303" customFormat="1" ht="15">
      <c r="A21" s="213" t="s">
        <v>48</v>
      </c>
      <c r="B21" s="280" t="s">
        <v>101</v>
      </c>
      <c r="C21" s="237">
        <v>8942476</v>
      </c>
      <c r="D21" s="105">
        <f>6603997+507656+87092+1552602+81110</f>
        <v>8832457</v>
      </c>
      <c r="E21" s="195">
        <f t="shared" si="0"/>
        <v>110019</v>
      </c>
      <c r="F21" s="239">
        <f>E21*100/E27</f>
        <v>0.2983742334665896</v>
      </c>
    </row>
    <row r="22" spans="1:6" s="303" customFormat="1" ht="15.75" thickBot="1">
      <c r="A22" s="199" t="s">
        <v>144</v>
      </c>
      <c r="B22" s="240" t="s">
        <v>101</v>
      </c>
      <c r="C22" s="222">
        <v>0</v>
      </c>
      <c r="D22" s="207">
        <v>0</v>
      </c>
      <c r="E22" s="207">
        <f t="shared" si="0"/>
        <v>0</v>
      </c>
      <c r="F22" s="241">
        <f>E22*100/E27</f>
        <v>0</v>
      </c>
    </row>
    <row r="23" spans="1:6" ht="17.25" thickBot="1" thickTop="1">
      <c r="A23" s="5" t="s">
        <v>50</v>
      </c>
      <c r="B23" s="85">
        <f>SUM(B5:B12)+B14+B15+B16+B17+B18</f>
        <v>582</v>
      </c>
      <c r="C23" s="8">
        <f>SUM(C5:C18)+C20+C21+C22</f>
        <v>84868006</v>
      </c>
      <c r="D23" s="8">
        <f>SUM(D5:D18)+D20+D21+D22</f>
        <v>47997256</v>
      </c>
      <c r="E23" s="7">
        <f t="shared" si="0"/>
        <v>36870750</v>
      </c>
      <c r="F23" s="87">
        <f>E23*100/E27</f>
        <v>99.99438068504764</v>
      </c>
    </row>
    <row r="24" spans="1:6" s="303" customFormat="1" ht="15.75" thickTop="1">
      <c r="A24" s="192" t="s">
        <v>145</v>
      </c>
      <c r="B24" s="227" t="s">
        <v>101</v>
      </c>
      <c r="C24" s="220">
        <f>33856+119770+167819+33354+35031+116464+2072+7390+23017</f>
        <v>538773</v>
      </c>
      <c r="D24" s="195">
        <v>536701</v>
      </c>
      <c r="E24" s="195">
        <f t="shared" si="0"/>
        <v>2072</v>
      </c>
      <c r="F24" s="221">
        <f>E24*100/E27</f>
        <v>0.005619314952351627</v>
      </c>
    </row>
    <row r="25" spans="1:6" s="303" customFormat="1" ht="15">
      <c r="A25" s="204" t="s">
        <v>146</v>
      </c>
      <c r="B25" s="227" t="s">
        <v>101</v>
      </c>
      <c r="C25" s="237">
        <v>0</v>
      </c>
      <c r="D25" s="105">
        <v>0</v>
      </c>
      <c r="E25" s="195">
        <f t="shared" si="0"/>
        <v>0</v>
      </c>
      <c r="F25" s="198">
        <f>E25*100/E27</f>
        <v>0</v>
      </c>
    </row>
    <row r="26" spans="1:6" s="303" customFormat="1" ht="15.75" thickBot="1">
      <c r="A26" s="199" t="s">
        <v>147</v>
      </c>
      <c r="B26" s="227" t="s">
        <v>101</v>
      </c>
      <c r="C26" s="222">
        <v>0</v>
      </c>
      <c r="D26" s="243">
        <v>0</v>
      </c>
      <c r="E26" s="195">
        <f t="shared" si="0"/>
        <v>0</v>
      </c>
      <c r="F26" s="241">
        <f>E26*100/E27</f>
        <v>0</v>
      </c>
    </row>
    <row r="27" spans="1:6" ht="30" customHeight="1" thickBot="1" thickTop="1">
      <c r="A27" s="5" t="s">
        <v>54</v>
      </c>
      <c r="B27" s="18" t="s">
        <v>64</v>
      </c>
      <c r="C27" s="8">
        <f>C23+C24+C25+C26</f>
        <v>85406779</v>
      </c>
      <c r="D27" s="8">
        <f>D23+D24</f>
        <v>48533957</v>
      </c>
      <c r="E27" s="8">
        <f>E23+E24+E25+E26</f>
        <v>36872822</v>
      </c>
      <c r="F27" s="87">
        <f>F23+F24+F25+F26</f>
        <v>100</v>
      </c>
    </row>
    <row r="28" ht="13.5" thickTop="1"/>
  </sheetData>
  <mergeCells count="2">
    <mergeCell ref="A2:A3"/>
    <mergeCell ref="F2:F3"/>
  </mergeCells>
  <printOptions horizontalCentered="1"/>
  <pageMargins left="0.1968503937007874" right="0.2362204724409449" top="0.9055118110236221" bottom="0.5511811023622047" header="0.57" footer="0.5118110236220472"/>
  <pageSetup firstPageNumber="8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2" sqref="A22:A23"/>
    </sheetView>
  </sheetViews>
  <sheetFormatPr defaultColWidth="9.00390625" defaultRowHeight="12.75"/>
  <cols>
    <col min="1" max="1" width="42.375" style="76" customWidth="1"/>
    <col min="2" max="4" width="21.125" style="76" customWidth="1"/>
    <col min="5" max="5" width="11.00390625" style="76" customWidth="1"/>
    <col min="6" max="6" width="15.75390625" style="76" customWidth="1"/>
    <col min="7" max="16384" width="9.125" style="76" customWidth="1"/>
  </cols>
  <sheetData>
    <row r="1" spans="1:6" s="148" customFormat="1" ht="30.75" customHeight="1" thickBot="1">
      <c r="A1" s="119" t="s">
        <v>156</v>
      </c>
      <c r="F1" s="156" t="s">
        <v>155</v>
      </c>
    </row>
    <row r="2" spans="1:6" ht="27.75" customHeight="1" thickBot="1" thickTop="1">
      <c r="A2" s="451" t="s">
        <v>80</v>
      </c>
      <c r="B2" s="453" t="s">
        <v>81</v>
      </c>
      <c r="C2" s="454"/>
      <c r="D2" s="447" t="s">
        <v>18</v>
      </c>
      <c r="E2" s="456" t="s">
        <v>19</v>
      </c>
      <c r="F2" s="342" t="s">
        <v>82</v>
      </c>
    </row>
    <row r="3" spans="1:6" ht="27.75" customHeight="1" thickBot="1" thickTop="1">
      <c r="A3" s="452"/>
      <c r="B3" s="30" t="s">
        <v>21</v>
      </c>
      <c r="C3" s="31" t="s">
        <v>22</v>
      </c>
      <c r="D3" s="455"/>
      <c r="E3" s="455"/>
      <c r="F3" s="343"/>
    </row>
    <row r="4" spans="1:6" ht="30" customHeight="1" thickBot="1" thickTop="1">
      <c r="A4" s="32" t="s">
        <v>83</v>
      </c>
      <c r="B4" s="33">
        <f>B5+B12+B17</f>
        <v>10464012</v>
      </c>
      <c r="C4" s="34">
        <f>C5+C12+C17</f>
        <v>10366179</v>
      </c>
      <c r="D4" s="35">
        <f aca="true" t="shared" si="0" ref="D4:D20">C4-B4</f>
        <v>-97833</v>
      </c>
      <c r="E4" s="35">
        <f>C4/B4*100</f>
        <v>99.06505267769188</v>
      </c>
      <c r="F4" s="36">
        <f>F5+F12+F17</f>
        <v>100</v>
      </c>
    </row>
    <row r="5" spans="1:6" ht="18" customHeight="1" thickTop="1">
      <c r="A5" s="315" t="s">
        <v>84</v>
      </c>
      <c r="B5" s="316">
        <f>B6+B7+B8+B9+B11</f>
        <v>115134</v>
      </c>
      <c r="C5" s="317">
        <f>C6+C7+C8+C9+C11</f>
        <v>112174</v>
      </c>
      <c r="D5" s="317">
        <f t="shared" si="0"/>
        <v>-2960</v>
      </c>
      <c r="E5" s="318">
        <f>C5/B5*100</f>
        <v>97.42908263414803</v>
      </c>
      <c r="F5" s="319">
        <f>C5*100/C4</f>
        <v>1.0821152133298104</v>
      </c>
    </row>
    <row r="6" spans="1:6" s="303" customFormat="1" ht="18" customHeight="1">
      <c r="A6" s="250" t="s">
        <v>85</v>
      </c>
      <c r="B6" s="251">
        <f>28445+5849+17624+1192+3453</f>
        <v>56563</v>
      </c>
      <c r="C6" s="101">
        <f>28682+170+13559+7381</f>
        <v>49792</v>
      </c>
      <c r="D6" s="268">
        <f t="shared" si="0"/>
        <v>-6771</v>
      </c>
      <c r="E6" s="268">
        <f>C6/B6*100</f>
        <v>88.0292770892633</v>
      </c>
      <c r="F6" s="263">
        <f>C6*100/C4</f>
        <v>0.4803312773202161</v>
      </c>
    </row>
    <row r="7" spans="1:6" s="303" customFormat="1" ht="18" customHeight="1">
      <c r="A7" s="255" t="s">
        <v>86</v>
      </c>
      <c r="B7" s="256">
        <f>2552</f>
        <v>2552</v>
      </c>
      <c r="C7" s="103">
        <f>5544</f>
        <v>5544</v>
      </c>
      <c r="D7" s="103">
        <f t="shared" si="0"/>
        <v>2992</v>
      </c>
      <c r="E7" s="103">
        <f>C7/B7*100</f>
        <v>217.24137931034483</v>
      </c>
      <c r="F7" s="257">
        <f>C7*100/C5</f>
        <v>4.942321750138178</v>
      </c>
    </row>
    <row r="8" spans="1:6" s="303" customFormat="1" ht="18" customHeight="1">
      <c r="A8" s="255" t="s">
        <v>87</v>
      </c>
      <c r="B8" s="256">
        <v>23509</v>
      </c>
      <c r="C8" s="103">
        <v>23534</v>
      </c>
      <c r="D8" s="103">
        <f t="shared" si="0"/>
        <v>25</v>
      </c>
      <c r="E8" s="103">
        <f>C8/B8*100</f>
        <v>100.10634225190354</v>
      </c>
      <c r="F8" s="258">
        <f>C8*100/C6</f>
        <v>47.264620822622106</v>
      </c>
    </row>
    <row r="9" spans="1:6" s="303" customFormat="1" ht="18" customHeight="1">
      <c r="A9" s="255" t="s">
        <v>88</v>
      </c>
      <c r="B9" s="256">
        <f>20450+10560</f>
        <v>31010</v>
      </c>
      <c r="C9" s="103">
        <f>23924+8380</f>
        <v>32304</v>
      </c>
      <c r="D9" s="103">
        <f t="shared" si="0"/>
        <v>1294</v>
      </c>
      <c r="E9" s="103">
        <f aca="true" t="shared" si="1" ref="E9:E19">C9/B9*100</f>
        <v>104.17284746855853</v>
      </c>
      <c r="F9" s="257">
        <f>C9*100/C4</f>
        <v>0.31162880749020444</v>
      </c>
    </row>
    <row r="10" spans="1:6" s="303" customFormat="1" ht="18" customHeight="1">
      <c r="A10" s="255" t="s">
        <v>89</v>
      </c>
      <c r="B10" s="256">
        <v>35267</v>
      </c>
      <c r="C10" s="103">
        <v>25245</v>
      </c>
      <c r="D10" s="103">
        <f t="shared" si="0"/>
        <v>-10022</v>
      </c>
      <c r="E10" s="103">
        <f t="shared" si="1"/>
        <v>71.58249922023421</v>
      </c>
      <c r="F10" s="257">
        <f>C10*100/C5</f>
        <v>22.505215112236346</v>
      </c>
    </row>
    <row r="11" spans="1:6" s="303" customFormat="1" ht="18" customHeight="1" thickBot="1">
      <c r="A11" s="259" t="s">
        <v>90</v>
      </c>
      <c r="B11" s="260">
        <v>1500</v>
      </c>
      <c r="C11" s="261">
        <v>1000</v>
      </c>
      <c r="D11" s="261">
        <f t="shared" si="0"/>
        <v>-500</v>
      </c>
      <c r="E11" s="262">
        <f t="shared" si="1"/>
        <v>66.66666666666666</v>
      </c>
      <c r="F11" s="263">
        <f>C11*100/C4</f>
        <v>0.00964675605157889</v>
      </c>
    </row>
    <row r="12" spans="1:6" ht="18.75" customHeight="1" thickBot="1">
      <c r="A12" s="95" t="s">
        <v>91</v>
      </c>
      <c r="B12" s="96">
        <f>B13+B14+B15+B16</f>
        <v>1099707</v>
      </c>
      <c r="C12" s="97">
        <f>C13+C14+C15+C16</f>
        <v>1085084</v>
      </c>
      <c r="D12" s="91">
        <f t="shared" si="0"/>
        <v>-14623</v>
      </c>
      <c r="E12" s="158">
        <f t="shared" si="1"/>
        <v>98.6702821751612</v>
      </c>
      <c r="F12" s="99">
        <f>C12*100/C4</f>
        <v>10.467540643471427</v>
      </c>
    </row>
    <row r="13" spans="1:6" s="303" customFormat="1" ht="18" customHeight="1">
      <c r="A13" s="264" t="s">
        <v>92</v>
      </c>
      <c r="B13" s="265">
        <f>95629+9035+3381+110476+36778+4520+261+1427</f>
        <v>261507</v>
      </c>
      <c r="C13" s="253">
        <f>109524+8262+7908+90338+38741+330+1120+388+481</f>
        <v>257092</v>
      </c>
      <c r="D13" s="253">
        <f t="shared" si="0"/>
        <v>-4415</v>
      </c>
      <c r="E13" s="266">
        <f t="shared" si="1"/>
        <v>98.3117086731904</v>
      </c>
      <c r="F13" s="267">
        <f>C13*100/C4</f>
        <v>2.4801038068125196</v>
      </c>
    </row>
    <row r="14" spans="1:6" s="303" customFormat="1" ht="18" customHeight="1">
      <c r="A14" s="255" t="s">
        <v>93</v>
      </c>
      <c r="B14" s="256">
        <v>0</v>
      </c>
      <c r="C14" s="103">
        <v>0</v>
      </c>
      <c r="D14" s="101">
        <f t="shared" si="0"/>
        <v>0</v>
      </c>
      <c r="E14" s="103">
        <v>0</v>
      </c>
      <c r="F14" s="257">
        <f>C14*100/C4</f>
        <v>0</v>
      </c>
    </row>
    <row r="15" spans="1:6" s="303" customFormat="1" ht="18" customHeight="1">
      <c r="A15" s="255" t="s">
        <v>94</v>
      </c>
      <c r="B15" s="256">
        <v>0</v>
      </c>
      <c r="C15" s="103">
        <v>0</v>
      </c>
      <c r="D15" s="101">
        <f t="shared" si="0"/>
        <v>0</v>
      </c>
      <c r="E15" s="101">
        <v>0</v>
      </c>
      <c r="F15" s="257">
        <f>C15*100/C5</f>
        <v>0</v>
      </c>
    </row>
    <row r="16" spans="1:6" s="303" customFormat="1" ht="18" customHeight="1" thickBot="1">
      <c r="A16" s="259" t="s">
        <v>95</v>
      </c>
      <c r="B16" s="260">
        <f>339961+38224+85708+5911+320645+43668+3563+520</f>
        <v>838200</v>
      </c>
      <c r="C16" s="268">
        <f>317129+29991+72640+5838+358455+41754+1665+520</f>
        <v>827992</v>
      </c>
      <c r="D16" s="269">
        <f t="shared" si="0"/>
        <v>-10208</v>
      </c>
      <c r="E16" s="262">
        <f t="shared" si="1"/>
        <v>98.78215223097114</v>
      </c>
      <c r="F16" s="263">
        <f>C16*100/C4</f>
        <v>7.987436836658908</v>
      </c>
    </row>
    <row r="17" spans="1:6" ht="18" customHeight="1" thickBot="1">
      <c r="A17" s="95" t="s">
        <v>96</v>
      </c>
      <c r="B17" s="96">
        <f>B18+B19+B20</f>
        <v>9249171</v>
      </c>
      <c r="C17" s="97">
        <f>C18+C19</f>
        <v>9168921</v>
      </c>
      <c r="D17" s="97">
        <f t="shared" si="0"/>
        <v>-80250</v>
      </c>
      <c r="E17" s="158">
        <f t="shared" si="1"/>
        <v>99.1323546726512</v>
      </c>
      <c r="F17" s="99">
        <f>C17*100/C4</f>
        <v>88.45034414319876</v>
      </c>
    </row>
    <row r="18" spans="1:6" s="303" customFormat="1" ht="18" customHeight="1">
      <c r="A18" s="264" t="s">
        <v>97</v>
      </c>
      <c r="B18" s="265">
        <f>11522+4049+2074+11427+3154+437+1192+406+2000</f>
        <v>36261</v>
      </c>
      <c r="C18" s="253">
        <f>8692+3312+1928+7732+3753+997+981+500+2000</f>
        <v>29895</v>
      </c>
      <c r="D18" s="253">
        <f t="shared" si="0"/>
        <v>-6366</v>
      </c>
      <c r="E18" s="253">
        <f t="shared" si="1"/>
        <v>82.44394804335236</v>
      </c>
      <c r="F18" s="267">
        <f>C18*100/C4</f>
        <v>0.2883897721619509</v>
      </c>
    </row>
    <row r="19" spans="1:6" s="303" customFormat="1" ht="18" customHeight="1">
      <c r="A19" s="255" t="s">
        <v>98</v>
      </c>
      <c r="B19" s="256">
        <f>3686093+981882+618195+656444+1664575+388846+335239+37786+403753+440097</f>
        <v>9212910</v>
      </c>
      <c r="C19" s="103">
        <f>3570723+748774+688140+823151+1808275+401683+249074+22822+440570+385814</f>
        <v>9139026</v>
      </c>
      <c r="D19" s="103">
        <f t="shared" si="0"/>
        <v>-73884</v>
      </c>
      <c r="E19" s="262">
        <f t="shared" si="1"/>
        <v>99.1980384048037</v>
      </c>
      <c r="F19" s="257">
        <f>C19*100/C4</f>
        <v>88.16195437103681</v>
      </c>
    </row>
    <row r="20" spans="1:6" s="303" customFormat="1" ht="18" customHeight="1" thickBot="1">
      <c r="A20" s="270" t="s">
        <v>99</v>
      </c>
      <c r="B20" s="271">
        <v>0</v>
      </c>
      <c r="C20" s="106">
        <v>0</v>
      </c>
      <c r="D20" s="272">
        <f t="shared" si="0"/>
        <v>0</v>
      </c>
      <c r="E20" s="273">
        <v>0</v>
      </c>
      <c r="F20" s="274">
        <f>C20*100/C4</f>
        <v>0</v>
      </c>
    </row>
    <row r="21" ht="13.5" thickTop="1"/>
  </sheetData>
  <mergeCells count="5">
    <mergeCell ref="F2:F3"/>
    <mergeCell ref="A2:A3"/>
    <mergeCell ref="B2:C2"/>
    <mergeCell ref="D2:D3"/>
    <mergeCell ref="E2:E3"/>
  </mergeCells>
  <printOptions horizontalCentered="1"/>
  <pageMargins left="0.2362204724409449" right="0.2755905511811024" top="1.1023622047244095" bottom="0.984251968503937" header="0.5511811023622047" footer="0.5118110236220472"/>
  <pageSetup firstPageNumber="82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3">
      <selection activeCell="A23" sqref="A23"/>
    </sheetView>
  </sheetViews>
  <sheetFormatPr defaultColWidth="9.00390625" defaultRowHeight="12.75"/>
  <cols>
    <col min="1" max="1" width="58.75390625" style="76" customWidth="1"/>
    <col min="2" max="2" width="9.125" style="76" customWidth="1"/>
    <col min="3" max="3" width="18.75390625" style="76" customWidth="1"/>
    <col min="4" max="4" width="19.00390625" style="76" customWidth="1"/>
    <col min="5" max="5" width="17.25390625" style="76" customWidth="1"/>
    <col min="6" max="6" width="15.75390625" style="76" customWidth="1"/>
    <col min="7" max="16384" width="9.125" style="76" customWidth="1"/>
  </cols>
  <sheetData>
    <row r="1" spans="1:6" s="148" customFormat="1" ht="30.75" customHeight="1" thickBot="1">
      <c r="A1" s="119" t="s">
        <v>157</v>
      </c>
      <c r="F1" s="156" t="s">
        <v>158</v>
      </c>
    </row>
    <row r="2" spans="1:6" ht="19.5" customHeight="1" thickTop="1">
      <c r="A2" s="136" t="s">
        <v>16</v>
      </c>
      <c r="B2" s="125" t="s">
        <v>134</v>
      </c>
      <c r="C2" s="111" t="s">
        <v>56</v>
      </c>
      <c r="D2" s="111" t="s">
        <v>57</v>
      </c>
      <c r="E2" s="111" t="s">
        <v>58</v>
      </c>
      <c r="F2" s="137" t="s">
        <v>59</v>
      </c>
    </row>
    <row r="3" spans="1:6" ht="13.5" customHeight="1" thickBot="1">
      <c r="A3" s="150"/>
      <c r="B3" s="112" t="s">
        <v>60</v>
      </c>
      <c r="C3" s="112" t="s">
        <v>62</v>
      </c>
      <c r="D3" s="112" t="s">
        <v>62</v>
      </c>
      <c r="E3" s="112" t="s">
        <v>62</v>
      </c>
      <c r="F3" s="151"/>
    </row>
    <row r="4" spans="1:6" ht="16.5" thickTop="1">
      <c r="A4" s="127" t="s">
        <v>135</v>
      </c>
      <c r="B4" s="128">
        <f>SUM(B5:B12)</f>
        <v>38</v>
      </c>
      <c r="C4" s="129">
        <f>SUM(C5:C12)</f>
        <v>41903543</v>
      </c>
      <c r="D4" s="129">
        <f>SUM(D5:D12)</f>
        <v>7930751</v>
      </c>
      <c r="E4" s="129">
        <f>SUM(E5:E12)</f>
        <v>33972792</v>
      </c>
      <c r="F4" s="130">
        <f>E4*100/E27</f>
        <v>79.65244844680409</v>
      </c>
    </row>
    <row r="5" spans="1:6" s="303" customFormat="1" ht="15">
      <c r="A5" s="192" t="s">
        <v>33</v>
      </c>
      <c r="B5" s="220">
        <v>0</v>
      </c>
      <c r="C5" s="220">
        <v>0</v>
      </c>
      <c r="D5" s="220">
        <v>0</v>
      </c>
      <c r="E5" s="195">
        <f aca="true" t="shared" si="0" ref="E5:E26">C5-D5</f>
        <v>0</v>
      </c>
      <c r="F5" s="203">
        <f>E5*100/E27</f>
        <v>0</v>
      </c>
    </row>
    <row r="6" spans="1:6" s="303" customFormat="1" ht="15">
      <c r="A6" s="192" t="s">
        <v>136</v>
      </c>
      <c r="B6" s="220">
        <v>0</v>
      </c>
      <c r="C6" s="220">
        <v>0</v>
      </c>
      <c r="D6" s="220">
        <v>0</v>
      </c>
      <c r="E6" s="195">
        <f t="shared" si="0"/>
        <v>0</v>
      </c>
      <c r="F6" s="203">
        <f>E6*100/E27</f>
        <v>0</v>
      </c>
    </row>
    <row r="7" spans="1:6" s="303" customFormat="1" ht="15">
      <c r="A7" s="204" t="s">
        <v>66</v>
      </c>
      <c r="B7" s="237">
        <v>0</v>
      </c>
      <c r="C7" s="220">
        <v>0</v>
      </c>
      <c r="D7" s="220">
        <v>0</v>
      </c>
      <c r="E7" s="195">
        <f t="shared" si="0"/>
        <v>0</v>
      </c>
      <c r="F7" s="203">
        <f>E7*100/E27</f>
        <v>0</v>
      </c>
    </row>
    <row r="8" spans="1:6" s="303" customFormat="1" ht="15">
      <c r="A8" s="204" t="s">
        <v>35</v>
      </c>
      <c r="B8" s="237">
        <v>0</v>
      </c>
      <c r="C8" s="220">
        <v>0</v>
      </c>
      <c r="D8" s="220">
        <v>0</v>
      </c>
      <c r="E8" s="195">
        <f t="shared" si="0"/>
        <v>0</v>
      </c>
      <c r="F8" s="203">
        <f>E8*100/E27</f>
        <v>0</v>
      </c>
    </row>
    <row r="9" spans="1:6" s="303" customFormat="1" ht="15">
      <c r="A9" s="204" t="s">
        <v>36</v>
      </c>
      <c r="B9" s="237">
        <v>0</v>
      </c>
      <c r="C9" s="220">
        <v>0</v>
      </c>
      <c r="D9" s="220">
        <v>0</v>
      </c>
      <c r="E9" s="195">
        <f t="shared" si="0"/>
        <v>0</v>
      </c>
      <c r="F9" s="203">
        <f>E9*100/E27</f>
        <v>0</v>
      </c>
    </row>
    <row r="10" spans="1:6" s="303" customFormat="1" ht="15">
      <c r="A10" s="204" t="s">
        <v>37</v>
      </c>
      <c r="B10" s="237">
        <v>11</v>
      </c>
      <c r="C10" s="220">
        <f>41903543-16977525</f>
        <v>24926018</v>
      </c>
      <c r="D10" s="220">
        <f>7930751-3628806</f>
        <v>4301945</v>
      </c>
      <c r="E10" s="195">
        <f t="shared" si="0"/>
        <v>20624073</v>
      </c>
      <c r="F10" s="203">
        <f>E10*100/E27</f>
        <v>48.355104620062555</v>
      </c>
    </row>
    <row r="11" spans="1:6" s="303" customFormat="1" ht="15">
      <c r="A11" s="204" t="s">
        <v>38</v>
      </c>
      <c r="B11" s="237">
        <v>27</v>
      </c>
      <c r="C11" s="237">
        <v>16977525</v>
      </c>
      <c r="D11" s="237">
        <v>3628806</v>
      </c>
      <c r="E11" s="195">
        <f t="shared" si="0"/>
        <v>13348719</v>
      </c>
      <c r="F11" s="203">
        <f>E11*100/E27</f>
        <v>31.297343826741535</v>
      </c>
    </row>
    <row r="12" spans="1:6" s="303" customFormat="1" ht="15">
      <c r="A12" s="204" t="s">
        <v>39</v>
      </c>
      <c r="B12" s="237">
        <v>0</v>
      </c>
      <c r="C12" s="237">
        <v>0</v>
      </c>
      <c r="D12" s="237">
        <v>0</v>
      </c>
      <c r="E12" s="195">
        <f t="shared" si="0"/>
        <v>0</v>
      </c>
      <c r="F12" s="203">
        <f>E12*100/E27</f>
        <v>0</v>
      </c>
    </row>
    <row r="13" spans="1:6" s="303" customFormat="1" ht="15">
      <c r="A13" s="192" t="s">
        <v>137</v>
      </c>
      <c r="B13" s="280" t="s">
        <v>64</v>
      </c>
      <c r="C13" s="220">
        <f>6011924+23899+309903+893439+3068269</f>
        <v>10307434</v>
      </c>
      <c r="D13" s="220">
        <f>1618699+23899+53552+893439+1223196</f>
        <v>3812785</v>
      </c>
      <c r="E13" s="195">
        <f t="shared" si="0"/>
        <v>6494649</v>
      </c>
      <c r="F13" s="203">
        <f>E13*100/E27</f>
        <v>15.227323519732723</v>
      </c>
    </row>
    <row r="14" spans="1:6" s="303" customFormat="1" ht="15">
      <c r="A14" s="204" t="s">
        <v>138</v>
      </c>
      <c r="B14" s="280" t="s">
        <v>64</v>
      </c>
      <c r="C14" s="237">
        <f>197558+62399+28868+38143</f>
        <v>326968</v>
      </c>
      <c r="D14" s="237">
        <f>148169+30357+11186+28331</f>
        <v>218043</v>
      </c>
      <c r="E14" s="195">
        <f t="shared" si="0"/>
        <v>108925</v>
      </c>
      <c r="F14" s="203">
        <f>E14*100/E27</f>
        <v>0.25538504303879805</v>
      </c>
    </row>
    <row r="15" spans="1:6" s="303" customFormat="1" ht="15">
      <c r="A15" s="204" t="s">
        <v>139</v>
      </c>
      <c r="B15" s="280" t="s">
        <v>64</v>
      </c>
      <c r="C15" s="237">
        <f>231446+79930+91252+18753+287007+69086+674155</f>
        <v>1451629</v>
      </c>
      <c r="D15" s="237">
        <f>221993+69512+43888+15649+244759+60925+664945</f>
        <v>1321671</v>
      </c>
      <c r="E15" s="195">
        <f t="shared" si="0"/>
        <v>129958</v>
      </c>
      <c r="F15" s="203">
        <f>E15*100/E27</f>
        <v>0.3046989159810523</v>
      </c>
    </row>
    <row r="16" spans="1:6" s="303" customFormat="1" ht="15">
      <c r="A16" s="213" t="s">
        <v>140</v>
      </c>
      <c r="B16" s="280" t="s">
        <v>64</v>
      </c>
      <c r="C16" s="237">
        <f>43447+1529+6338+102132</f>
        <v>153446</v>
      </c>
      <c r="D16" s="237">
        <f>12756+1529+6338+89365</f>
        <v>109988</v>
      </c>
      <c r="E16" s="195">
        <f t="shared" si="0"/>
        <v>43458</v>
      </c>
      <c r="F16" s="203">
        <f>E16*100/E27</f>
        <v>0.10189142254193333</v>
      </c>
    </row>
    <row r="17" spans="1:6" s="303" customFormat="1" ht="15">
      <c r="A17" s="204" t="s">
        <v>141</v>
      </c>
      <c r="B17" s="280" t="s">
        <v>64</v>
      </c>
      <c r="C17" s="237">
        <f>1023102+568616+97884+1394213+129004</f>
        <v>3212819</v>
      </c>
      <c r="D17" s="237">
        <f>852942+501120+79174+1002969+95393</f>
        <v>2531598</v>
      </c>
      <c r="E17" s="195">
        <f t="shared" si="0"/>
        <v>681221</v>
      </c>
      <c r="F17" s="203">
        <f>E17*100/E27</f>
        <v>1.5971875547756076</v>
      </c>
    </row>
    <row r="18" spans="1:6" s="303" customFormat="1" ht="15">
      <c r="A18" s="204" t="s">
        <v>142</v>
      </c>
      <c r="B18" s="280" t="s">
        <v>64</v>
      </c>
      <c r="C18" s="237">
        <f>45096+25969+48001+21571+49602</f>
        <v>190239</v>
      </c>
      <c r="D18" s="105">
        <f>39099+15302+48001+21571+48812</f>
        <v>172785</v>
      </c>
      <c r="E18" s="195">
        <f t="shared" si="0"/>
        <v>17454</v>
      </c>
      <c r="F18" s="203">
        <f>E18*100/E27</f>
        <v>0.040922566364004424</v>
      </c>
    </row>
    <row r="19" spans="1:6" ht="15.75">
      <c r="A19" s="131" t="s">
        <v>143</v>
      </c>
      <c r="B19" s="81" t="s">
        <v>64</v>
      </c>
      <c r="C19" s="133">
        <f>SUM(C20:C21)</f>
        <v>2248063</v>
      </c>
      <c r="D19" s="133">
        <f>SUM(D20:D21)</f>
        <v>1496836</v>
      </c>
      <c r="E19" s="320">
        <f t="shared" si="0"/>
        <v>751227</v>
      </c>
      <c r="F19" s="134">
        <f>E19*100/E27</f>
        <v>1.7613232933386014</v>
      </c>
    </row>
    <row r="20" spans="1:6" s="303" customFormat="1" ht="15">
      <c r="A20" s="213" t="s">
        <v>47</v>
      </c>
      <c r="B20" s="280" t="s">
        <v>64</v>
      </c>
      <c r="C20" s="237">
        <f>8385+1342+75928+12720+108576+394568+273047</f>
        <v>874566</v>
      </c>
      <c r="D20" s="105">
        <f>3144+1342+34685+9350+65961+168129+272310</f>
        <v>554921</v>
      </c>
      <c r="E20" s="195">
        <f t="shared" si="0"/>
        <v>319645</v>
      </c>
      <c r="F20" s="239">
        <f>E20*100/E27</f>
        <v>0.7494381646282912</v>
      </c>
    </row>
    <row r="21" spans="1:6" s="303" customFormat="1" ht="15">
      <c r="A21" s="213" t="s">
        <v>48</v>
      </c>
      <c r="B21" s="280" t="s">
        <v>64</v>
      </c>
      <c r="C21" s="237">
        <f>6200+278581+79620+226699+442825+26334+313238</f>
        <v>1373497</v>
      </c>
      <c r="D21" s="105">
        <f>6200+278581+79620+226699+203430+20566+126819</f>
        <v>941915</v>
      </c>
      <c r="E21" s="195">
        <f t="shared" si="0"/>
        <v>431582</v>
      </c>
      <c r="F21" s="239">
        <f>E21*100/E27</f>
        <v>1.0118851287103103</v>
      </c>
    </row>
    <row r="22" spans="1:6" s="303" customFormat="1" ht="15.75" thickBot="1">
      <c r="A22" s="199" t="s">
        <v>144</v>
      </c>
      <c r="B22" s="280" t="s">
        <v>64</v>
      </c>
      <c r="C22" s="222">
        <f>119505+68094</f>
        <v>187599</v>
      </c>
      <c r="D22" s="207"/>
      <c r="E22" s="207">
        <f t="shared" si="0"/>
        <v>187599</v>
      </c>
      <c r="F22" s="241">
        <f>E22*100/E27</f>
        <v>0.4398437336611015</v>
      </c>
    </row>
    <row r="23" spans="1:6" ht="17.25" thickBot="1" thickTop="1">
      <c r="A23" s="5" t="s">
        <v>50</v>
      </c>
      <c r="B23" s="126">
        <f>SUM(B5:B12)</f>
        <v>38</v>
      </c>
      <c r="C23" s="8">
        <f>SUM(C5:C18)+C20+C21+C22</f>
        <v>59981740</v>
      </c>
      <c r="D23" s="8">
        <f>SUM(D5:D18)+D20+D21+D22</f>
        <v>17594457</v>
      </c>
      <c r="E23" s="7">
        <f t="shared" si="0"/>
        <v>42387283</v>
      </c>
      <c r="F23" s="87">
        <f>E23*100/E27</f>
        <v>99.38102449623791</v>
      </c>
    </row>
    <row r="24" spans="1:6" s="303" customFormat="1" ht="15.75" thickTop="1">
      <c r="A24" s="192" t="s">
        <v>145</v>
      </c>
      <c r="B24" s="280" t="s">
        <v>64</v>
      </c>
      <c r="C24" s="220">
        <f>235000+44382+5375+10682+14769+70858+5990+17918</f>
        <v>404974</v>
      </c>
      <c r="D24" s="220">
        <f>41441+5375+7756+14769+47724+5990+17918</f>
        <v>140973</v>
      </c>
      <c r="E24" s="195">
        <f t="shared" si="0"/>
        <v>264001</v>
      </c>
      <c r="F24" s="198">
        <f>E24*100/E27</f>
        <v>0.6189755037620908</v>
      </c>
    </row>
    <row r="25" spans="1:6" s="303" customFormat="1" ht="15">
      <c r="A25" s="204" t="s">
        <v>146</v>
      </c>
      <c r="B25" s="280" t="s">
        <v>64</v>
      </c>
      <c r="C25" s="237">
        <v>0</v>
      </c>
      <c r="D25" s="105">
        <v>0</v>
      </c>
      <c r="E25" s="195">
        <f t="shared" si="0"/>
        <v>0</v>
      </c>
      <c r="F25" s="198">
        <f>E25*100/E27</f>
        <v>0</v>
      </c>
    </row>
    <row r="26" spans="1:6" s="303" customFormat="1" ht="15.75" thickBot="1">
      <c r="A26" s="199" t="s">
        <v>147</v>
      </c>
      <c r="B26" s="280" t="s">
        <v>64</v>
      </c>
      <c r="C26" s="222">
        <v>0</v>
      </c>
      <c r="D26" s="243">
        <v>0</v>
      </c>
      <c r="E26" s="195">
        <f t="shared" si="0"/>
        <v>0</v>
      </c>
      <c r="F26" s="241">
        <f>E26*100/E27</f>
        <v>0</v>
      </c>
    </row>
    <row r="27" spans="1:6" ht="30" customHeight="1" thickBot="1" thickTop="1">
      <c r="A27" s="5" t="s">
        <v>54</v>
      </c>
      <c r="B27" s="18" t="s">
        <v>64</v>
      </c>
      <c r="C27" s="85">
        <f>C23+C24+C25+C26</f>
        <v>60386714</v>
      </c>
      <c r="D27" s="85">
        <f>D23+D24</f>
        <v>17735430</v>
      </c>
      <c r="E27" s="85">
        <f>E23+E24+E25+E26</f>
        <v>42651284</v>
      </c>
      <c r="F27" s="87">
        <f>F23+F24+F25+F26</f>
        <v>100</v>
      </c>
    </row>
    <row r="28" ht="13.5" thickTop="1"/>
  </sheetData>
  <printOptions horizontalCentered="1"/>
  <pageMargins left="0.2362204724409449" right="0.2755905511811024" top="0.9055118110236221" bottom="0.6692913385826772" header="0.5118110236220472" footer="0.5118110236220472"/>
  <pageSetup firstPageNumber="83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2" sqref="A22:A23"/>
    </sheetView>
  </sheetViews>
  <sheetFormatPr defaultColWidth="9.00390625" defaultRowHeight="12.75"/>
  <cols>
    <col min="1" max="1" width="42.375" style="76" customWidth="1"/>
    <col min="2" max="4" width="21.125" style="76" customWidth="1"/>
    <col min="5" max="5" width="11.00390625" style="76" customWidth="1"/>
    <col min="6" max="6" width="15.75390625" style="76" customWidth="1"/>
    <col min="7" max="16384" width="9.125" style="76" customWidth="1"/>
  </cols>
  <sheetData>
    <row r="1" spans="1:6" s="148" customFormat="1" ht="30.75" customHeight="1" thickBot="1">
      <c r="A1" s="119" t="s">
        <v>159</v>
      </c>
      <c r="F1" s="156" t="s">
        <v>160</v>
      </c>
    </row>
    <row r="2" spans="1:6" ht="27.75" customHeight="1" thickBot="1" thickTop="1">
      <c r="A2" s="451" t="s">
        <v>80</v>
      </c>
      <c r="B2" s="453" t="s">
        <v>81</v>
      </c>
      <c r="C2" s="479"/>
      <c r="D2" s="447" t="s">
        <v>18</v>
      </c>
      <c r="E2" s="456" t="s">
        <v>19</v>
      </c>
      <c r="F2" s="342" t="s">
        <v>82</v>
      </c>
    </row>
    <row r="3" spans="1:6" ht="27.75" customHeight="1" thickBot="1" thickTop="1">
      <c r="A3" s="452"/>
      <c r="B3" s="30" t="s">
        <v>21</v>
      </c>
      <c r="C3" s="31" t="s">
        <v>22</v>
      </c>
      <c r="D3" s="455"/>
      <c r="E3" s="455"/>
      <c r="F3" s="343"/>
    </row>
    <row r="4" spans="1:6" ht="30" customHeight="1" thickBot="1" thickTop="1">
      <c r="A4" s="138" t="s">
        <v>150</v>
      </c>
      <c r="B4" s="139">
        <f>B5+B12+B17</f>
        <v>1514892</v>
      </c>
      <c r="C4" s="140">
        <f>C5+C12+C17</f>
        <v>2606450</v>
      </c>
      <c r="D4" s="141">
        <f aca="true" t="shared" si="0" ref="D4:D20">C4-B4</f>
        <v>1091558</v>
      </c>
      <c r="E4" s="142">
        <f>C4/B4*100</f>
        <v>172.0551696094507</v>
      </c>
      <c r="F4" s="87">
        <f>F5+F12+F17</f>
        <v>100</v>
      </c>
    </row>
    <row r="5" spans="1:6" ht="18" customHeight="1" thickBot="1" thickTop="1">
      <c r="A5" s="89" t="s">
        <v>84</v>
      </c>
      <c r="B5" s="90">
        <f>B6+B7+B8+B9+B11</f>
        <v>65574</v>
      </c>
      <c r="C5" s="91">
        <f>C6+C7+C8+C9+C11</f>
        <v>78280</v>
      </c>
      <c r="D5" s="92">
        <f t="shared" si="0"/>
        <v>12706</v>
      </c>
      <c r="E5" s="93">
        <f>C5/B5*100</f>
        <v>119.37658218196236</v>
      </c>
      <c r="F5" s="321">
        <f>C5*100/C4</f>
        <v>3.0033186901724567</v>
      </c>
    </row>
    <row r="6" spans="1:6" s="303" customFormat="1" ht="18" customHeight="1">
      <c r="A6" s="250" t="s">
        <v>85</v>
      </c>
      <c r="B6" s="251">
        <f>29764+1246+4266</f>
        <v>35276</v>
      </c>
      <c r="C6" s="101">
        <f>39980+1246+2984</f>
        <v>44210</v>
      </c>
      <c r="D6" s="252">
        <f t="shared" si="0"/>
        <v>8934</v>
      </c>
      <c r="E6" s="266">
        <v>0</v>
      </c>
      <c r="F6" s="305">
        <f>C6*100/C4</f>
        <v>1.696176792188609</v>
      </c>
    </row>
    <row r="7" spans="1:6" s="303" customFormat="1" ht="18" customHeight="1">
      <c r="A7" s="255" t="s">
        <v>86</v>
      </c>
      <c r="B7" s="251">
        <v>0</v>
      </c>
      <c r="C7" s="101">
        <v>0</v>
      </c>
      <c r="D7" s="103">
        <f t="shared" si="0"/>
        <v>0</v>
      </c>
      <c r="E7" s="104">
        <v>0</v>
      </c>
      <c r="F7" s="239">
        <v>0</v>
      </c>
    </row>
    <row r="8" spans="1:6" s="303" customFormat="1" ht="18" customHeight="1">
      <c r="A8" s="255" t="s">
        <v>87</v>
      </c>
      <c r="B8" s="251">
        <v>0</v>
      </c>
      <c r="C8" s="101">
        <v>0</v>
      </c>
      <c r="D8" s="101">
        <f t="shared" si="0"/>
        <v>0</v>
      </c>
      <c r="E8" s="262">
        <v>0</v>
      </c>
      <c r="F8" s="307">
        <v>0</v>
      </c>
    </row>
    <row r="9" spans="1:6" s="303" customFormat="1" ht="18" customHeight="1">
      <c r="A9" s="255" t="s">
        <v>88</v>
      </c>
      <c r="B9" s="251">
        <f>54+24116+5428</f>
        <v>29598</v>
      </c>
      <c r="C9" s="101">
        <f>129+18656+12763</f>
        <v>31548</v>
      </c>
      <c r="D9" s="103">
        <f t="shared" si="0"/>
        <v>1950</v>
      </c>
      <c r="E9" s="103">
        <f>C9/B9*100</f>
        <v>106.58828299209407</v>
      </c>
      <c r="F9" s="239">
        <f>C9*100/C4</f>
        <v>1.2103819371175353</v>
      </c>
    </row>
    <row r="10" spans="1:6" s="303" customFormat="1" ht="18" customHeight="1">
      <c r="A10" s="255" t="s">
        <v>89</v>
      </c>
      <c r="B10" s="251">
        <v>0</v>
      </c>
      <c r="C10" s="101">
        <v>0</v>
      </c>
      <c r="D10" s="103">
        <f t="shared" si="0"/>
        <v>0</v>
      </c>
      <c r="E10" s="103">
        <v>0</v>
      </c>
      <c r="F10" s="239">
        <v>0</v>
      </c>
    </row>
    <row r="11" spans="1:6" s="303" customFormat="1" ht="18" customHeight="1" thickBot="1">
      <c r="A11" s="259" t="s">
        <v>90</v>
      </c>
      <c r="B11" s="251">
        <v>700</v>
      </c>
      <c r="C11" s="101">
        <v>2522</v>
      </c>
      <c r="D11" s="261">
        <f t="shared" si="0"/>
        <v>1822</v>
      </c>
      <c r="E11" s="262">
        <f>C11/B11*100</f>
        <v>360.2857142857143</v>
      </c>
      <c r="F11" s="241">
        <f>C11*100/C4</f>
        <v>0.09675996086631242</v>
      </c>
    </row>
    <row r="12" spans="1:6" ht="18.75" customHeight="1" thickBot="1">
      <c r="A12" s="95" t="s">
        <v>91</v>
      </c>
      <c r="B12" s="96">
        <f>B13+B14+B15+B16</f>
        <v>627471</v>
      </c>
      <c r="C12" s="97">
        <f>C13+C14+C15+C16</f>
        <v>678727</v>
      </c>
      <c r="D12" s="91">
        <f t="shared" si="0"/>
        <v>51256</v>
      </c>
      <c r="E12" s="322">
        <f>C12/B12*100</f>
        <v>108.16866436855248</v>
      </c>
      <c r="F12" s="323">
        <f>C12*100/C4</f>
        <v>26.040284678393984</v>
      </c>
    </row>
    <row r="13" spans="1:6" s="303" customFormat="1" ht="18" customHeight="1">
      <c r="A13" s="264" t="s">
        <v>92</v>
      </c>
      <c r="B13" s="265">
        <f>121079+43402+14235+61054+2178+1123</f>
        <v>243071</v>
      </c>
      <c r="C13" s="253">
        <f>143642+47155+12235+126791</f>
        <v>329823</v>
      </c>
      <c r="D13" s="253">
        <f t="shared" si="0"/>
        <v>86752</v>
      </c>
      <c r="E13" s="308">
        <f>C13/B13*100</f>
        <v>135.68998358504305</v>
      </c>
      <c r="F13" s="309">
        <f>C13*100/C4</f>
        <v>12.654108078037178</v>
      </c>
    </row>
    <row r="14" spans="1:6" s="303" customFormat="1" ht="18" customHeight="1">
      <c r="A14" s="255" t="s">
        <v>93</v>
      </c>
      <c r="B14" s="256">
        <f>6074+151013+3816+440</f>
        <v>161343</v>
      </c>
      <c r="C14" s="103">
        <f>43507+8799+49246+11619</f>
        <v>113171</v>
      </c>
      <c r="D14" s="101">
        <f t="shared" si="0"/>
        <v>-48172</v>
      </c>
      <c r="E14" s="325">
        <f>C14/B14*100</f>
        <v>70.14311125986254</v>
      </c>
      <c r="F14" s="239">
        <f>C14*100/C4</f>
        <v>4.341959370024362</v>
      </c>
    </row>
    <row r="15" spans="1:6" s="303" customFormat="1" ht="18" customHeight="1">
      <c r="A15" s="255" t="s">
        <v>94</v>
      </c>
      <c r="B15" s="256">
        <v>0</v>
      </c>
      <c r="C15" s="103">
        <v>0</v>
      </c>
      <c r="D15" s="101">
        <f t="shared" si="0"/>
        <v>0</v>
      </c>
      <c r="E15" s="103">
        <v>0</v>
      </c>
      <c r="F15" s="239">
        <v>0</v>
      </c>
    </row>
    <row r="16" spans="1:6" s="303" customFormat="1" ht="18" customHeight="1" thickBot="1">
      <c r="A16" s="259" t="s">
        <v>95</v>
      </c>
      <c r="B16" s="260">
        <f>33954+4952+59903+26575+7059+90614</f>
        <v>223057</v>
      </c>
      <c r="C16" s="268">
        <f>37644+5674+65350+38075+6288+82702</f>
        <v>235733</v>
      </c>
      <c r="D16" s="269">
        <f t="shared" si="0"/>
        <v>12676</v>
      </c>
      <c r="E16" s="310">
        <f>C16/B16*100</f>
        <v>105.68285236509054</v>
      </c>
      <c r="F16" s="241">
        <f>C16*100/C4</f>
        <v>9.044217230332444</v>
      </c>
    </row>
    <row r="17" spans="1:6" ht="18" customHeight="1" thickBot="1">
      <c r="A17" s="95" t="s">
        <v>96</v>
      </c>
      <c r="B17" s="97">
        <f>B18+B19+B20</f>
        <v>821847</v>
      </c>
      <c r="C17" s="97">
        <f>C18+C19+C20</f>
        <v>1849443</v>
      </c>
      <c r="D17" s="97">
        <f t="shared" si="0"/>
        <v>1027596</v>
      </c>
      <c r="E17" s="324">
        <f>C17/B17*100</f>
        <v>225.0349517610942</v>
      </c>
      <c r="F17" s="323">
        <f>C17*100/C4</f>
        <v>70.95639663143356</v>
      </c>
    </row>
    <row r="18" spans="1:6" s="303" customFormat="1" ht="18" customHeight="1">
      <c r="A18" s="264" t="s">
        <v>97</v>
      </c>
      <c r="B18" s="265">
        <f>21352+12334+1766+737+1668+2504</f>
        <v>40361</v>
      </c>
      <c r="C18" s="253">
        <f>43667+20610+642+790+4113+4748</f>
        <v>74570</v>
      </c>
      <c r="D18" s="253">
        <f t="shared" si="0"/>
        <v>34209</v>
      </c>
      <c r="E18" s="311">
        <f>C18/B18*100</f>
        <v>184.75756299397935</v>
      </c>
      <c r="F18" s="309">
        <f>C18*100/C4</f>
        <v>2.8609794931803796</v>
      </c>
    </row>
    <row r="19" spans="1:6" s="303" customFormat="1" ht="18" customHeight="1">
      <c r="A19" s="255" t="s">
        <v>98</v>
      </c>
      <c r="B19" s="256">
        <f>211743+22975+26915+19301+99435+1004+194781+205332</f>
        <v>781486</v>
      </c>
      <c r="C19" s="103">
        <f>793165+35640+46175+162740+127202+6268+66409+537130</f>
        <v>1774729</v>
      </c>
      <c r="D19" s="103">
        <f t="shared" si="0"/>
        <v>993243</v>
      </c>
      <c r="E19" s="312">
        <f>C19/B19*100</f>
        <v>227.0967106256542</v>
      </c>
      <c r="F19" s="239">
        <f>C19*100/C4</f>
        <v>68.08989238235915</v>
      </c>
    </row>
    <row r="20" spans="1:6" s="303" customFormat="1" ht="18" customHeight="1" thickBot="1">
      <c r="A20" s="270" t="s">
        <v>99</v>
      </c>
      <c r="B20" s="271">
        <v>0</v>
      </c>
      <c r="C20" s="106">
        <f>144</f>
        <v>144</v>
      </c>
      <c r="D20" s="272">
        <f t="shared" si="0"/>
        <v>144</v>
      </c>
      <c r="E20" s="326" t="s">
        <v>151</v>
      </c>
      <c r="F20" s="314">
        <f>C20*100/C4</f>
        <v>0.005524755894032112</v>
      </c>
    </row>
    <row r="21" ht="13.5" thickTop="1"/>
  </sheetData>
  <mergeCells count="5">
    <mergeCell ref="A2:A3"/>
    <mergeCell ref="D2:D3"/>
    <mergeCell ref="E2:E3"/>
    <mergeCell ref="F2:F3"/>
    <mergeCell ref="B2:C2"/>
  </mergeCells>
  <printOptions horizontalCentered="1"/>
  <pageMargins left="0.2362204724409449" right="0.31496062992125984" top="1.141732283464567" bottom="0.984251968503937" header="0.6299212598425197" footer="0.5118110236220472"/>
  <pageSetup firstPageNumber="84" useFirstPageNumber="1" horizontalDpi="600" verticalDpi="600" orientation="landscape" paperSize="9" r:id="rId1"/>
  <headerFooter alignWithMargins="0">
    <oddHeader>&amp;C &amp;"Times New Roman CE,Normalny"&amp;P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IV16384"/>
    </sheetView>
  </sheetViews>
  <sheetFormatPr defaultColWidth="9.00390625" defaultRowHeight="12.75"/>
  <cols>
    <col min="1" max="1" width="58.75390625" style="76" customWidth="1"/>
    <col min="2" max="2" width="9.75390625" style="76" customWidth="1"/>
    <col min="3" max="3" width="18.75390625" style="76" customWidth="1"/>
    <col min="4" max="4" width="19.00390625" style="76" customWidth="1"/>
    <col min="5" max="5" width="17.25390625" style="76" customWidth="1"/>
    <col min="6" max="6" width="15.75390625" style="76" customWidth="1"/>
    <col min="7" max="16384" width="9.125" style="76" customWidth="1"/>
  </cols>
  <sheetData>
    <row r="1" ht="12.75">
      <c r="F1" s="156" t="s">
        <v>161</v>
      </c>
    </row>
    <row r="2" spans="1:6" s="148" customFormat="1" ht="30.75" customHeight="1" thickBot="1">
      <c r="A2" s="119" t="s">
        <v>162</v>
      </c>
      <c r="F2" s="156"/>
    </row>
    <row r="3" spans="1:6" ht="16.5" thickTop="1">
      <c r="A3" s="443" t="s">
        <v>16</v>
      </c>
      <c r="B3" s="125" t="s">
        <v>134</v>
      </c>
      <c r="C3" s="111" t="s">
        <v>56</v>
      </c>
      <c r="D3" s="111" t="s">
        <v>57</v>
      </c>
      <c r="E3" s="111" t="s">
        <v>58</v>
      </c>
      <c r="F3" s="474" t="s">
        <v>59</v>
      </c>
    </row>
    <row r="4" spans="1:6" ht="16.5" thickBot="1">
      <c r="A4" s="449"/>
      <c r="B4" s="112" t="s">
        <v>60</v>
      </c>
      <c r="C4" s="112" t="s">
        <v>62</v>
      </c>
      <c r="D4" s="112" t="s">
        <v>62</v>
      </c>
      <c r="E4" s="112" t="s">
        <v>62</v>
      </c>
      <c r="F4" s="353"/>
    </row>
    <row r="5" spans="1:6" ht="16.5" thickTop="1">
      <c r="A5" s="127" t="s">
        <v>135</v>
      </c>
      <c r="B5" s="128" t="s">
        <v>101</v>
      </c>
      <c r="C5" s="129">
        <f>SUM(C6:C13)</f>
        <v>123866059</v>
      </c>
      <c r="D5" s="129">
        <f>SUM(D6:D13)</f>
        <v>74700632</v>
      </c>
      <c r="E5" s="157">
        <f aca="true" t="shared" si="0" ref="E5:E27">C5-D5</f>
        <v>49165427</v>
      </c>
      <c r="F5" s="130">
        <f>E5*100/E28</f>
        <v>99.37395256791969</v>
      </c>
    </row>
    <row r="6" spans="1:6" s="303" customFormat="1" ht="15">
      <c r="A6" s="192" t="s">
        <v>33</v>
      </c>
      <c r="B6" s="220">
        <v>6380</v>
      </c>
      <c r="C6" s="220">
        <v>108831030</v>
      </c>
      <c r="D6" s="220">
        <v>65259792</v>
      </c>
      <c r="E6" s="195">
        <f t="shared" si="0"/>
        <v>43571238</v>
      </c>
      <c r="F6" s="203">
        <f>E6*100/E28</f>
        <v>88.06688770012187</v>
      </c>
    </row>
    <row r="7" spans="1:6" s="303" customFormat="1" ht="15">
      <c r="A7" s="192" t="s">
        <v>136</v>
      </c>
      <c r="B7" s="220">
        <v>0</v>
      </c>
      <c r="C7" s="220">
        <v>0</v>
      </c>
      <c r="D7" s="220">
        <v>0</v>
      </c>
      <c r="E7" s="195">
        <f t="shared" si="0"/>
        <v>0</v>
      </c>
      <c r="F7" s="203">
        <f>E7*100/E28</f>
        <v>0</v>
      </c>
    </row>
    <row r="8" spans="1:6" s="303" customFormat="1" ht="15">
      <c r="A8" s="204" t="s">
        <v>66</v>
      </c>
      <c r="B8" s="237">
        <v>780</v>
      </c>
      <c r="C8" s="237">
        <v>13296541</v>
      </c>
      <c r="D8" s="237">
        <v>8249316</v>
      </c>
      <c r="E8" s="195">
        <f t="shared" si="0"/>
        <v>5047225</v>
      </c>
      <c r="F8" s="203">
        <f>E8*100/E28</f>
        <v>10.201532425409798</v>
      </c>
    </row>
    <row r="9" spans="1:6" s="303" customFormat="1" ht="15">
      <c r="A9" s="204" t="s">
        <v>35</v>
      </c>
      <c r="B9" s="237">
        <v>0</v>
      </c>
      <c r="C9" s="237">
        <v>0</v>
      </c>
      <c r="D9" s="237">
        <v>0</v>
      </c>
      <c r="E9" s="195">
        <f t="shared" si="0"/>
        <v>0</v>
      </c>
      <c r="F9" s="203">
        <f>E9*100/E28</f>
        <v>0</v>
      </c>
    </row>
    <row r="10" spans="1:6" s="303" customFormat="1" ht="15">
      <c r="A10" s="204" t="s">
        <v>36</v>
      </c>
      <c r="B10" s="237">
        <v>0</v>
      </c>
      <c r="C10" s="237">
        <v>0</v>
      </c>
      <c r="D10" s="237">
        <v>0</v>
      </c>
      <c r="E10" s="195">
        <f t="shared" si="0"/>
        <v>0</v>
      </c>
      <c r="F10" s="203">
        <f>E10*100/E28</f>
        <v>0</v>
      </c>
    </row>
    <row r="11" spans="1:6" s="303" customFormat="1" ht="15">
      <c r="A11" s="204" t="s">
        <v>37</v>
      </c>
      <c r="B11" s="237">
        <v>0</v>
      </c>
      <c r="C11" s="237">
        <v>0</v>
      </c>
      <c r="D11" s="237">
        <v>0</v>
      </c>
      <c r="E11" s="195">
        <f t="shared" si="0"/>
        <v>0</v>
      </c>
      <c r="F11" s="203">
        <f>E11*100/E28</f>
        <v>0</v>
      </c>
    </row>
    <row r="12" spans="1:6" s="303" customFormat="1" ht="15">
      <c r="A12" s="204" t="s">
        <v>38</v>
      </c>
      <c r="B12" s="237">
        <v>0</v>
      </c>
      <c r="C12" s="237">
        <v>0</v>
      </c>
      <c r="D12" s="237">
        <v>0</v>
      </c>
      <c r="E12" s="195">
        <f t="shared" si="0"/>
        <v>0</v>
      </c>
      <c r="F12" s="203">
        <f>E12*100/E28</f>
        <v>0</v>
      </c>
    </row>
    <row r="13" spans="1:6" s="303" customFormat="1" ht="15">
      <c r="A13" s="204" t="s">
        <v>39</v>
      </c>
      <c r="B13" s="237">
        <v>5</v>
      </c>
      <c r="C13" s="237">
        <v>1738488</v>
      </c>
      <c r="D13" s="237">
        <v>1191524</v>
      </c>
      <c r="E13" s="195">
        <f t="shared" si="0"/>
        <v>546964</v>
      </c>
      <c r="F13" s="203">
        <f>E13*100/E28</f>
        <v>1.1055324423880142</v>
      </c>
    </row>
    <row r="14" spans="1:6" s="303" customFormat="1" ht="15">
      <c r="A14" s="192" t="s">
        <v>137</v>
      </c>
      <c r="B14" s="237" t="s">
        <v>101</v>
      </c>
      <c r="C14" s="220">
        <v>257228</v>
      </c>
      <c r="D14" s="220">
        <v>149592</v>
      </c>
      <c r="E14" s="195">
        <f t="shared" si="0"/>
        <v>107636</v>
      </c>
      <c r="F14" s="203">
        <f>E14*100/E28</f>
        <v>0.21755561603483284</v>
      </c>
    </row>
    <row r="15" spans="1:6" s="303" customFormat="1" ht="15">
      <c r="A15" s="204" t="s">
        <v>138</v>
      </c>
      <c r="B15" s="237">
        <v>5</v>
      </c>
      <c r="C15" s="237">
        <v>54881</v>
      </c>
      <c r="D15" s="237">
        <v>27995</v>
      </c>
      <c r="E15" s="195">
        <v>26886</v>
      </c>
      <c r="F15" s="203">
        <f>E15*100/E28</f>
        <v>0.0543424160384306</v>
      </c>
    </row>
    <row r="16" spans="1:6" s="303" customFormat="1" ht="18" customHeight="1">
      <c r="A16" s="204" t="s">
        <v>139</v>
      </c>
      <c r="B16" s="237">
        <v>418</v>
      </c>
      <c r="C16" s="237">
        <v>755056</v>
      </c>
      <c r="D16" s="237">
        <v>667774</v>
      </c>
      <c r="E16" s="195">
        <f t="shared" si="0"/>
        <v>87282</v>
      </c>
      <c r="F16" s="203">
        <f>E16*100/E28</f>
        <v>0.17641578355524434</v>
      </c>
    </row>
    <row r="17" spans="1:6" s="303" customFormat="1" ht="15">
      <c r="A17" s="213" t="s">
        <v>140</v>
      </c>
      <c r="B17" s="237">
        <v>0</v>
      </c>
      <c r="C17" s="237">
        <v>0</v>
      </c>
      <c r="D17" s="237">
        <v>0</v>
      </c>
      <c r="E17" s="195">
        <f t="shared" si="0"/>
        <v>0</v>
      </c>
      <c r="F17" s="203">
        <f>E17*100/E28</f>
        <v>0</v>
      </c>
    </row>
    <row r="18" spans="1:6" s="303" customFormat="1" ht="15">
      <c r="A18" s="204" t="s">
        <v>141</v>
      </c>
      <c r="B18" s="237">
        <v>0</v>
      </c>
      <c r="C18" s="237">
        <v>0</v>
      </c>
      <c r="D18" s="237">
        <v>0</v>
      </c>
      <c r="E18" s="195">
        <f t="shared" si="0"/>
        <v>0</v>
      </c>
      <c r="F18" s="203">
        <f>E18*100/E28</f>
        <v>0</v>
      </c>
    </row>
    <row r="19" spans="1:6" s="303" customFormat="1" ht="15">
      <c r="A19" s="204" t="s">
        <v>142</v>
      </c>
      <c r="B19" s="237">
        <v>0</v>
      </c>
      <c r="C19" s="237">
        <v>0</v>
      </c>
      <c r="D19" s="105">
        <v>0</v>
      </c>
      <c r="E19" s="195">
        <f t="shared" si="0"/>
        <v>0</v>
      </c>
      <c r="F19" s="203">
        <f>E19*100/E28</f>
        <v>0</v>
      </c>
    </row>
    <row r="20" spans="1:6" ht="15.75">
      <c r="A20" s="80" t="s">
        <v>143</v>
      </c>
      <c r="B20" s="81" t="s">
        <v>101</v>
      </c>
      <c r="C20" s="82">
        <f>SUM(C21:C22)</f>
        <v>0</v>
      </c>
      <c r="D20" s="82">
        <f>SUM(D21:D22)</f>
        <v>0</v>
      </c>
      <c r="E20" s="83">
        <f t="shared" si="0"/>
        <v>0</v>
      </c>
      <c r="F20" s="84">
        <f>E20*100/E28</f>
        <v>0</v>
      </c>
    </row>
    <row r="21" spans="1:6" s="303" customFormat="1" ht="15">
      <c r="A21" s="213" t="s">
        <v>47</v>
      </c>
      <c r="B21" s="280" t="s">
        <v>101</v>
      </c>
      <c r="C21" s="237">
        <v>0</v>
      </c>
      <c r="D21" s="105">
        <v>0</v>
      </c>
      <c r="E21" s="195">
        <f t="shared" si="0"/>
        <v>0</v>
      </c>
      <c r="F21" s="239">
        <f>E21*100/E28</f>
        <v>0</v>
      </c>
    </row>
    <row r="22" spans="1:6" s="303" customFormat="1" ht="15">
      <c r="A22" s="213" t="s">
        <v>48</v>
      </c>
      <c r="B22" s="280" t="s">
        <v>101</v>
      </c>
      <c r="C22" s="237">
        <v>0</v>
      </c>
      <c r="D22" s="105">
        <v>0</v>
      </c>
      <c r="E22" s="195">
        <f t="shared" si="0"/>
        <v>0</v>
      </c>
      <c r="F22" s="239">
        <f>E22*100/E28</f>
        <v>0</v>
      </c>
    </row>
    <row r="23" spans="1:6" s="303" customFormat="1" ht="15.75" thickBot="1">
      <c r="A23" s="199" t="s">
        <v>144</v>
      </c>
      <c r="B23" s="240" t="s">
        <v>101</v>
      </c>
      <c r="C23" s="222">
        <v>0</v>
      </c>
      <c r="D23" s="207">
        <v>0</v>
      </c>
      <c r="E23" s="207">
        <f t="shared" si="0"/>
        <v>0</v>
      </c>
      <c r="F23" s="241">
        <f>E23*100/E28</f>
        <v>0</v>
      </c>
    </row>
    <row r="24" spans="1:6" ht="17.25" thickBot="1" thickTop="1">
      <c r="A24" s="5" t="s">
        <v>50</v>
      </c>
      <c r="B24" s="85">
        <f>SUM(B6:B13)+B15+B16+B17+B18+B19</f>
        <v>7588</v>
      </c>
      <c r="C24" s="8">
        <f>SUM(C6:C19)+C21+C22+C23</f>
        <v>124933224</v>
      </c>
      <c r="D24" s="8">
        <f>SUM(D6:D19)+D21+D22+D23</f>
        <v>75545993</v>
      </c>
      <c r="E24" s="7">
        <f t="shared" si="0"/>
        <v>49387231</v>
      </c>
      <c r="F24" s="87">
        <f>E24*100/E28</f>
        <v>99.8222663835482</v>
      </c>
    </row>
    <row r="25" spans="1:6" s="303" customFormat="1" ht="15.75" thickTop="1">
      <c r="A25" s="192" t="s">
        <v>145</v>
      </c>
      <c r="B25" s="227" t="s">
        <v>101</v>
      </c>
      <c r="C25" s="220">
        <v>258675</v>
      </c>
      <c r="D25" s="195">
        <v>170741</v>
      </c>
      <c r="E25" s="195">
        <f t="shared" si="0"/>
        <v>87934</v>
      </c>
      <c r="F25" s="221">
        <f>E25*100/E28</f>
        <v>0.1777336164518097</v>
      </c>
    </row>
    <row r="26" spans="1:6" s="303" customFormat="1" ht="15">
      <c r="A26" s="204" t="s">
        <v>146</v>
      </c>
      <c r="B26" s="227" t="s">
        <v>101</v>
      </c>
      <c r="C26" s="237">
        <v>0</v>
      </c>
      <c r="D26" s="105">
        <v>0</v>
      </c>
      <c r="E26" s="195">
        <f t="shared" si="0"/>
        <v>0</v>
      </c>
      <c r="F26" s="198">
        <f>E26*100/E28</f>
        <v>0</v>
      </c>
    </row>
    <row r="27" spans="1:6" s="303" customFormat="1" ht="15.75" thickBot="1">
      <c r="A27" s="199" t="s">
        <v>147</v>
      </c>
      <c r="B27" s="227" t="s">
        <v>101</v>
      </c>
      <c r="C27" s="222">
        <v>0</v>
      </c>
      <c r="D27" s="243">
        <v>0</v>
      </c>
      <c r="E27" s="195">
        <f t="shared" si="0"/>
        <v>0</v>
      </c>
      <c r="F27" s="241">
        <f>E27*100/E28</f>
        <v>0</v>
      </c>
    </row>
    <row r="28" spans="1:6" ht="30" customHeight="1" thickBot="1" thickTop="1">
      <c r="A28" s="5" t="s">
        <v>54</v>
      </c>
      <c r="B28" s="18" t="s">
        <v>64</v>
      </c>
      <c r="C28" s="8">
        <f>C24+C25+C26+C27</f>
        <v>125191899</v>
      </c>
      <c r="D28" s="8">
        <f>D24+D25</f>
        <v>75716734</v>
      </c>
      <c r="E28" s="8">
        <f>E24+E25+E26+E27</f>
        <v>49475165</v>
      </c>
      <c r="F28" s="87">
        <f>F24+F25+F26+F27</f>
        <v>100</v>
      </c>
    </row>
    <row r="29" ht="13.5" thickTop="1"/>
  </sheetData>
  <mergeCells count="2">
    <mergeCell ref="A3:A4"/>
    <mergeCell ref="F3:F4"/>
  </mergeCells>
  <printOptions horizontalCentered="1"/>
  <pageMargins left="0.2362204724409449" right="0.2362204724409449" top="0.9055118110236221" bottom="0.3937007874015748" header="0.5118110236220472" footer="0.5118110236220472"/>
  <pageSetup firstPageNumber="85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6" sqref="A6"/>
    </sheetView>
  </sheetViews>
  <sheetFormatPr defaultColWidth="9.00390625" defaultRowHeight="12.75"/>
  <cols>
    <col min="1" max="1" width="42.375" style="0" customWidth="1"/>
    <col min="2" max="3" width="21.125" style="0" customWidth="1"/>
    <col min="4" max="4" width="16.875" style="0" customWidth="1"/>
    <col min="5" max="5" width="11.00390625" style="0" customWidth="1"/>
    <col min="6" max="6" width="15.75390625" style="0" customWidth="1"/>
  </cols>
  <sheetData>
    <row r="1" spans="1:6" s="148" customFormat="1" ht="30.75" customHeight="1" thickBot="1">
      <c r="A1" s="119" t="s">
        <v>164</v>
      </c>
      <c r="F1" s="149" t="s">
        <v>163</v>
      </c>
    </row>
    <row r="2" spans="1:6" ht="27.75" customHeight="1" thickBot="1" thickTop="1">
      <c r="A2" s="451" t="s">
        <v>80</v>
      </c>
      <c r="B2" s="453" t="s">
        <v>81</v>
      </c>
      <c r="C2" s="477"/>
      <c r="D2" s="447" t="s">
        <v>18</v>
      </c>
      <c r="E2" s="456" t="s">
        <v>19</v>
      </c>
      <c r="F2" s="342" t="s">
        <v>82</v>
      </c>
    </row>
    <row r="3" spans="1:6" ht="27.75" customHeight="1" thickBot="1" thickTop="1">
      <c r="A3" s="476"/>
      <c r="B3" s="30" t="s">
        <v>21</v>
      </c>
      <c r="C3" s="31" t="s">
        <v>22</v>
      </c>
      <c r="D3" s="478"/>
      <c r="E3" s="478"/>
      <c r="F3" s="475"/>
    </row>
    <row r="4" spans="1:6" ht="30" customHeight="1" thickBot="1" thickTop="1">
      <c r="A4" s="32" t="s">
        <v>83</v>
      </c>
      <c r="B4" s="33">
        <f>B5+B12+B17</f>
        <v>5034738</v>
      </c>
      <c r="C4" s="34">
        <f>C5+C12+C17</f>
        <v>5391261</v>
      </c>
      <c r="D4" s="35">
        <f aca="true" t="shared" si="0" ref="D4:D20">C4-B4</f>
        <v>356523</v>
      </c>
      <c r="E4" s="35">
        <f>C4/B4*100</f>
        <v>107.08126222258238</v>
      </c>
      <c r="F4" s="36">
        <f>F5+F12+F17</f>
        <v>100.00000000000001</v>
      </c>
    </row>
    <row r="5" spans="1:6" ht="18" customHeight="1" thickBot="1" thickTop="1">
      <c r="A5" s="37" t="s">
        <v>84</v>
      </c>
      <c r="B5" s="38">
        <f>B6+B7+B8+B9+B11</f>
        <v>0</v>
      </c>
      <c r="C5" s="39">
        <f>C6+C7+C8+C9+C11</f>
        <v>3254</v>
      </c>
      <c r="D5" s="40">
        <f t="shared" si="0"/>
        <v>3254</v>
      </c>
      <c r="E5" s="41">
        <v>0</v>
      </c>
      <c r="F5" s="42">
        <f>C5*100/C4</f>
        <v>0.0603569369021459</v>
      </c>
    </row>
    <row r="6" spans="1:6" s="306" customFormat="1" ht="18" customHeight="1">
      <c r="A6" s="250" t="s">
        <v>85</v>
      </c>
      <c r="B6" s="251">
        <v>0</v>
      </c>
      <c r="C6" s="101">
        <v>0</v>
      </c>
      <c r="D6" s="252">
        <f t="shared" si="0"/>
        <v>0</v>
      </c>
      <c r="E6" s="253">
        <v>0</v>
      </c>
      <c r="F6" s="254">
        <f>C6*100/C4</f>
        <v>0</v>
      </c>
    </row>
    <row r="7" spans="1:6" s="306" customFormat="1" ht="18" customHeight="1">
      <c r="A7" s="255" t="s">
        <v>86</v>
      </c>
      <c r="B7" s="256">
        <v>0</v>
      </c>
      <c r="C7" s="103">
        <v>0</v>
      </c>
      <c r="D7" s="103">
        <f t="shared" si="0"/>
        <v>0</v>
      </c>
      <c r="E7" s="103">
        <v>0</v>
      </c>
      <c r="F7" s="257">
        <f>C7*100/C5</f>
        <v>0</v>
      </c>
    </row>
    <row r="8" spans="1:6" s="306" customFormat="1" ht="18" customHeight="1">
      <c r="A8" s="255" t="s">
        <v>87</v>
      </c>
      <c r="B8" s="256">
        <v>0</v>
      </c>
      <c r="C8" s="103">
        <v>0</v>
      </c>
      <c r="D8" s="101">
        <f t="shared" si="0"/>
        <v>0</v>
      </c>
      <c r="E8" s="103">
        <v>0</v>
      </c>
      <c r="F8" s="258">
        <v>0</v>
      </c>
    </row>
    <row r="9" spans="1:6" s="306" customFormat="1" ht="18" customHeight="1">
      <c r="A9" s="255" t="s">
        <v>88</v>
      </c>
      <c r="B9" s="256">
        <v>0</v>
      </c>
      <c r="C9" s="103">
        <v>3254</v>
      </c>
      <c r="D9" s="103">
        <f t="shared" si="0"/>
        <v>3254</v>
      </c>
      <c r="E9" s="103">
        <v>0</v>
      </c>
      <c r="F9" s="257">
        <f>C9*100/C4</f>
        <v>0.0603569369021459</v>
      </c>
    </row>
    <row r="10" spans="1:6" s="306" customFormat="1" ht="18" customHeight="1">
      <c r="A10" s="255" t="s">
        <v>89</v>
      </c>
      <c r="B10" s="256">
        <v>0</v>
      </c>
      <c r="C10" s="103">
        <v>0</v>
      </c>
      <c r="D10" s="103">
        <f t="shared" si="0"/>
        <v>0</v>
      </c>
      <c r="E10" s="103">
        <v>0</v>
      </c>
      <c r="F10" s="257">
        <f>C10*100/C5</f>
        <v>0</v>
      </c>
    </row>
    <row r="11" spans="1:6" s="306" customFormat="1" ht="18" customHeight="1" thickBot="1">
      <c r="A11" s="259" t="s">
        <v>90</v>
      </c>
      <c r="B11" s="260">
        <v>0</v>
      </c>
      <c r="C11" s="261">
        <v>0</v>
      </c>
      <c r="D11" s="261">
        <f t="shared" si="0"/>
        <v>0</v>
      </c>
      <c r="E11" s="262">
        <v>0</v>
      </c>
      <c r="F11" s="263">
        <f>C11*100/C4</f>
        <v>0</v>
      </c>
    </row>
    <row r="12" spans="1:6" ht="18.75" customHeight="1" thickBot="1">
      <c r="A12" s="59" t="s">
        <v>91</v>
      </c>
      <c r="B12" s="60">
        <f>B13+B14+B15+B16</f>
        <v>4914969</v>
      </c>
      <c r="C12" s="61">
        <f>C13+C14+C15+C16</f>
        <v>5273431</v>
      </c>
      <c r="D12" s="39">
        <f t="shared" si="0"/>
        <v>358462</v>
      </c>
      <c r="E12" s="62">
        <f aca="true" t="shared" si="1" ref="E12:E19">C12/B12*100</f>
        <v>107.29327082225748</v>
      </c>
      <c r="F12" s="63">
        <f>C12*100/C4</f>
        <v>97.81442597566692</v>
      </c>
    </row>
    <row r="13" spans="1:6" s="306" customFormat="1" ht="18" customHeight="1">
      <c r="A13" s="264" t="s">
        <v>92</v>
      </c>
      <c r="B13" s="265">
        <v>4794542</v>
      </c>
      <c r="C13" s="253">
        <v>5208208</v>
      </c>
      <c r="D13" s="253">
        <f t="shared" si="0"/>
        <v>413666</v>
      </c>
      <c r="E13" s="266">
        <f t="shared" si="1"/>
        <v>108.62785225366677</v>
      </c>
      <c r="F13" s="267">
        <f>C13*100/C4</f>
        <v>96.60463479694268</v>
      </c>
    </row>
    <row r="14" spans="1:6" s="306" customFormat="1" ht="18" customHeight="1">
      <c r="A14" s="255" t="s">
        <v>93</v>
      </c>
      <c r="B14" s="256">
        <v>120427</v>
      </c>
      <c r="C14" s="103">
        <v>65223</v>
      </c>
      <c r="D14" s="101">
        <f t="shared" si="0"/>
        <v>-55204</v>
      </c>
      <c r="E14" s="103">
        <f t="shared" si="1"/>
        <v>54.15978144436049</v>
      </c>
      <c r="F14" s="257">
        <f>C14*100/C4</f>
        <v>1.2097911787242355</v>
      </c>
    </row>
    <row r="15" spans="1:6" s="306" customFormat="1" ht="18" customHeight="1">
      <c r="A15" s="255" t="s">
        <v>94</v>
      </c>
      <c r="B15" s="256">
        <v>0</v>
      </c>
      <c r="C15" s="103">
        <v>0</v>
      </c>
      <c r="D15" s="101">
        <f t="shared" si="0"/>
        <v>0</v>
      </c>
      <c r="E15" s="101">
        <v>0</v>
      </c>
      <c r="F15" s="257">
        <f>C15*100/C5</f>
        <v>0</v>
      </c>
    </row>
    <row r="16" spans="1:6" s="306" customFormat="1" ht="18" customHeight="1" thickBot="1">
      <c r="A16" s="259" t="s">
        <v>95</v>
      </c>
      <c r="B16" s="260">
        <v>0</v>
      </c>
      <c r="C16" s="268">
        <v>0</v>
      </c>
      <c r="D16" s="269">
        <f t="shared" si="0"/>
        <v>0</v>
      </c>
      <c r="E16" s="262">
        <v>0</v>
      </c>
      <c r="F16" s="263">
        <f>C16*100/C4</f>
        <v>0</v>
      </c>
    </row>
    <row r="17" spans="1:6" ht="18" customHeight="1" thickBot="1">
      <c r="A17" s="59" t="s">
        <v>96</v>
      </c>
      <c r="B17" s="60">
        <f>B18+B19+B20</f>
        <v>119769</v>
      </c>
      <c r="C17" s="61">
        <f>C18+C19</f>
        <v>114576</v>
      </c>
      <c r="D17" s="61">
        <f t="shared" si="0"/>
        <v>-5193</v>
      </c>
      <c r="E17" s="62">
        <f t="shared" si="1"/>
        <v>95.6641534954788</v>
      </c>
      <c r="F17" s="63">
        <f>C17*100/C4</f>
        <v>2.125217087430937</v>
      </c>
    </row>
    <row r="18" spans="1:6" s="306" customFormat="1" ht="18" customHeight="1">
      <c r="A18" s="264" t="s">
        <v>97</v>
      </c>
      <c r="B18" s="265">
        <v>0</v>
      </c>
      <c r="C18" s="253">
        <v>0</v>
      </c>
      <c r="D18" s="253">
        <f t="shared" si="0"/>
        <v>0</v>
      </c>
      <c r="E18" s="253">
        <v>0</v>
      </c>
      <c r="F18" s="267">
        <f>C18*100/C4</f>
        <v>0</v>
      </c>
    </row>
    <row r="19" spans="1:6" s="306" customFormat="1" ht="18" customHeight="1">
      <c r="A19" s="255" t="s">
        <v>98</v>
      </c>
      <c r="B19" s="256">
        <v>119769</v>
      </c>
      <c r="C19" s="103">
        <v>114576</v>
      </c>
      <c r="D19" s="103">
        <f t="shared" si="0"/>
        <v>-5193</v>
      </c>
      <c r="E19" s="262">
        <f t="shared" si="1"/>
        <v>95.6641534954788</v>
      </c>
      <c r="F19" s="257">
        <f>C19*100/C4</f>
        <v>2.125217087430937</v>
      </c>
    </row>
    <row r="20" spans="1:6" s="306" customFormat="1" ht="18" customHeight="1" thickBot="1">
      <c r="A20" s="270" t="s">
        <v>99</v>
      </c>
      <c r="B20" s="271">
        <v>0</v>
      </c>
      <c r="C20" s="106">
        <v>0</v>
      </c>
      <c r="D20" s="272">
        <f t="shared" si="0"/>
        <v>0</v>
      </c>
      <c r="E20" s="273">
        <v>0</v>
      </c>
      <c r="F20" s="274">
        <f>C20*100/C4</f>
        <v>0</v>
      </c>
    </row>
    <row r="21" ht="13.5" thickTop="1"/>
    <row r="22" ht="12.75">
      <c r="A22" s="76"/>
    </row>
    <row r="23" ht="12.75">
      <c r="A23" s="76"/>
    </row>
  </sheetData>
  <mergeCells count="5">
    <mergeCell ref="F2:F3"/>
    <mergeCell ref="A2:A3"/>
    <mergeCell ref="B2:C2"/>
    <mergeCell ref="D2:D3"/>
    <mergeCell ref="E2:E3"/>
  </mergeCells>
  <printOptions horizontalCentered="1"/>
  <pageMargins left="0.35433070866141736" right="0.35433070866141736" top="1.1811023622047245" bottom="0.984251968503937" header="0.6299212598425197" footer="0.5118110236220472"/>
  <pageSetup firstPageNumber="86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8" sqref="A8"/>
    </sheetView>
  </sheetViews>
  <sheetFormatPr defaultColWidth="9.00390625" defaultRowHeight="12.75"/>
  <cols>
    <col min="1" max="1" width="58.75390625" style="0" customWidth="1"/>
    <col min="3" max="3" width="18.75390625" style="0" customWidth="1"/>
    <col min="4" max="4" width="19.00390625" style="0" customWidth="1"/>
    <col min="5" max="5" width="17.25390625" style="0" customWidth="1"/>
    <col min="6" max="6" width="15.75390625" style="0" customWidth="1"/>
  </cols>
  <sheetData>
    <row r="1" ht="12.75">
      <c r="F1" s="156" t="s">
        <v>165</v>
      </c>
    </row>
    <row r="2" spans="1:6" s="148" customFormat="1" ht="30.75" customHeight="1" thickBot="1">
      <c r="A2" s="119" t="s">
        <v>174</v>
      </c>
      <c r="F2" s="156"/>
    </row>
    <row r="3" spans="1:6" ht="16.5" thickTop="1">
      <c r="A3" s="443" t="s">
        <v>16</v>
      </c>
      <c r="B3" s="125" t="s">
        <v>134</v>
      </c>
      <c r="C3" s="111" t="s">
        <v>56</v>
      </c>
      <c r="D3" s="111" t="s">
        <v>57</v>
      </c>
      <c r="E3" s="111" t="s">
        <v>58</v>
      </c>
      <c r="F3" s="474" t="s">
        <v>59</v>
      </c>
    </row>
    <row r="4" spans="1:6" ht="16.5" thickBot="1">
      <c r="A4" s="481"/>
      <c r="B4" s="112" t="s">
        <v>60</v>
      </c>
      <c r="C4" s="112" t="s">
        <v>62</v>
      </c>
      <c r="D4" s="112" t="s">
        <v>62</v>
      </c>
      <c r="E4" s="112" t="s">
        <v>62</v>
      </c>
      <c r="F4" s="480"/>
    </row>
    <row r="5" spans="1:6" ht="16.5" thickTop="1">
      <c r="A5" s="152" t="s">
        <v>135</v>
      </c>
      <c r="B5" s="160" t="s">
        <v>64</v>
      </c>
      <c r="C5" s="153">
        <f>SUM(C6:C13)</f>
        <v>217772</v>
      </c>
      <c r="D5" s="153">
        <f>SUM(D6:D13)</f>
        <v>2993</v>
      </c>
      <c r="E5" s="159">
        <f aca="true" t="shared" si="0" ref="E5:E27">C5-D5</f>
        <v>214779</v>
      </c>
      <c r="F5" s="154">
        <f>E5*100/E28</f>
        <v>0.1760918279130951</v>
      </c>
    </row>
    <row r="6" spans="1:6" s="306" customFormat="1" ht="15">
      <c r="A6" s="192" t="s">
        <v>33</v>
      </c>
      <c r="B6" s="327">
        <v>0</v>
      </c>
      <c r="C6" s="327">
        <v>0</v>
      </c>
      <c r="D6" s="327">
        <v>0</v>
      </c>
      <c r="E6" s="328">
        <f t="shared" si="0"/>
        <v>0</v>
      </c>
      <c r="F6" s="329">
        <f>E6*100/E28</f>
        <v>0</v>
      </c>
    </row>
    <row r="7" spans="1:6" s="306" customFormat="1" ht="15">
      <c r="A7" s="192" t="s">
        <v>136</v>
      </c>
      <c r="B7" s="327">
        <v>0</v>
      </c>
      <c r="C7" s="327">
        <v>0</v>
      </c>
      <c r="D7" s="327">
        <v>0</v>
      </c>
      <c r="E7" s="328">
        <f t="shared" si="0"/>
        <v>0</v>
      </c>
      <c r="F7" s="329">
        <f>E7*100/E28</f>
        <v>0</v>
      </c>
    </row>
    <row r="8" spans="1:6" s="306" customFormat="1" ht="15">
      <c r="A8" s="204" t="s">
        <v>66</v>
      </c>
      <c r="B8" s="330">
        <v>2</v>
      </c>
      <c r="C8" s="330">
        <v>217772</v>
      </c>
      <c r="D8" s="330">
        <v>2993</v>
      </c>
      <c r="E8" s="328">
        <f t="shared" si="0"/>
        <v>214779</v>
      </c>
      <c r="F8" s="329">
        <f>E8*100/E28</f>
        <v>0.1760918279130951</v>
      </c>
    </row>
    <row r="9" spans="1:6" s="306" customFormat="1" ht="15">
      <c r="A9" s="204" t="s">
        <v>35</v>
      </c>
      <c r="B9" s="330">
        <v>0</v>
      </c>
      <c r="C9" s="330">
        <v>0</v>
      </c>
      <c r="D9" s="330">
        <v>0</v>
      </c>
      <c r="E9" s="328">
        <f t="shared" si="0"/>
        <v>0</v>
      </c>
      <c r="F9" s="329">
        <f>E9*100/E28</f>
        <v>0</v>
      </c>
    </row>
    <row r="10" spans="1:6" s="306" customFormat="1" ht="15">
      <c r="A10" s="204" t="s">
        <v>36</v>
      </c>
      <c r="B10" s="330">
        <v>0</v>
      </c>
      <c r="C10" s="330">
        <v>0</v>
      </c>
      <c r="D10" s="330">
        <v>0</v>
      </c>
      <c r="E10" s="328">
        <f t="shared" si="0"/>
        <v>0</v>
      </c>
      <c r="F10" s="329">
        <f>E10*100/E28</f>
        <v>0</v>
      </c>
    </row>
    <row r="11" spans="1:6" s="306" customFormat="1" ht="15">
      <c r="A11" s="204" t="s">
        <v>37</v>
      </c>
      <c r="B11" s="330">
        <v>0</v>
      </c>
      <c r="C11" s="330">
        <v>0</v>
      </c>
      <c r="D11" s="330">
        <v>0</v>
      </c>
      <c r="E11" s="328">
        <f t="shared" si="0"/>
        <v>0</v>
      </c>
      <c r="F11" s="329">
        <f>E11*100/E28</f>
        <v>0</v>
      </c>
    </row>
    <row r="12" spans="1:6" s="306" customFormat="1" ht="15">
      <c r="A12" s="204" t="s">
        <v>38</v>
      </c>
      <c r="B12" s="330">
        <v>0</v>
      </c>
      <c r="C12" s="330">
        <v>0</v>
      </c>
      <c r="D12" s="330">
        <v>0</v>
      </c>
      <c r="E12" s="328">
        <f t="shared" si="0"/>
        <v>0</v>
      </c>
      <c r="F12" s="329">
        <f>E12*100/E28</f>
        <v>0</v>
      </c>
    </row>
    <row r="13" spans="1:6" s="306" customFormat="1" ht="15">
      <c r="A13" s="204" t="s">
        <v>39</v>
      </c>
      <c r="B13" s="330">
        <v>0</v>
      </c>
      <c r="C13" s="330">
        <v>0</v>
      </c>
      <c r="D13" s="330">
        <v>0</v>
      </c>
      <c r="E13" s="328">
        <f t="shared" si="0"/>
        <v>0</v>
      </c>
      <c r="F13" s="329">
        <f>E13*100/E28</f>
        <v>0</v>
      </c>
    </row>
    <row r="14" spans="1:6" s="306" customFormat="1" ht="15">
      <c r="A14" s="192" t="s">
        <v>137</v>
      </c>
      <c r="B14" s="330" t="s">
        <v>101</v>
      </c>
      <c r="C14" s="327">
        <v>144172730</v>
      </c>
      <c r="D14" s="327">
        <v>29035261</v>
      </c>
      <c r="E14" s="328">
        <f t="shared" si="0"/>
        <v>115137469</v>
      </c>
      <c r="F14" s="329">
        <f>E14*100/E28</f>
        <v>94.39827626303001</v>
      </c>
    </row>
    <row r="15" spans="1:6" s="306" customFormat="1" ht="15">
      <c r="A15" s="204" t="s">
        <v>138</v>
      </c>
      <c r="B15" s="330">
        <v>0</v>
      </c>
      <c r="C15" s="330">
        <v>0</v>
      </c>
      <c r="D15" s="330">
        <v>0</v>
      </c>
      <c r="E15" s="328">
        <f t="shared" si="0"/>
        <v>0</v>
      </c>
      <c r="F15" s="329">
        <f>E15*100/E28</f>
        <v>0</v>
      </c>
    </row>
    <row r="16" spans="1:6" s="306" customFormat="1" ht="18" customHeight="1">
      <c r="A16" s="204" t="s">
        <v>139</v>
      </c>
      <c r="B16" s="330">
        <v>87</v>
      </c>
      <c r="C16" s="330">
        <v>278267</v>
      </c>
      <c r="D16" s="330">
        <v>233534</v>
      </c>
      <c r="E16" s="328">
        <f t="shared" si="0"/>
        <v>44733</v>
      </c>
      <c r="F16" s="329">
        <f>E16*100/E28</f>
        <v>0.03667544656617492</v>
      </c>
    </row>
    <row r="17" spans="1:6" s="306" customFormat="1" ht="15">
      <c r="A17" s="213" t="s">
        <v>140</v>
      </c>
      <c r="B17" s="330">
        <v>0</v>
      </c>
      <c r="C17" s="330">
        <v>0</v>
      </c>
      <c r="D17" s="330">
        <v>0</v>
      </c>
      <c r="E17" s="328">
        <f t="shared" si="0"/>
        <v>0</v>
      </c>
      <c r="F17" s="329">
        <f>E17*100/E28</f>
        <v>0</v>
      </c>
    </row>
    <row r="18" spans="1:6" s="306" customFormat="1" ht="15">
      <c r="A18" s="204" t="s">
        <v>141</v>
      </c>
      <c r="B18" s="330">
        <v>4</v>
      </c>
      <c r="C18" s="330">
        <v>21638</v>
      </c>
      <c r="D18" s="330">
        <v>17869</v>
      </c>
      <c r="E18" s="328">
        <f t="shared" si="0"/>
        <v>3769</v>
      </c>
      <c r="F18" s="329">
        <f>E18*100/E28</f>
        <v>0.0030901070374871635</v>
      </c>
    </row>
    <row r="19" spans="1:6" s="306" customFormat="1" ht="15">
      <c r="A19" s="204" t="s">
        <v>142</v>
      </c>
      <c r="B19" s="330">
        <v>3</v>
      </c>
      <c r="C19" s="330">
        <v>170820</v>
      </c>
      <c r="D19" s="331">
        <v>137487</v>
      </c>
      <c r="E19" s="328">
        <f t="shared" si="0"/>
        <v>33333</v>
      </c>
      <c r="F19" s="329">
        <f>E19*100/$E$28</f>
        <v>0.027328877124054022</v>
      </c>
    </row>
    <row r="20" spans="1:6" ht="15.75">
      <c r="A20" s="21" t="s">
        <v>143</v>
      </c>
      <c r="B20" s="155" t="s">
        <v>101</v>
      </c>
      <c r="C20" s="22">
        <f>SUM(C21:C22)</f>
        <v>215720</v>
      </c>
      <c r="D20" s="22">
        <f>SUM(D21:D22)</f>
        <v>211685</v>
      </c>
      <c r="E20" s="23">
        <f t="shared" si="0"/>
        <v>4035</v>
      </c>
      <c r="F20" s="24">
        <f>E20*100/$E$28</f>
        <v>0.0033081936578033175</v>
      </c>
    </row>
    <row r="21" spans="1:6" s="306" customFormat="1" ht="15">
      <c r="A21" s="213" t="s">
        <v>47</v>
      </c>
      <c r="B21" s="332" t="s">
        <v>101</v>
      </c>
      <c r="C21" s="330">
        <v>20602</v>
      </c>
      <c r="D21" s="331">
        <v>16567</v>
      </c>
      <c r="E21" s="328">
        <f t="shared" si="0"/>
        <v>4035</v>
      </c>
      <c r="F21" s="333">
        <f>E21*100/E28</f>
        <v>0.0033081936578033175</v>
      </c>
    </row>
    <row r="22" spans="1:6" s="306" customFormat="1" ht="15">
      <c r="A22" s="213" t="s">
        <v>48</v>
      </c>
      <c r="B22" s="332" t="s">
        <v>101</v>
      </c>
      <c r="C22" s="330">
        <v>195118</v>
      </c>
      <c r="D22" s="331">
        <v>195118</v>
      </c>
      <c r="E22" s="328">
        <f t="shared" si="0"/>
        <v>0</v>
      </c>
      <c r="F22" s="333">
        <f>E22*100/E28</f>
        <v>0</v>
      </c>
    </row>
    <row r="23" spans="1:6" s="306" customFormat="1" ht="15.75" thickBot="1">
      <c r="A23" s="199" t="s">
        <v>144</v>
      </c>
      <c r="B23" s="334" t="s">
        <v>101</v>
      </c>
      <c r="C23" s="335">
        <v>6527192</v>
      </c>
      <c r="D23" s="336">
        <v>0</v>
      </c>
      <c r="E23" s="336">
        <f t="shared" si="0"/>
        <v>6527192</v>
      </c>
      <c r="F23" s="337">
        <f>E23*100/E28</f>
        <v>5.35147835877684</v>
      </c>
    </row>
    <row r="24" spans="1:6" ht="17.25" thickBot="1" thickTop="1">
      <c r="A24" s="5" t="s">
        <v>50</v>
      </c>
      <c r="B24" s="25">
        <f>SUM(B6:B13)+B15+B16+B17+B18+B19</f>
        <v>96</v>
      </c>
      <c r="C24" s="26">
        <f>SUM(C6:C19)+C21+C22+C23</f>
        <v>151604139</v>
      </c>
      <c r="D24" s="26">
        <f>SUM(D6:D19,D21:D23)</f>
        <v>29638829</v>
      </c>
      <c r="E24" s="4">
        <f t="shared" si="0"/>
        <v>121965310</v>
      </c>
      <c r="F24" s="27">
        <f>E24*100/E28</f>
        <v>99.99624907410546</v>
      </c>
    </row>
    <row r="25" spans="1:6" s="306" customFormat="1" ht="15.75" thickTop="1">
      <c r="A25" s="192" t="s">
        <v>145</v>
      </c>
      <c r="B25" s="338" t="s">
        <v>101</v>
      </c>
      <c r="C25" s="327">
        <v>132891</v>
      </c>
      <c r="D25" s="328">
        <v>128316</v>
      </c>
      <c r="E25" s="328">
        <f t="shared" si="0"/>
        <v>4575</v>
      </c>
      <c r="F25" s="339">
        <f>E25*100/E28</f>
        <v>0.0037509258945353603</v>
      </c>
    </row>
    <row r="26" spans="1:6" s="306" customFormat="1" ht="15">
      <c r="A26" s="204" t="s">
        <v>146</v>
      </c>
      <c r="B26" s="338" t="s">
        <v>101</v>
      </c>
      <c r="C26" s="330">
        <v>0</v>
      </c>
      <c r="D26" s="331">
        <v>0</v>
      </c>
      <c r="E26" s="328">
        <f t="shared" si="0"/>
        <v>0</v>
      </c>
      <c r="F26" s="340">
        <f>E26*100/E28</f>
        <v>0</v>
      </c>
    </row>
    <row r="27" spans="1:6" s="306" customFormat="1" ht="15.75" thickBot="1">
      <c r="A27" s="199" t="s">
        <v>147</v>
      </c>
      <c r="B27" s="338" t="s">
        <v>101</v>
      </c>
      <c r="C27" s="335">
        <v>0</v>
      </c>
      <c r="D27" s="341">
        <v>0</v>
      </c>
      <c r="E27" s="328">
        <f t="shared" si="0"/>
        <v>0</v>
      </c>
      <c r="F27" s="337">
        <f>E27*100/E28</f>
        <v>0</v>
      </c>
    </row>
    <row r="28" spans="1:6" ht="30" customHeight="1" thickBot="1" thickTop="1">
      <c r="A28" s="5" t="s">
        <v>54</v>
      </c>
      <c r="B28" s="28" t="s">
        <v>64</v>
      </c>
      <c r="C28" s="26">
        <f>C24+C25+C26+C27</f>
        <v>151737030</v>
      </c>
      <c r="D28" s="26">
        <f>D24+D25</f>
        <v>29767145</v>
      </c>
      <c r="E28" s="26">
        <f>E24+E25+E26+E27</f>
        <v>121969885</v>
      </c>
      <c r="F28" s="27">
        <f>F24+F25+F26+F27</f>
        <v>100</v>
      </c>
    </row>
    <row r="29" ht="13.5" thickTop="1"/>
    <row r="30" ht="12.75">
      <c r="A30" s="76"/>
    </row>
    <row r="31" ht="12.75">
      <c r="A31" s="76"/>
    </row>
  </sheetData>
  <mergeCells count="2">
    <mergeCell ref="F3:F4"/>
    <mergeCell ref="A3:A4"/>
  </mergeCells>
  <printOptions horizontalCentered="1"/>
  <pageMargins left="0.2755905511811024" right="0.2755905511811024" top="0.8267716535433072" bottom="0.5511811023622047" header="0.5905511811023623" footer="0.5118110236220472"/>
  <pageSetup firstPageNumber="87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9" sqref="D9"/>
    </sheetView>
  </sheetViews>
  <sheetFormatPr defaultColWidth="9.00390625" defaultRowHeight="12.75"/>
  <cols>
    <col min="1" max="1" width="42.375" style="0" customWidth="1"/>
    <col min="2" max="4" width="21.125" style="0" customWidth="1"/>
    <col min="5" max="5" width="11.00390625" style="0" customWidth="1"/>
    <col min="6" max="6" width="15.75390625" style="0" customWidth="1"/>
  </cols>
  <sheetData>
    <row r="1" spans="1:6" s="148" customFormat="1" ht="30.75" customHeight="1" thickBot="1">
      <c r="A1" s="119" t="s">
        <v>166</v>
      </c>
      <c r="F1" s="156" t="s">
        <v>167</v>
      </c>
    </row>
    <row r="2" spans="1:6" ht="27.75" customHeight="1" thickBot="1" thickTop="1">
      <c r="A2" s="451" t="s">
        <v>80</v>
      </c>
      <c r="B2" s="453" t="s">
        <v>81</v>
      </c>
      <c r="C2" s="477"/>
      <c r="D2" s="447" t="s">
        <v>18</v>
      </c>
      <c r="E2" s="456" t="s">
        <v>19</v>
      </c>
      <c r="F2" s="342" t="s">
        <v>82</v>
      </c>
    </row>
    <row r="3" spans="1:6" ht="27.75" customHeight="1" thickBot="1" thickTop="1">
      <c r="A3" s="476"/>
      <c r="B3" s="30" t="s">
        <v>21</v>
      </c>
      <c r="C3" s="31" t="s">
        <v>22</v>
      </c>
      <c r="D3" s="478"/>
      <c r="E3" s="478"/>
      <c r="F3" s="475"/>
    </row>
    <row r="4" spans="1:6" ht="30" customHeight="1" thickBot="1" thickTop="1">
      <c r="A4" s="32" t="s">
        <v>83</v>
      </c>
      <c r="B4" s="33">
        <f>B5+B12+B17</f>
        <v>3638501</v>
      </c>
      <c r="C4" s="34">
        <f>C5+C12+C17</f>
        <v>2780557</v>
      </c>
      <c r="D4" s="35">
        <f aca="true" t="shared" si="0" ref="D4:D20">C4-B4</f>
        <v>-857944</v>
      </c>
      <c r="E4" s="35">
        <f>C4/B4*100</f>
        <v>76.42039949968408</v>
      </c>
      <c r="F4" s="36">
        <f>F5+F12+F17</f>
        <v>100</v>
      </c>
    </row>
    <row r="5" spans="1:6" ht="18" customHeight="1" thickBot="1" thickTop="1">
      <c r="A5" s="37" t="s">
        <v>84</v>
      </c>
      <c r="B5" s="38">
        <f>B6+B7+B8+B9+B11</f>
        <v>36005</v>
      </c>
      <c r="C5" s="39">
        <f>C6+C7+C8+C9+C11</f>
        <v>57879</v>
      </c>
      <c r="D5" s="40">
        <f t="shared" si="0"/>
        <v>21874</v>
      </c>
      <c r="E5" s="41">
        <f>C5/B5*100</f>
        <v>160.7526732398278</v>
      </c>
      <c r="F5" s="42">
        <f>C5*100/C4</f>
        <v>2.081561356231863</v>
      </c>
    </row>
    <row r="6" spans="1:6" ht="18" customHeight="1">
      <c r="A6" s="43" t="s">
        <v>85</v>
      </c>
      <c r="B6" s="44">
        <v>36005</v>
      </c>
      <c r="C6" s="45">
        <v>57879</v>
      </c>
      <c r="D6" s="46">
        <f t="shared" si="0"/>
        <v>21874</v>
      </c>
      <c r="E6" s="47">
        <f>C6/B6*100</f>
        <v>160.7526732398278</v>
      </c>
      <c r="F6" s="48">
        <f>C6*100/C4</f>
        <v>2.081561356231863</v>
      </c>
    </row>
    <row r="7" spans="1:6" ht="18" customHeight="1">
      <c r="A7" s="49" t="s">
        <v>86</v>
      </c>
      <c r="B7" s="50">
        <v>0</v>
      </c>
      <c r="C7" s="51">
        <v>0</v>
      </c>
      <c r="D7" s="51">
        <f t="shared" si="0"/>
        <v>0</v>
      </c>
      <c r="E7" s="51">
        <v>0</v>
      </c>
      <c r="F7" s="52">
        <f>C7*100/C5</f>
        <v>0</v>
      </c>
    </row>
    <row r="8" spans="1:6" ht="18" customHeight="1">
      <c r="A8" s="49" t="s">
        <v>87</v>
      </c>
      <c r="B8" s="50">
        <v>0</v>
      </c>
      <c r="C8" s="51">
        <v>0</v>
      </c>
      <c r="D8" s="45">
        <f t="shared" si="0"/>
        <v>0</v>
      </c>
      <c r="E8" s="51">
        <v>0</v>
      </c>
      <c r="F8" s="53">
        <f>C8*100/C6</f>
        <v>0</v>
      </c>
    </row>
    <row r="9" spans="1:6" ht="18" customHeight="1">
      <c r="A9" s="49" t="s">
        <v>88</v>
      </c>
      <c r="B9" s="50">
        <v>0</v>
      </c>
      <c r="C9" s="51">
        <v>0</v>
      </c>
      <c r="D9" s="51">
        <f t="shared" si="0"/>
        <v>0</v>
      </c>
      <c r="E9" s="51">
        <v>0</v>
      </c>
      <c r="F9" s="52">
        <f>C9*100/C4</f>
        <v>0</v>
      </c>
    </row>
    <row r="10" spans="1:6" ht="18" customHeight="1">
      <c r="A10" s="49" t="s">
        <v>89</v>
      </c>
      <c r="B10" s="50">
        <v>0</v>
      </c>
      <c r="C10" s="51">
        <v>0</v>
      </c>
      <c r="D10" s="51">
        <f t="shared" si="0"/>
        <v>0</v>
      </c>
      <c r="E10" s="51">
        <v>0</v>
      </c>
      <c r="F10" s="52">
        <f>C10*100/C5</f>
        <v>0</v>
      </c>
    </row>
    <row r="11" spans="1:6" ht="18" customHeight="1" thickBot="1">
      <c r="A11" s="54" t="s">
        <v>90</v>
      </c>
      <c r="B11" s="55">
        <v>0</v>
      </c>
      <c r="C11" s="56">
        <v>0</v>
      </c>
      <c r="D11" s="56">
        <f t="shared" si="0"/>
        <v>0</v>
      </c>
      <c r="E11" s="57">
        <v>0</v>
      </c>
      <c r="F11" s="58">
        <f>C11*100/C4</f>
        <v>0</v>
      </c>
    </row>
    <row r="12" spans="1:6" ht="18.75" customHeight="1" thickBot="1">
      <c r="A12" s="59" t="s">
        <v>91</v>
      </c>
      <c r="B12" s="60">
        <f>B13+B14+B15+B16</f>
        <v>237509</v>
      </c>
      <c r="C12" s="61">
        <f>C13+C14+C15+C16</f>
        <v>281766</v>
      </c>
      <c r="D12" s="39">
        <f t="shared" si="0"/>
        <v>44257</v>
      </c>
      <c r="E12" s="62">
        <f aca="true" t="shared" si="1" ref="E12:E19">C12/B12*100</f>
        <v>118.63382019207694</v>
      </c>
      <c r="F12" s="63">
        <f>C12*100/C4</f>
        <v>10.133437293319288</v>
      </c>
    </row>
    <row r="13" spans="1:6" ht="18" customHeight="1">
      <c r="A13" s="64" t="s">
        <v>92</v>
      </c>
      <c r="B13" s="65">
        <v>227972</v>
      </c>
      <c r="C13" s="47">
        <v>270029</v>
      </c>
      <c r="D13" s="47">
        <f t="shared" si="0"/>
        <v>42057</v>
      </c>
      <c r="E13" s="66">
        <f t="shared" si="1"/>
        <v>118.44831821451758</v>
      </c>
      <c r="F13" s="67">
        <f>C13*100/C4</f>
        <v>9.711327622487149</v>
      </c>
    </row>
    <row r="14" spans="1:6" ht="18" customHeight="1">
      <c r="A14" s="49" t="s">
        <v>93</v>
      </c>
      <c r="B14" s="50">
        <v>0</v>
      </c>
      <c r="C14" s="51">
        <v>0</v>
      </c>
      <c r="D14" s="45">
        <f t="shared" si="0"/>
        <v>0</v>
      </c>
      <c r="E14" s="51">
        <v>0</v>
      </c>
      <c r="F14" s="52">
        <f>C14*100/C4</f>
        <v>0</v>
      </c>
    </row>
    <row r="15" spans="1:6" ht="18" customHeight="1">
      <c r="A15" s="49" t="s">
        <v>94</v>
      </c>
      <c r="B15" s="50">
        <v>0</v>
      </c>
      <c r="C15" s="51">
        <v>0</v>
      </c>
      <c r="D15" s="45">
        <f t="shared" si="0"/>
        <v>0</v>
      </c>
      <c r="E15" s="45">
        <v>0</v>
      </c>
      <c r="F15" s="52">
        <f>C15*100/C5</f>
        <v>0</v>
      </c>
    </row>
    <row r="16" spans="1:6" ht="18" customHeight="1" thickBot="1">
      <c r="A16" s="54" t="s">
        <v>95</v>
      </c>
      <c r="B16" s="55">
        <v>9537</v>
      </c>
      <c r="C16" s="68">
        <v>11737</v>
      </c>
      <c r="D16" s="69">
        <f t="shared" si="0"/>
        <v>2200</v>
      </c>
      <c r="E16" s="57">
        <f t="shared" si="1"/>
        <v>123.06805074971166</v>
      </c>
      <c r="F16" s="58">
        <f>C16*100/C4</f>
        <v>0.422109670832139</v>
      </c>
    </row>
    <row r="17" spans="1:6" ht="18" customHeight="1" thickBot="1">
      <c r="A17" s="59" t="s">
        <v>96</v>
      </c>
      <c r="B17" s="60">
        <f>B18+B19+B20</f>
        <v>3364987</v>
      </c>
      <c r="C17" s="61">
        <f>C18+C19</f>
        <v>2440912</v>
      </c>
      <c r="D17" s="61">
        <f t="shared" si="0"/>
        <v>-924075</v>
      </c>
      <c r="E17" s="62">
        <f t="shared" si="1"/>
        <v>72.53852689475472</v>
      </c>
      <c r="F17" s="63">
        <f>C17*100/C4</f>
        <v>87.78500135044885</v>
      </c>
    </row>
    <row r="18" spans="1:6" ht="18" customHeight="1">
      <c r="A18" s="64" t="s">
        <v>97</v>
      </c>
      <c r="B18" s="65">
        <v>0</v>
      </c>
      <c r="C18" s="47">
        <v>0</v>
      </c>
      <c r="D18" s="47">
        <f t="shared" si="0"/>
        <v>0</v>
      </c>
      <c r="E18" s="47">
        <v>0</v>
      </c>
      <c r="F18" s="67">
        <f>C18*100/C4</f>
        <v>0</v>
      </c>
    </row>
    <row r="19" spans="1:6" ht="18" customHeight="1">
      <c r="A19" s="49" t="s">
        <v>98</v>
      </c>
      <c r="B19" s="50">
        <v>3364987</v>
      </c>
      <c r="C19" s="51">
        <v>2440912</v>
      </c>
      <c r="D19" s="51">
        <f t="shared" si="0"/>
        <v>-924075</v>
      </c>
      <c r="E19" s="57">
        <f t="shared" si="1"/>
        <v>72.53852689475472</v>
      </c>
      <c r="F19" s="52">
        <f>C19*100/C4</f>
        <v>87.78500135044885</v>
      </c>
    </row>
    <row r="20" spans="1:6" ht="18" customHeight="1" thickBot="1">
      <c r="A20" s="70" t="s">
        <v>99</v>
      </c>
      <c r="B20" s="71">
        <v>0</v>
      </c>
      <c r="C20" s="72">
        <v>0</v>
      </c>
      <c r="D20" s="73">
        <f t="shared" si="0"/>
        <v>0</v>
      </c>
      <c r="E20" s="74">
        <v>0</v>
      </c>
      <c r="F20" s="75">
        <f>C20*100/C4</f>
        <v>0</v>
      </c>
    </row>
    <row r="21" ht="13.5" thickTop="1"/>
    <row r="22" ht="12.75">
      <c r="A22" s="76"/>
    </row>
    <row r="23" ht="12.75">
      <c r="A23" s="76"/>
    </row>
  </sheetData>
  <mergeCells count="5">
    <mergeCell ref="F2:F3"/>
    <mergeCell ref="A2:A3"/>
    <mergeCell ref="B2:C2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125" style="344" customWidth="1"/>
    <col min="2" max="2" width="27.125" style="76" customWidth="1"/>
    <col min="3" max="3" width="9.875" style="76" customWidth="1"/>
    <col min="4" max="4" width="8.75390625" style="76" customWidth="1"/>
    <col min="5" max="5" width="6.875" style="345" customWidth="1"/>
    <col min="6" max="6" width="6.875" style="76" customWidth="1"/>
    <col min="7" max="7" width="7.375" style="76" customWidth="1"/>
    <col min="8" max="8" width="10.125" style="76" customWidth="1"/>
    <col min="9" max="9" width="10.25390625" style="76" customWidth="1"/>
    <col min="10" max="10" width="10.875" style="76" customWidth="1"/>
    <col min="11" max="11" width="10.25390625" style="76" customWidth="1"/>
    <col min="12" max="12" width="7.625" style="345" customWidth="1"/>
    <col min="13" max="13" width="7.75390625" style="345" customWidth="1"/>
    <col min="14" max="14" width="8.00390625" style="76" customWidth="1"/>
    <col min="15" max="15" width="6.875" style="76" customWidth="1"/>
    <col min="16" max="16" width="11.875" style="76" customWidth="1"/>
    <col min="17" max="16384" width="9.125" style="76" customWidth="1"/>
  </cols>
  <sheetData>
    <row r="1" spans="10:18" ht="20.25" customHeight="1">
      <c r="J1" s="346"/>
      <c r="N1" s="347" t="s">
        <v>175</v>
      </c>
      <c r="P1" s="348"/>
      <c r="Q1" s="349"/>
      <c r="R1" s="350"/>
    </row>
    <row r="2" spans="1:18" s="354" customFormat="1" ht="26.25" customHeight="1">
      <c r="A2" s="354" t="s">
        <v>176</v>
      </c>
      <c r="C2" s="355"/>
      <c r="P2" s="356"/>
      <c r="Q2" s="357"/>
      <c r="R2" s="358"/>
    </row>
    <row r="3" spans="14:15" ht="13.5" thickBot="1">
      <c r="N3"/>
      <c r="O3" s="302" t="s">
        <v>177</v>
      </c>
    </row>
    <row r="4" spans="1:15" s="361" customFormat="1" ht="27" customHeight="1" thickBot="1" thickTop="1">
      <c r="A4" s="359"/>
      <c r="B4" s="360"/>
      <c r="C4" s="505" t="s">
        <v>178</v>
      </c>
      <c r="D4" s="506"/>
      <c r="E4" s="506"/>
      <c r="F4" s="506"/>
      <c r="G4" s="507"/>
      <c r="H4" s="505" t="s">
        <v>179</v>
      </c>
      <c r="I4" s="506"/>
      <c r="J4" s="506"/>
      <c r="K4" s="506"/>
      <c r="L4" s="506"/>
      <c r="M4" s="506"/>
      <c r="N4" s="506"/>
      <c r="O4" s="507"/>
    </row>
    <row r="5" spans="1:15" s="369" customFormat="1" ht="13.5" customHeight="1" thickTop="1">
      <c r="A5" s="362"/>
      <c r="B5" s="363" t="s">
        <v>180</v>
      </c>
      <c r="C5" s="364" t="s">
        <v>181</v>
      </c>
      <c r="D5" s="365"/>
      <c r="E5" s="366"/>
      <c r="F5" s="508" t="s">
        <v>182</v>
      </c>
      <c r="G5" s="509"/>
      <c r="H5" s="510" t="s">
        <v>183</v>
      </c>
      <c r="I5" s="511"/>
      <c r="J5" s="511"/>
      <c r="K5" s="511"/>
      <c r="L5" s="511"/>
      <c r="M5" s="512"/>
      <c r="N5" s="367" t="s">
        <v>184</v>
      </c>
      <c r="O5" s="368"/>
    </row>
    <row r="6" spans="1:15" s="369" customFormat="1" ht="13.5" customHeight="1">
      <c r="A6" s="362"/>
      <c r="B6" s="370" t="s">
        <v>185</v>
      </c>
      <c r="C6" s="499" t="s">
        <v>186</v>
      </c>
      <c r="D6" s="502" t="s">
        <v>187</v>
      </c>
      <c r="E6" s="493" t="s">
        <v>188</v>
      </c>
      <c r="F6" s="496" t="s">
        <v>186</v>
      </c>
      <c r="G6" s="484" t="s">
        <v>187</v>
      </c>
      <c r="H6" s="371" t="s">
        <v>186</v>
      </c>
      <c r="I6" s="371"/>
      <c r="J6" s="372" t="s">
        <v>187</v>
      </c>
      <c r="K6" s="372"/>
      <c r="L6" s="493" t="s">
        <v>189</v>
      </c>
      <c r="M6" s="493" t="s">
        <v>190</v>
      </c>
      <c r="N6" s="496" t="s">
        <v>186</v>
      </c>
      <c r="O6" s="484" t="s">
        <v>187</v>
      </c>
    </row>
    <row r="7" spans="1:15" s="369" customFormat="1" ht="11.25" customHeight="1">
      <c r="A7" s="362"/>
      <c r="B7" s="370"/>
      <c r="C7" s="500"/>
      <c r="D7" s="503"/>
      <c r="E7" s="494"/>
      <c r="F7" s="497"/>
      <c r="G7" s="485"/>
      <c r="H7" s="487" t="s">
        <v>191</v>
      </c>
      <c r="I7" s="489" t="s">
        <v>192</v>
      </c>
      <c r="J7" s="491" t="s">
        <v>191</v>
      </c>
      <c r="K7" s="489" t="s">
        <v>192</v>
      </c>
      <c r="L7" s="494"/>
      <c r="M7" s="494"/>
      <c r="N7" s="497"/>
      <c r="O7" s="485"/>
    </row>
    <row r="8" spans="1:15" s="375" customFormat="1" ht="9" customHeight="1" thickBot="1">
      <c r="A8" s="373"/>
      <c r="B8" s="374"/>
      <c r="C8" s="501"/>
      <c r="D8" s="504"/>
      <c r="E8" s="495"/>
      <c r="F8" s="498"/>
      <c r="G8" s="486"/>
      <c r="H8" s="488"/>
      <c r="I8" s="490"/>
      <c r="J8" s="492"/>
      <c r="K8" s="490"/>
      <c r="L8" s="495"/>
      <c r="M8" s="495"/>
      <c r="N8" s="498"/>
      <c r="O8" s="486"/>
    </row>
    <row r="9" spans="1:15" s="375" customFormat="1" ht="9.75" customHeight="1" thickTop="1">
      <c r="A9" s="482">
        <v>1</v>
      </c>
      <c r="B9" s="483"/>
      <c r="C9" s="376">
        <v>2</v>
      </c>
      <c r="D9" s="376">
        <v>3</v>
      </c>
      <c r="E9" s="377">
        <v>4</v>
      </c>
      <c r="F9" s="378">
        <v>5</v>
      </c>
      <c r="G9" s="379">
        <v>6</v>
      </c>
      <c r="H9" s="378">
        <v>7</v>
      </c>
      <c r="I9" s="380">
        <v>8</v>
      </c>
      <c r="J9" s="381">
        <v>9</v>
      </c>
      <c r="K9" s="380">
        <v>10</v>
      </c>
      <c r="L9" s="382">
        <v>11</v>
      </c>
      <c r="M9" s="382">
        <v>12</v>
      </c>
      <c r="N9" s="380">
        <v>13</v>
      </c>
      <c r="O9" s="379">
        <v>14</v>
      </c>
    </row>
    <row r="10" spans="1:15" s="390" customFormat="1" ht="15" customHeight="1">
      <c r="A10" s="383" t="s">
        <v>7</v>
      </c>
      <c r="B10" s="384" t="s">
        <v>193</v>
      </c>
      <c r="C10" s="385">
        <f>SUM(C11:C16)</f>
        <v>13944.4</v>
      </c>
      <c r="D10" s="385">
        <f>SUM(D11:D16)</f>
        <v>15476.6</v>
      </c>
      <c r="E10" s="386">
        <f>D10/C10*100</f>
        <v>110.98792346748516</v>
      </c>
      <c r="F10" s="387">
        <v>4.9</v>
      </c>
      <c r="G10" s="388">
        <f>SUM(G11:G16)</f>
        <v>5.354202242339872</v>
      </c>
      <c r="H10" s="389">
        <f>SUM(H11:H16)</f>
        <v>45255.2</v>
      </c>
      <c r="I10" s="386">
        <f>SUM(I11:I16)</f>
        <v>29299.699999999997</v>
      </c>
      <c r="J10" s="385">
        <f>SUM(J11:J16)</f>
        <v>30660.1</v>
      </c>
      <c r="K10" s="385">
        <f>SUM(K11:K16)</f>
        <v>16544.6</v>
      </c>
      <c r="L10" s="385">
        <f>J10/H10*100</f>
        <v>67.74934151213562</v>
      </c>
      <c r="M10" s="385">
        <f>K10/I10*100</f>
        <v>56.46678976235252</v>
      </c>
      <c r="N10" s="386">
        <v>13.6</v>
      </c>
      <c r="O10" s="384">
        <v>9.9</v>
      </c>
    </row>
    <row r="11" spans="1:15" ht="14.25" customHeight="1">
      <c r="A11" s="391"/>
      <c r="B11" s="392" t="s">
        <v>194</v>
      </c>
      <c r="C11" s="393">
        <v>22</v>
      </c>
      <c r="D11" s="393">
        <v>22</v>
      </c>
      <c r="E11" s="394">
        <f>D11/C11*100</f>
        <v>100</v>
      </c>
      <c r="F11" s="395">
        <f>C11/$D$29*100</f>
        <v>0.007645010206088624</v>
      </c>
      <c r="G11" s="396">
        <f aca="true" t="shared" si="0" ref="G11:G16">D11/$D$30*100</f>
        <v>0.00761100301949247</v>
      </c>
      <c r="H11" s="397"/>
      <c r="I11" s="398"/>
      <c r="J11" s="393"/>
      <c r="K11" s="393"/>
      <c r="L11" s="399"/>
      <c r="M11" s="399"/>
      <c r="N11" s="398"/>
      <c r="O11" s="400"/>
    </row>
    <row r="12" spans="1:15" ht="13.5" customHeight="1">
      <c r="A12" s="391"/>
      <c r="B12" s="392" t="s">
        <v>195</v>
      </c>
      <c r="C12" s="393"/>
      <c r="D12" s="393"/>
      <c r="E12" s="394"/>
      <c r="F12" s="395"/>
      <c r="G12" s="396">
        <f t="shared" si="0"/>
        <v>0</v>
      </c>
      <c r="H12" s="393">
        <v>34843.5</v>
      </c>
      <c r="I12" s="398">
        <v>28487.6</v>
      </c>
      <c r="J12" s="393">
        <v>20342.2</v>
      </c>
      <c r="K12" s="393">
        <v>15938.3</v>
      </c>
      <c r="L12" s="399">
        <f>J12/H12*100</f>
        <v>58.3816206753053</v>
      </c>
      <c r="M12" s="399">
        <f>K12/I12*100</f>
        <v>55.94820202474059</v>
      </c>
      <c r="N12" s="398">
        <f aca="true" t="shared" si="1" ref="N12:N25">H12/$N$29*100</f>
        <v>10.529218365657163</v>
      </c>
      <c r="O12" s="400">
        <f>J12/$N$30*100</f>
        <v>6.574517032104349</v>
      </c>
    </row>
    <row r="13" spans="1:15" ht="15" customHeight="1">
      <c r="A13" s="391"/>
      <c r="B13" s="392" t="s">
        <v>196</v>
      </c>
      <c r="C13" s="393">
        <v>1020</v>
      </c>
      <c r="D13" s="393">
        <v>1020</v>
      </c>
      <c r="E13" s="394">
        <f>D13/C13*100</f>
        <v>100</v>
      </c>
      <c r="F13" s="395">
        <f aca="true" t="shared" si="2" ref="F13:F23">C13/$D$29*100</f>
        <v>0.3544504731913817</v>
      </c>
      <c r="G13" s="396">
        <f t="shared" si="0"/>
        <v>0.35287377635828726</v>
      </c>
      <c r="H13" s="393">
        <v>2745.2</v>
      </c>
      <c r="I13" s="398">
        <v>412.1</v>
      </c>
      <c r="J13" s="393">
        <v>2654.3</v>
      </c>
      <c r="K13" s="393">
        <v>406.3</v>
      </c>
      <c r="L13" s="399">
        <f>J13/H13*100</f>
        <v>96.68876584584002</v>
      </c>
      <c r="M13" s="399">
        <f>K13/I13*100</f>
        <v>98.59257461781121</v>
      </c>
      <c r="N13" s="398">
        <f t="shared" si="1"/>
        <v>0.8295610445966118</v>
      </c>
      <c r="O13" s="400">
        <f>J13/$N$30*100</f>
        <v>0.8578590594092366</v>
      </c>
    </row>
    <row r="14" spans="1:15" ht="15" customHeight="1">
      <c r="A14" s="391"/>
      <c r="B14" s="392" t="s">
        <v>197</v>
      </c>
      <c r="C14" s="393">
        <v>6550</v>
      </c>
      <c r="D14" s="393">
        <v>5980</v>
      </c>
      <c r="E14" s="394">
        <f>D14/C14*100</f>
        <v>91.29770992366413</v>
      </c>
      <c r="F14" s="395">
        <f t="shared" si="2"/>
        <v>2.2761280386309313</v>
      </c>
      <c r="G14" s="396">
        <f t="shared" si="0"/>
        <v>2.068809002571135</v>
      </c>
      <c r="H14" s="393">
        <v>716.5</v>
      </c>
      <c r="I14" s="398"/>
      <c r="J14" s="393">
        <v>770</v>
      </c>
      <c r="K14" s="393"/>
      <c r="L14" s="399">
        <f>J14/H14*100</f>
        <v>107.466852756455</v>
      </c>
      <c r="M14" s="399"/>
      <c r="N14" s="398">
        <f t="shared" si="1"/>
        <v>0.21651627876055385</v>
      </c>
      <c r="O14" s="400">
        <f>J14/$N$30*100</f>
        <v>0.24886089580873008</v>
      </c>
    </row>
    <row r="15" spans="1:15" ht="15" customHeight="1">
      <c r="A15" s="391"/>
      <c r="B15" s="392" t="s">
        <v>198</v>
      </c>
      <c r="C15" s="393">
        <v>1050</v>
      </c>
      <c r="D15" s="393">
        <v>1100</v>
      </c>
      <c r="E15" s="394">
        <f>D15/C15*100</f>
        <v>104.76190476190477</v>
      </c>
      <c r="F15" s="395">
        <f t="shared" si="2"/>
        <v>0.36487548710877526</v>
      </c>
      <c r="G15" s="396">
        <f t="shared" si="0"/>
        <v>0.3805501509746235</v>
      </c>
      <c r="H15" s="393">
        <v>1450</v>
      </c>
      <c r="I15" s="398">
        <v>400</v>
      </c>
      <c r="J15" s="393">
        <v>1316</v>
      </c>
      <c r="K15" s="393">
        <v>200</v>
      </c>
      <c r="L15" s="399">
        <f>J15/H15*100</f>
        <v>90.75862068965517</v>
      </c>
      <c r="M15" s="399">
        <f>K15/I15*100</f>
        <v>50</v>
      </c>
      <c r="N15" s="398">
        <f t="shared" si="1"/>
        <v>0.4381697197526909</v>
      </c>
      <c r="O15" s="400">
        <f>J15/$N$30*100</f>
        <v>0.4253258946549205</v>
      </c>
    </row>
    <row r="16" spans="1:15" ht="14.25" customHeight="1">
      <c r="A16" s="391"/>
      <c r="B16" s="392" t="s">
        <v>199</v>
      </c>
      <c r="C16" s="393">
        <v>5302.4</v>
      </c>
      <c r="D16" s="393">
        <v>7354.6</v>
      </c>
      <c r="E16" s="394">
        <f>D16/C16*100</f>
        <v>138.70322872661438</v>
      </c>
      <c r="F16" s="395">
        <f t="shared" si="2"/>
        <v>1.8425864598529236</v>
      </c>
      <c r="G16" s="396">
        <f t="shared" si="0"/>
        <v>2.544358309416333</v>
      </c>
      <c r="H16" s="393">
        <v>5500</v>
      </c>
      <c r="I16" s="398"/>
      <c r="J16" s="393">
        <v>5577.6</v>
      </c>
      <c r="K16" s="393"/>
      <c r="L16" s="399">
        <f>J16/H16*100</f>
        <v>101.4109090909091</v>
      </c>
      <c r="M16" s="399"/>
      <c r="N16" s="398">
        <f t="shared" si="1"/>
        <v>1.6620230749240004</v>
      </c>
      <c r="O16" s="400">
        <f>J16/$N$30*100</f>
        <v>1.8026578343672373</v>
      </c>
    </row>
    <row r="17" spans="1:15" s="403" customFormat="1" ht="15" customHeight="1">
      <c r="A17" s="401" t="s">
        <v>13</v>
      </c>
      <c r="B17" s="402" t="s">
        <v>200</v>
      </c>
      <c r="C17" s="385">
        <f>SUM(C18:C24)</f>
        <v>12972.7</v>
      </c>
      <c r="D17" s="385">
        <f>SUM(D18:D23)</f>
        <v>9430.2</v>
      </c>
      <c r="E17" s="386">
        <f>D17/C17*100</f>
        <v>72.69265457460668</v>
      </c>
      <c r="F17" s="386">
        <f t="shared" si="2"/>
        <v>4.5080192682057225</v>
      </c>
      <c r="G17" s="388">
        <v>3.2</v>
      </c>
      <c r="H17" s="389">
        <f>SUM(H18:H23)</f>
        <v>34676.1</v>
      </c>
      <c r="I17" s="386">
        <f>SUM(I18:I23)</f>
        <v>31010.5</v>
      </c>
      <c r="J17" s="385">
        <f>SUM(J18:J23)</f>
        <v>33711.2</v>
      </c>
      <c r="K17" s="385">
        <f>SUM(K18:K23)</f>
        <v>28153.6</v>
      </c>
      <c r="L17" s="385">
        <f>J17/H17*100</f>
        <v>97.2173918058836</v>
      </c>
      <c r="M17" s="386">
        <f aca="true" t="shared" si="3" ref="M17:M27">K17/I17*100</f>
        <v>90.78731397429902</v>
      </c>
      <c r="N17" s="386">
        <f t="shared" si="1"/>
        <v>10.47863242697675</v>
      </c>
      <c r="O17" s="384">
        <f>SUM(O18:O23)</f>
        <v>10.895323936087351</v>
      </c>
    </row>
    <row r="18" spans="1:15" s="161" customFormat="1" ht="15" customHeight="1">
      <c r="A18" s="391"/>
      <c r="B18" s="392" t="s">
        <v>201</v>
      </c>
      <c r="C18" s="393">
        <v>5900</v>
      </c>
      <c r="D18" s="404">
        <v>3000</v>
      </c>
      <c r="E18" s="394">
        <f aca="true" t="shared" si="4" ref="E18:E23">D18/C18*100</f>
        <v>50.847457627118644</v>
      </c>
      <c r="F18" s="395">
        <f t="shared" si="2"/>
        <v>2.050252737087404</v>
      </c>
      <c r="G18" s="396">
        <v>1.1</v>
      </c>
      <c r="H18" s="393">
        <v>16764</v>
      </c>
      <c r="I18" s="398">
        <v>14794</v>
      </c>
      <c r="J18" s="393">
        <v>8650</v>
      </c>
      <c r="K18" s="393">
        <v>4500</v>
      </c>
      <c r="L18" s="399">
        <f>J18/H18*100</f>
        <v>51.59866380338821</v>
      </c>
      <c r="M18" s="399">
        <f t="shared" si="3"/>
        <v>30.417736920373123</v>
      </c>
      <c r="N18" s="398">
        <f t="shared" si="1"/>
        <v>5.065846332368353</v>
      </c>
      <c r="O18" s="400">
        <f aca="true" t="shared" si="5" ref="O18:O26">J18/$N$30*100</f>
        <v>2.7956451282409285</v>
      </c>
    </row>
    <row r="19" spans="1:15" s="161" customFormat="1" ht="15.75" customHeight="1">
      <c r="A19" s="391"/>
      <c r="B19" s="392" t="s">
        <v>202</v>
      </c>
      <c r="C19" s="393">
        <v>5521.7</v>
      </c>
      <c r="D19" s="404">
        <v>5051</v>
      </c>
      <c r="E19" s="394">
        <f t="shared" si="4"/>
        <v>91.4754514008367</v>
      </c>
      <c r="F19" s="395">
        <f t="shared" si="2"/>
        <v>1.9187933115890707</v>
      </c>
      <c r="G19" s="396">
        <f>D19/$D$30*100</f>
        <v>1.7474171023389304</v>
      </c>
      <c r="H19" s="393">
        <v>916.6</v>
      </c>
      <c r="I19" s="398">
        <v>192</v>
      </c>
      <c r="J19" s="393">
        <v>2060</v>
      </c>
      <c r="K19" s="393">
        <v>1230</v>
      </c>
      <c r="L19" s="399">
        <f aca="true" t="shared" si="6" ref="L19:L27">J19/H19*100</f>
        <v>224.7436177176522</v>
      </c>
      <c r="M19" s="399">
        <f t="shared" si="3"/>
        <v>640.625</v>
      </c>
      <c r="N19" s="398">
        <f t="shared" si="1"/>
        <v>0.2769837000864252</v>
      </c>
      <c r="O19" s="400">
        <f t="shared" si="5"/>
        <v>0.6657836952804985</v>
      </c>
    </row>
    <row r="20" spans="1:15" s="161" customFormat="1" ht="19.5" customHeight="1">
      <c r="A20" s="391"/>
      <c r="B20" s="392" t="s">
        <v>203</v>
      </c>
      <c r="C20" s="393">
        <v>1102.5</v>
      </c>
      <c r="D20" s="404">
        <v>928</v>
      </c>
      <c r="E20" s="394">
        <f t="shared" si="4"/>
        <v>84.17233560090703</v>
      </c>
      <c r="F20" s="395">
        <f t="shared" si="2"/>
        <v>0.38311926146421404</v>
      </c>
      <c r="G20" s="396">
        <f>D20/$D$30*100</f>
        <v>0.32104594554950056</v>
      </c>
      <c r="H20" s="393">
        <v>3138.7</v>
      </c>
      <c r="I20" s="398">
        <v>2337.7</v>
      </c>
      <c r="J20" s="393">
        <v>3116.1</v>
      </c>
      <c r="K20" s="393">
        <v>2619.5</v>
      </c>
      <c r="L20" s="399">
        <f t="shared" si="6"/>
        <v>99.2799566699589</v>
      </c>
      <c r="M20" s="399">
        <f t="shared" si="3"/>
        <v>112.05458356504256</v>
      </c>
      <c r="N20" s="398">
        <f t="shared" si="1"/>
        <v>0.9484712409570835</v>
      </c>
      <c r="O20" s="400">
        <f t="shared" si="5"/>
        <v>1.007110957700758</v>
      </c>
    </row>
    <row r="21" spans="1:15" s="161" customFormat="1" ht="24.75" customHeight="1">
      <c r="A21" s="391"/>
      <c r="B21" s="405" t="s">
        <v>204</v>
      </c>
      <c r="C21" s="393">
        <v>36.1</v>
      </c>
      <c r="D21" s="404">
        <v>35.6</v>
      </c>
      <c r="E21" s="394">
        <f t="shared" si="4"/>
        <v>98.61495844875347</v>
      </c>
      <c r="F21" s="395">
        <f t="shared" si="2"/>
        <v>0.012544766747263607</v>
      </c>
      <c r="G21" s="396">
        <f>D21/$D$30*100</f>
        <v>0.012315986704269633</v>
      </c>
      <c r="H21" s="393">
        <v>1612</v>
      </c>
      <c r="I21" s="398">
        <v>1442</v>
      </c>
      <c r="J21" s="393">
        <v>141</v>
      </c>
      <c r="K21" s="393">
        <v>60</v>
      </c>
      <c r="L21" s="399">
        <f t="shared" si="6"/>
        <v>8.746898263027296</v>
      </c>
      <c r="M21" s="399">
        <f t="shared" si="3"/>
        <v>4.160887656033287</v>
      </c>
      <c r="N21" s="398">
        <f t="shared" si="1"/>
        <v>0.48712385395954333</v>
      </c>
      <c r="O21" s="400">
        <f t="shared" si="5"/>
        <v>0.04557063157017004</v>
      </c>
    </row>
    <row r="22" spans="1:15" s="161" customFormat="1" ht="15.75" customHeight="1">
      <c r="A22" s="391"/>
      <c r="B22" s="392" t="s">
        <v>205</v>
      </c>
      <c r="C22" s="393">
        <v>83.3</v>
      </c>
      <c r="D22" s="404">
        <v>84.5</v>
      </c>
      <c r="E22" s="394">
        <f t="shared" si="4"/>
        <v>101.44057623049221</v>
      </c>
      <c r="F22" s="395">
        <f t="shared" si="2"/>
        <v>0.028946788643962836</v>
      </c>
      <c r="G22" s="396">
        <f>D22/$D$30*100</f>
        <v>0.02923317068850517</v>
      </c>
      <c r="H22" s="393">
        <v>2675</v>
      </c>
      <c r="I22" s="398">
        <v>2675</v>
      </c>
      <c r="J22" s="393">
        <v>7744.1</v>
      </c>
      <c r="K22" s="393">
        <v>7744.1</v>
      </c>
      <c r="L22" s="399">
        <f t="shared" si="6"/>
        <v>289.4990654205607</v>
      </c>
      <c r="M22" s="399">
        <f t="shared" si="3"/>
        <v>289.4990654205607</v>
      </c>
      <c r="N22" s="398">
        <f t="shared" si="1"/>
        <v>0.8083475864403092</v>
      </c>
      <c r="O22" s="400">
        <f t="shared" si="5"/>
        <v>2.5028619003018004</v>
      </c>
    </row>
    <row r="23" spans="1:15" s="161" customFormat="1" ht="15.75" customHeight="1">
      <c r="A23" s="391"/>
      <c r="B23" s="392" t="s">
        <v>206</v>
      </c>
      <c r="C23" s="393">
        <v>329.1</v>
      </c>
      <c r="D23" s="404">
        <v>331.1</v>
      </c>
      <c r="E23" s="394">
        <f t="shared" si="4"/>
        <v>100.60771801883925</v>
      </c>
      <c r="F23" s="395">
        <f t="shared" si="2"/>
        <v>0.11436240267380757</v>
      </c>
      <c r="G23" s="396">
        <f>D23/$D$30*100</f>
        <v>0.11454559544336168</v>
      </c>
      <c r="H23" s="393">
        <v>9569.8</v>
      </c>
      <c r="I23" s="398">
        <v>9569.8</v>
      </c>
      <c r="J23" s="393">
        <v>12000</v>
      </c>
      <c r="K23" s="393">
        <v>12000</v>
      </c>
      <c r="L23" s="399">
        <f t="shared" si="6"/>
        <v>125.39447010386844</v>
      </c>
      <c r="M23" s="399">
        <f t="shared" si="3"/>
        <v>125.39447010386844</v>
      </c>
      <c r="N23" s="398">
        <f t="shared" si="1"/>
        <v>2.8918597131650357</v>
      </c>
      <c r="O23" s="400">
        <f t="shared" si="5"/>
        <v>3.878351622993195</v>
      </c>
    </row>
    <row r="24" spans="1:15" s="403" customFormat="1" ht="17.25" customHeight="1">
      <c r="A24" s="401" t="s">
        <v>207</v>
      </c>
      <c r="B24" s="402" t="s">
        <v>208</v>
      </c>
      <c r="C24" s="385"/>
      <c r="D24" s="385"/>
      <c r="E24" s="386"/>
      <c r="F24" s="406"/>
      <c r="G24" s="388"/>
      <c r="H24" s="385">
        <f>SUM(H25:H25)</f>
        <v>6322.6</v>
      </c>
      <c r="I24" s="386">
        <f>SUM(I25:I25)</f>
        <v>6322.6</v>
      </c>
      <c r="J24" s="385">
        <f>SUM(J25:J25)</f>
        <v>3750</v>
      </c>
      <c r="K24" s="385">
        <f>K25</f>
        <v>3750</v>
      </c>
      <c r="L24" s="386">
        <f t="shared" si="6"/>
        <v>59.3110429253788</v>
      </c>
      <c r="M24" s="385">
        <f t="shared" si="3"/>
        <v>59.3110429253788</v>
      </c>
      <c r="N24" s="386">
        <f t="shared" si="1"/>
        <v>1.9106012897299063</v>
      </c>
      <c r="O24" s="388">
        <f t="shared" si="5"/>
        <v>1.2119848821853736</v>
      </c>
    </row>
    <row r="25" spans="1:15" s="161" customFormat="1" ht="17.25" customHeight="1">
      <c r="A25" s="391"/>
      <c r="B25" s="392" t="s">
        <v>209</v>
      </c>
      <c r="C25" s="393"/>
      <c r="D25" s="393"/>
      <c r="E25" s="394"/>
      <c r="F25" s="407"/>
      <c r="G25" s="396"/>
      <c r="H25" s="393">
        <v>6322.6</v>
      </c>
      <c r="I25" s="398">
        <v>6322.6</v>
      </c>
      <c r="J25" s="393">
        <v>3750</v>
      </c>
      <c r="K25" s="393">
        <v>3750</v>
      </c>
      <c r="L25" s="408">
        <f t="shared" si="6"/>
        <v>59.3110429253788</v>
      </c>
      <c r="M25" s="399">
        <f t="shared" si="3"/>
        <v>59.3110429253788</v>
      </c>
      <c r="N25" s="409">
        <f t="shared" si="1"/>
        <v>1.9106012897299063</v>
      </c>
      <c r="O25" s="400">
        <f t="shared" si="5"/>
        <v>1.2119848821853736</v>
      </c>
    </row>
    <row r="26" spans="1:15" s="403" customFormat="1" ht="15.75" customHeight="1">
      <c r="A26" s="401" t="s">
        <v>210</v>
      </c>
      <c r="B26" s="402" t="s">
        <v>211</v>
      </c>
      <c r="C26" s="385"/>
      <c r="D26" s="385"/>
      <c r="E26" s="386"/>
      <c r="F26" s="406"/>
      <c r="G26" s="388"/>
      <c r="H26" s="385">
        <v>5594</v>
      </c>
      <c r="I26" s="386">
        <v>5594</v>
      </c>
      <c r="J26" s="385">
        <v>7850</v>
      </c>
      <c r="K26" s="385">
        <v>7850</v>
      </c>
      <c r="L26" s="386">
        <f t="shared" si="6"/>
        <v>140.3289238469789</v>
      </c>
      <c r="M26" s="385">
        <f t="shared" si="3"/>
        <v>140.3289238469789</v>
      </c>
      <c r="N26" s="386">
        <v>1.6</v>
      </c>
      <c r="O26" s="388">
        <f t="shared" si="5"/>
        <v>2.5370883533747155</v>
      </c>
    </row>
    <row r="27" spans="1:15" s="417" customFormat="1" ht="18.75" customHeight="1" thickBot="1">
      <c r="A27" s="410"/>
      <c r="B27" s="411" t="s">
        <v>212</v>
      </c>
      <c r="C27" s="412">
        <f>C26+C24+C17+C10</f>
        <v>26917.1</v>
      </c>
      <c r="D27" s="412">
        <f>D26+D24+D17+D10</f>
        <v>24906.800000000003</v>
      </c>
      <c r="E27" s="413">
        <f>D27/C27*100</f>
        <v>92.53151342455169</v>
      </c>
      <c r="F27" s="414">
        <f>C27/$D$29*100</f>
        <v>9.353704737195823</v>
      </c>
      <c r="G27" s="415">
        <f>D27/$D$30*100</f>
        <v>8.61662409117705</v>
      </c>
      <c r="H27" s="412">
        <f>H26+H24+H17+H10</f>
        <v>91847.9</v>
      </c>
      <c r="I27" s="413">
        <f>I26+I24+I17+I10</f>
        <v>72226.79999999999</v>
      </c>
      <c r="J27" s="412">
        <f>J26+J24+J17+J10</f>
        <v>75971.29999999999</v>
      </c>
      <c r="K27" s="412">
        <f>K26+K24+K17+K10</f>
        <v>56298.2</v>
      </c>
      <c r="L27" s="416">
        <f t="shared" si="6"/>
        <v>82.71424822995408</v>
      </c>
      <c r="M27" s="416">
        <f t="shared" si="3"/>
        <v>77.94641324272985</v>
      </c>
      <c r="N27" s="416">
        <f>H27/$N$29*100</f>
        <v>27.75515076060219</v>
      </c>
      <c r="O27" s="415">
        <v>24.5</v>
      </c>
    </row>
    <row r="28" spans="1:15" ht="7.5" customHeight="1" thickTop="1">
      <c r="A28" s="418"/>
      <c r="B28" s="419"/>
      <c r="C28" s="420"/>
      <c r="D28" s="420"/>
      <c r="E28" s="421"/>
      <c r="F28" s="420"/>
      <c r="G28" s="420"/>
      <c r="H28" s="420"/>
      <c r="I28" s="420"/>
      <c r="J28" s="420"/>
      <c r="K28" s="420"/>
      <c r="L28" s="421"/>
      <c r="M28" s="421"/>
      <c r="N28" s="422"/>
      <c r="O28" s="420"/>
    </row>
    <row r="29" spans="1:15" s="361" customFormat="1" ht="12">
      <c r="A29" s="423"/>
      <c r="B29" s="424" t="s">
        <v>213</v>
      </c>
      <c r="C29" s="425" t="s">
        <v>214</v>
      </c>
      <c r="D29" s="426">
        <v>287769.4</v>
      </c>
      <c r="E29" s="427" t="s">
        <v>215</v>
      </c>
      <c r="F29" s="428"/>
      <c r="G29" s="428"/>
      <c r="H29" s="428"/>
      <c r="J29" s="429" t="s">
        <v>216</v>
      </c>
      <c r="K29" s="428"/>
      <c r="L29" s="403"/>
      <c r="M29" s="430" t="s">
        <v>214</v>
      </c>
      <c r="N29" s="426">
        <v>330922</v>
      </c>
      <c r="O29" s="431" t="s">
        <v>215</v>
      </c>
    </row>
    <row r="30" spans="1:15" s="361" customFormat="1" ht="12">
      <c r="A30" s="423"/>
      <c r="B30" s="432"/>
      <c r="C30" s="425" t="s">
        <v>217</v>
      </c>
      <c r="D30" s="426">
        <v>289055.2</v>
      </c>
      <c r="E30" s="427" t="s">
        <v>215</v>
      </c>
      <c r="F30" s="428"/>
      <c r="G30" s="429"/>
      <c r="H30" s="429"/>
      <c r="I30" s="429"/>
      <c r="J30" s="428"/>
      <c r="K30" s="428"/>
      <c r="L30" s="403"/>
      <c r="M30" s="430" t="s">
        <v>217</v>
      </c>
      <c r="N30" s="426">
        <v>309409.8</v>
      </c>
      <c r="O30" s="431" t="s">
        <v>215</v>
      </c>
    </row>
    <row r="31" spans="1:15" ht="12.75">
      <c r="A31" s="418"/>
      <c r="B31" s="419"/>
      <c r="C31" s="161"/>
      <c r="D31" s="404"/>
      <c r="E31" s="433"/>
      <c r="F31" s="404"/>
      <c r="G31" s="404"/>
      <c r="H31" s="404"/>
      <c r="I31" s="404"/>
      <c r="J31" s="404"/>
      <c r="K31" s="404"/>
      <c r="L31" s="433"/>
      <c r="M31" s="433"/>
      <c r="N31" s="404"/>
      <c r="O31" s="434"/>
    </row>
    <row r="32" spans="1:15" ht="18.75">
      <c r="A32" s="418"/>
      <c r="B32" s="419"/>
      <c r="C32" s="161"/>
      <c r="D32" s="161"/>
      <c r="E32" s="435"/>
      <c r="F32" s="436" t="s">
        <v>218</v>
      </c>
      <c r="G32" s="161"/>
      <c r="H32" s="161"/>
      <c r="I32" s="161"/>
      <c r="J32" s="161"/>
      <c r="K32" s="161"/>
      <c r="L32" s="435"/>
      <c r="M32" s="435"/>
      <c r="N32" s="437"/>
      <c r="O32" s="437"/>
    </row>
    <row r="33" spans="1:15" ht="12.75">
      <c r="A33" s="418"/>
      <c r="B33" s="161"/>
      <c r="C33" s="161"/>
      <c r="D33" s="161"/>
      <c r="E33" s="435"/>
      <c r="F33" s="161"/>
      <c r="G33" s="161"/>
      <c r="H33" s="161"/>
      <c r="I33" s="161"/>
      <c r="J33" s="161"/>
      <c r="K33" s="161"/>
      <c r="L33" s="435"/>
      <c r="M33" s="435"/>
      <c r="N33" s="161"/>
      <c r="O33" s="161"/>
    </row>
    <row r="34" spans="1:15" ht="12.75">
      <c r="A34" s="418"/>
      <c r="B34" s="161"/>
      <c r="C34" s="161"/>
      <c r="D34" s="161"/>
      <c r="E34" s="435"/>
      <c r="F34" s="161"/>
      <c r="G34" s="161"/>
      <c r="H34" s="161"/>
      <c r="I34" s="161"/>
      <c r="J34" s="161"/>
      <c r="K34" s="161"/>
      <c r="L34" s="435"/>
      <c r="M34" s="435"/>
      <c r="N34" s="161"/>
      <c r="O34" s="161"/>
    </row>
    <row r="35" spans="1:15" ht="12.75">
      <c r="A35" s="418"/>
      <c r="B35" s="161"/>
      <c r="C35" s="161"/>
      <c r="D35" s="161"/>
      <c r="E35" s="435"/>
      <c r="F35" s="161"/>
      <c r="G35" s="161"/>
      <c r="H35" s="161"/>
      <c r="I35" s="161"/>
      <c r="J35" s="161"/>
      <c r="K35" s="161"/>
      <c r="L35" s="435"/>
      <c r="M35" s="435"/>
      <c r="N35" s="161"/>
      <c r="O35" s="161"/>
    </row>
    <row r="36" spans="1:15" ht="12.75">
      <c r="A36" s="418"/>
      <c r="B36" s="161"/>
      <c r="C36" s="161"/>
      <c r="D36" s="161"/>
      <c r="E36" s="435"/>
      <c r="F36" s="161"/>
      <c r="G36" s="161"/>
      <c r="H36" s="161"/>
      <c r="I36" s="161"/>
      <c r="J36" s="161"/>
      <c r="K36" s="161"/>
      <c r="L36" s="435"/>
      <c r="M36" s="435"/>
      <c r="N36" s="161"/>
      <c r="O36" s="161"/>
    </row>
    <row r="37" spans="1:15" ht="12.75">
      <c r="A37" s="418"/>
      <c r="B37" s="161"/>
      <c r="C37" s="161"/>
      <c r="D37" s="161"/>
      <c r="E37" s="435"/>
      <c r="F37" s="161"/>
      <c r="G37" s="161"/>
      <c r="H37" s="161"/>
      <c r="I37" s="161"/>
      <c r="J37" s="161"/>
      <c r="K37" s="161"/>
      <c r="L37" s="435"/>
      <c r="M37" s="435"/>
      <c r="N37" s="161"/>
      <c r="O37" s="161"/>
    </row>
    <row r="38" spans="1:15" ht="12.75">
      <c r="A38" s="418"/>
      <c r="B38" s="161"/>
      <c r="C38" s="161"/>
      <c r="D38" s="161"/>
      <c r="E38" s="435"/>
      <c r="F38" s="161"/>
      <c r="G38" s="161"/>
      <c r="H38" s="161"/>
      <c r="I38" s="161"/>
      <c r="J38" s="161"/>
      <c r="K38" s="161"/>
      <c r="L38" s="435"/>
      <c r="M38" s="435"/>
      <c r="N38" s="161"/>
      <c r="O38" s="161"/>
    </row>
    <row r="39" spans="1:15" ht="12.75">
      <c r="A39" s="418"/>
      <c r="B39" s="161"/>
      <c r="C39" s="161"/>
      <c r="D39" s="161"/>
      <c r="E39" s="435"/>
      <c r="F39" s="161"/>
      <c r="G39" s="161"/>
      <c r="H39" s="161"/>
      <c r="I39" s="161"/>
      <c r="J39" s="161"/>
      <c r="K39" s="161"/>
      <c r="L39" s="435"/>
      <c r="M39" s="435"/>
      <c r="N39" s="161"/>
      <c r="O39" s="161"/>
    </row>
    <row r="40" spans="1:15" ht="12.75">
      <c r="A40" s="418"/>
      <c r="B40" s="161"/>
      <c r="C40" s="161"/>
      <c r="D40" s="161"/>
      <c r="E40" s="435"/>
      <c r="F40" s="161"/>
      <c r="G40" s="161"/>
      <c r="H40" s="161"/>
      <c r="I40" s="161"/>
      <c r="J40" s="161"/>
      <c r="K40" s="161"/>
      <c r="L40" s="435"/>
      <c r="M40" s="435"/>
      <c r="N40" s="161"/>
      <c r="O40" s="161"/>
    </row>
    <row r="41" spans="1:15" ht="12.75">
      <c r="A41" s="418"/>
      <c r="B41" s="161"/>
      <c r="C41" s="161"/>
      <c r="D41" s="161"/>
      <c r="E41" s="435"/>
      <c r="F41" s="161"/>
      <c r="G41" s="161"/>
      <c r="H41" s="161"/>
      <c r="I41" s="161"/>
      <c r="J41" s="161"/>
      <c r="K41" s="161"/>
      <c r="L41" s="435"/>
      <c r="M41" s="435"/>
      <c r="N41" s="161"/>
      <c r="O41" s="161"/>
    </row>
    <row r="42" spans="1:15" ht="12.75">
      <c r="A42" s="418"/>
      <c r="B42" s="161"/>
      <c r="C42" s="161"/>
      <c r="D42" s="161"/>
      <c r="E42" s="435"/>
      <c r="F42" s="161"/>
      <c r="G42" s="161"/>
      <c r="H42" s="161"/>
      <c r="I42" s="161"/>
      <c r="J42" s="161"/>
      <c r="K42" s="161"/>
      <c r="L42" s="435"/>
      <c r="M42" s="435"/>
      <c r="N42" s="161"/>
      <c r="O42" s="161"/>
    </row>
    <row r="43" spans="1:15" ht="12.75">
      <c r="A43" s="418"/>
      <c r="B43" s="161"/>
      <c r="C43" s="161"/>
      <c r="D43" s="161"/>
      <c r="E43" s="435"/>
      <c r="F43" s="161"/>
      <c r="G43" s="161"/>
      <c r="H43" s="161"/>
      <c r="I43" s="161"/>
      <c r="J43" s="161"/>
      <c r="K43" s="161"/>
      <c r="L43" s="435"/>
      <c r="M43" s="435"/>
      <c r="N43" s="161"/>
      <c r="O43" s="161"/>
    </row>
    <row r="44" spans="1:15" ht="12.75">
      <c r="A44" s="418"/>
      <c r="B44" s="161"/>
      <c r="C44" s="161"/>
      <c r="D44" s="161"/>
      <c r="E44" s="435"/>
      <c r="F44" s="161"/>
      <c r="G44" s="161"/>
      <c r="H44" s="161"/>
      <c r="I44" s="161"/>
      <c r="J44" s="161"/>
      <c r="K44" s="161"/>
      <c r="L44" s="435"/>
      <c r="M44" s="435"/>
      <c r="N44" s="161"/>
      <c r="O44" s="161"/>
    </row>
    <row r="45" ht="12.75">
      <c r="A45" s="438"/>
    </row>
    <row r="46" ht="12.75">
      <c r="A46" s="438"/>
    </row>
    <row r="47" ht="12.75">
      <c r="A47" s="438"/>
    </row>
    <row r="48" ht="12.75">
      <c r="A48" s="438"/>
    </row>
  </sheetData>
  <mergeCells count="18">
    <mergeCell ref="C4:G4"/>
    <mergeCell ref="H4:O4"/>
    <mergeCell ref="F5:G5"/>
    <mergeCell ref="H5:M5"/>
    <mergeCell ref="C6:C8"/>
    <mergeCell ref="D6:D8"/>
    <mergeCell ref="E6:E8"/>
    <mergeCell ref="F6:F8"/>
    <mergeCell ref="A9:B9"/>
    <mergeCell ref="O6:O8"/>
    <mergeCell ref="H7:H8"/>
    <mergeCell ref="I7:I8"/>
    <mergeCell ref="J7:J8"/>
    <mergeCell ref="K7:K8"/>
    <mergeCell ref="G6:G8"/>
    <mergeCell ref="L6:L8"/>
    <mergeCell ref="M6:M8"/>
    <mergeCell ref="N6:N8"/>
  </mergeCells>
  <printOptions horizontalCentered="1"/>
  <pageMargins left="0.3" right="0.32" top="0.91" bottom="0.984251968503937" header="0.5118110236220472" footer="0.5118110236220472"/>
  <pageSetup firstPageNumber="8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00390625" defaultRowHeight="12.75"/>
  <cols>
    <col min="1" max="1" width="57.75390625" style="161" customWidth="1"/>
    <col min="2" max="2" width="16.75390625" style="161" customWidth="1"/>
    <col min="3" max="3" width="17.00390625" style="161" customWidth="1"/>
    <col min="4" max="4" width="15.25390625" style="161" customWidth="1"/>
    <col min="5" max="5" width="13.25390625" style="161" customWidth="1"/>
    <col min="6" max="6" width="11.875" style="161" customWidth="1"/>
    <col min="7" max="7" width="12.125" style="161" customWidth="1"/>
    <col min="8" max="16384" width="9.125" style="161" customWidth="1"/>
  </cols>
  <sheetData>
    <row r="1" spans="1:7" ht="31.5" customHeight="1">
      <c r="A1" s="13" t="s">
        <v>168</v>
      </c>
      <c r="G1" s="156" t="s">
        <v>79</v>
      </c>
    </row>
    <row r="2" spans="1:7" ht="9.75" customHeight="1" thickBot="1">
      <c r="A2" s="181"/>
      <c r="G2" s="156"/>
    </row>
    <row r="3" spans="1:7" ht="28.5" customHeight="1" thickBot="1" thickTop="1">
      <c r="A3" s="443" t="s">
        <v>16</v>
      </c>
      <c r="B3" s="445" t="s">
        <v>17</v>
      </c>
      <c r="C3" s="446"/>
      <c r="D3" s="447" t="s">
        <v>18</v>
      </c>
      <c r="E3" s="447" t="s">
        <v>19</v>
      </c>
      <c r="F3" s="441" t="s">
        <v>20</v>
      </c>
      <c r="G3" s="442"/>
    </row>
    <row r="4" spans="1:7" ht="22.5" customHeight="1" thickBot="1" thickTop="1">
      <c r="A4" s="444"/>
      <c r="B4" s="2" t="s">
        <v>21</v>
      </c>
      <c r="C4" s="1" t="s">
        <v>22</v>
      </c>
      <c r="D4" s="448"/>
      <c r="E4" s="448"/>
      <c r="F4" s="1" t="s">
        <v>21</v>
      </c>
      <c r="G4" s="3" t="s">
        <v>22</v>
      </c>
    </row>
    <row r="5" spans="1:7" ht="18.75" customHeight="1" thickBot="1" thickTop="1">
      <c r="A5" s="182" t="s">
        <v>23</v>
      </c>
      <c r="B5" s="6">
        <f>B6+B7+B8+B9+B10+B11+B12+B13</f>
        <v>305660983</v>
      </c>
      <c r="C5" s="183">
        <f>C6+C7+C8+C9+C10+C11+C12+C13</f>
        <v>299725031</v>
      </c>
      <c r="D5" s="7">
        <f>C5-B5</f>
        <v>-5935952</v>
      </c>
      <c r="E5" s="184">
        <f>C5/B5*100</f>
        <v>98.05799486027303</v>
      </c>
      <c r="F5" s="9">
        <v>38.34424702191223</v>
      </c>
      <c r="G5" s="11">
        <f>C5*100/C36</f>
        <v>36.48429825457979</v>
      </c>
    </row>
    <row r="6" spans="1:7" s="223" customFormat="1" ht="15" customHeight="1" thickTop="1">
      <c r="A6" s="192" t="s">
        <v>24</v>
      </c>
      <c r="B6" s="193">
        <v>25040100</v>
      </c>
      <c r="C6" s="194">
        <v>25040100</v>
      </c>
      <c r="D6" s="195">
        <f aca="true" t="shared" si="0" ref="D6:D31">C6-B6</f>
        <v>0</v>
      </c>
      <c r="E6" s="196">
        <f>C6/B6*100</f>
        <v>100</v>
      </c>
      <c r="F6" s="197">
        <v>3.141204907573645</v>
      </c>
      <c r="G6" s="198">
        <f>C6*100/C36</f>
        <v>3.0480286336996105</v>
      </c>
    </row>
    <row r="7" spans="1:7" s="223" customFormat="1" ht="15" customHeight="1">
      <c r="A7" s="199" t="s">
        <v>25</v>
      </c>
      <c r="B7" s="200">
        <v>31443125</v>
      </c>
      <c r="C7" s="201">
        <v>32532664</v>
      </c>
      <c r="D7" s="195">
        <f t="shared" si="0"/>
        <v>1089539</v>
      </c>
      <c r="E7" s="196">
        <f>C7/B7*100</f>
        <v>103.46511041761912</v>
      </c>
      <c r="F7" s="202">
        <v>3.9444450525138306</v>
      </c>
      <c r="G7" s="203">
        <f>C7*100/C36</f>
        <v>3.960067707498313</v>
      </c>
    </row>
    <row r="8" spans="1:7" s="223" customFormat="1" ht="15" customHeight="1">
      <c r="A8" s="204" t="s">
        <v>26</v>
      </c>
      <c r="B8" s="205">
        <v>12376800</v>
      </c>
      <c r="C8" s="201">
        <v>12376800</v>
      </c>
      <c r="D8" s="195">
        <f t="shared" si="0"/>
        <v>0</v>
      </c>
      <c r="E8" s="196">
        <f>C8/B8*100</f>
        <v>100</v>
      </c>
      <c r="F8" s="202">
        <v>1.5526321739952111</v>
      </c>
      <c r="G8" s="203">
        <f>C8*100/C36</f>
        <v>1.5065770821032398</v>
      </c>
    </row>
    <row r="9" spans="1:7" s="223" customFormat="1" ht="15" customHeight="1">
      <c r="A9" s="192" t="s">
        <v>27</v>
      </c>
      <c r="B9" s="193">
        <v>10914393</v>
      </c>
      <c r="C9" s="201">
        <v>10922614</v>
      </c>
      <c r="D9" s="195">
        <f t="shared" si="0"/>
        <v>8221</v>
      </c>
      <c r="E9" s="196">
        <f>C9/B9*100</f>
        <v>100.0753225580204</v>
      </c>
      <c r="F9" s="202">
        <v>1.3691776332677361</v>
      </c>
      <c r="G9" s="203">
        <f>C9*100/C36</f>
        <v>1.329564986835046</v>
      </c>
    </row>
    <row r="10" spans="1:7" s="223" customFormat="1" ht="15" customHeight="1">
      <c r="A10" s="204" t="s">
        <v>28</v>
      </c>
      <c r="B10" s="205">
        <v>35943270</v>
      </c>
      <c r="C10" s="201">
        <v>35943270</v>
      </c>
      <c r="D10" s="195">
        <f t="shared" si="0"/>
        <v>0</v>
      </c>
      <c r="E10" s="196">
        <f aca="true" t="shared" si="1" ref="E10:E36">C10/B10*100</f>
        <v>100</v>
      </c>
      <c r="F10" s="202">
        <v>4.508974649392157</v>
      </c>
      <c r="G10" s="203">
        <f>C10*100/C36</f>
        <v>4.375226782193209</v>
      </c>
    </row>
    <row r="11" spans="1:7" s="223" customFormat="1" ht="15" customHeight="1">
      <c r="A11" s="204" t="s">
        <v>29</v>
      </c>
      <c r="B11" s="205">
        <v>181282238</v>
      </c>
      <c r="C11" s="201">
        <v>174248526</v>
      </c>
      <c r="D11" s="195">
        <f t="shared" si="0"/>
        <v>-7033712</v>
      </c>
      <c r="E11" s="196">
        <f t="shared" si="1"/>
        <v>96.12002142206563</v>
      </c>
      <c r="F11" s="202">
        <v>22.74130916655818</v>
      </c>
      <c r="G11" s="203">
        <f>C11*100/C36</f>
        <v>21.210558129877718</v>
      </c>
    </row>
    <row r="12" spans="1:7" s="223" customFormat="1" ht="15" customHeight="1">
      <c r="A12" s="204" t="s">
        <v>30</v>
      </c>
      <c r="B12" s="205">
        <v>3094200</v>
      </c>
      <c r="C12" s="201">
        <v>3094200</v>
      </c>
      <c r="D12" s="195">
        <f t="shared" si="0"/>
        <v>0</v>
      </c>
      <c r="E12" s="196">
        <f t="shared" si="1"/>
        <v>100</v>
      </c>
      <c r="F12" s="202">
        <v>0.3881580434988028</v>
      </c>
      <c r="G12" s="203">
        <f>C12*100/C36</f>
        <v>0.37664427052580995</v>
      </c>
    </row>
    <row r="13" spans="1:7" s="223" customFormat="1" ht="15" customHeight="1" thickBot="1">
      <c r="A13" s="199" t="s">
        <v>31</v>
      </c>
      <c r="B13" s="200">
        <v>5566857</v>
      </c>
      <c r="C13" s="206">
        <v>5566857</v>
      </c>
      <c r="D13" s="207">
        <f t="shared" si="0"/>
        <v>0</v>
      </c>
      <c r="E13" s="208">
        <f t="shared" si="1"/>
        <v>100</v>
      </c>
      <c r="F13" s="209">
        <v>0.6983453951126672</v>
      </c>
      <c r="G13" s="210">
        <f>C13*100/C36</f>
        <v>0.6776306618468422</v>
      </c>
    </row>
    <row r="14" spans="1:7" ht="18.75" customHeight="1" thickBot="1" thickTop="1">
      <c r="A14" s="182" t="s">
        <v>32</v>
      </c>
      <c r="B14" s="6">
        <f>B15+B16+B17+B18+B19+B20+B21</f>
        <v>120196132</v>
      </c>
      <c r="C14" s="185">
        <f>C15+C16+C17+C18+C19+C20+C21</f>
        <v>117605119</v>
      </c>
      <c r="D14" s="7">
        <f t="shared" si="0"/>
        <v>-2591013</v>
      </c>
      <c r="E14" s="184">
        <f t="shared" si="1"/>
        <v>97.84434577312355</v>
      </c>
      <c r="F14" s="9">
        <v>15.078241688722075</v>
      </c>
      <c r="G14" s="11">
        <f>C14*100/C36</f>
        <v>14.315588603146557</v>
      </c>
    </row>
    <row r="15" spans="1:7" s="223" customFormat="1" ht="15" customHeight="1" thickTop="1">
      <c r="A15" s="192" t="s">
        <v>33</v>
      </c>
      <c r="B15" s="193">
        <v>46240174</v>
      </c>
      <c r="C15" s="211">
        <v>43585116</v>
      </c>
      <c r="D15" s="195">
        <f t="shared" si="0"/>
        <v>-2655058</v>
      </c>
      <c r="E15" s="196">
        <f t="shared" si="1"/>
        <v>94.25811416713094</v>
      </c>
      <c r="F15" s="197">
        <v>5.800690152829232</v>
      </c>
      <c r="G15" s="198">
        <f>C15*100/C36</f>
        <v>5.305437341349237</v>
      </c>
    </row>
    <row r="16" spans="1:7" s="223" customFormat="1" ht="15" customHeight="1">
      <c r="A16" s="204" t="s">
        <v>34</v>
      </c>
      <c r="B16" s="205">
        <v>9357609</v>
      </c>
      <c r="C16" s="212">
        <v>7192120</v>
      </c>
      <c r="D16" s="195">
        <f t="shared" si="0"/>
        <v>-2165489</v>
      </c>
      <c r="E16" s="196">
        <f t="shared" si="1"/>
        <v>76.85852229987383</v>
      </c>
      <c r="F16" s="202">
        <v>1.173883782970328</v>
      </c>
      <c r="G16" s="203">
        <f>C16*100/C36</f>
        <v>0.8754672583976758</v>
      </c>
    </row>
    <row r="17" spans="1:7" s="223" customFormat="1" ht="15" customHeight="1">
      <c r="A17" s="204" t="s">
        <v>35</v>
      </c>
      <c r="B17" s="205">
        <v>31062711</v>
      </c>
      <c r="C17" s="212">
        <v>28819051</v>
      </c>
      <c r="D17" s="195">
        <f t="shared" si="0"/>
        <v>-2243660</v>
      </c>
      <c r="E17" s="196">
        <f t="shared" si="1"/>
        <v>92.77699876227803</v>
      </c>
      <c r="F17" s="202">
        <v>3.8967232653121133</v>
      </c>
      <c r="G17" s="203">
        <f>C17*100/C36</f>
        <v>3.5080248339283546</v>
      </c>
    </row>
    <row r="18" spans="1:7" s="223" customFormat="1" ht="15" customHeight="1">
      <c r="A18" s="204" t="s">
        <v>36</v>
      </c>
      <c r="B18" s="205">
        <v>3860774</v>
      </c>
      <c r="C18" s="212">
        <v>3691056</v>
      </c>
      <c r="D18" s="195">
        <f t="shared" si="0"/>
        <v>-169718</v>
      </c>
      <c r="E18" s="196">
        <f t="shared" si="1"/>
        <v>95.60404209104185</v>
      </c>
      <c r="F18" s="202">
        <v>0.48432243624557136</v>
      </c>
      <c r="G18" s="203">
        <f>C18*100/C36</f>
        <v>0.4492971025111221</v>
      </c>
    </row>
    <row r="19" spans="1:7" s="223" customFormat="1" ht="15" customHeight="1">
      <c r="A19" s="204" t="s">
        <v>37</v>
      </c>
      <c r="B19" s="205">
        <v>23161738</v>
      </c>
      <c r="C19" s="212">
        <v>20624073</v>
      </c>
      <c r="D19" s="195">
        <f t="shared" si="0"/>
        <v>-2537665</v>
      </c>
      <c r="E19" s="196">
        <f t="shared" si="1"/>
        <v>89.04371943072665</v>
      </c>
      <c r="F19" s="202">
        <v>2.9055700685514427</v>
      </c>
      <c r="G19" s="203">
        <f>C19*100/C36</f>
        <v>2.510483785907845</v>
      </c>
    </row>
    <row r="20" spans="1:7" s="223" customFormat="1" ht="15" customHeight="1">
      <c r="A20" s="204" t="s">
        <v>38</v>
      </c>
      <c r="B20" s="205">
        <v>4886323</v>
      </c>
      <c r="C20" s="212">
        <v>13348719</v>
      </c>
      <c r="D20" s="195">
        <f t="shared" si="0"/>
        <v>8462396</v>
      </c>
      <c r="E20" s="196">
        <f t="shared" si="1"/>
        <v>273.1853583973061</v>
      </c>
      <c r="F20" s="202">
        <v>0.6129744604690067</v>
      </c>
      <c r="G20" s="203">
        <f>C20*100/C36</f>
        <v>1.6248847941985067</v>
      </c>
    </row>
    <row r="21" spans="1:7" s="223" customFormat="1" ht="15" customHeight="1">
      <c r="A21" s="204" t="s">
        <v>39</v>
      </c>
      <c r="B21" s="205">
        <v>1626803</v>
      </c>
      <c r="C21" s="212">
        <v>344984</v>
      </c>
      <c r="D21" s="195">
        <f t="shared" si="0"/>
        <v>-1281819</v>
      </c>
      <c r="E21" s="196">
        <f t="shared" si="1"/>
        <v>21.20625545932728</v>
      </c>
      <c r="F21" s="202">
        <v>0.20407752234438076</v>
      </c>
      <c r="G21" s="203">
        <f>C21*100/C36</f>
        <v>0.041993486853815536</v>
      </c>
    </row>
    <row r="22" spans="1:7" s="223" customFormat="1" ht="18.75" customHeight="1">
      <c r="A22" s="192" t="s">
        <v>40</v>
      </c>
      <c r="B22" s="193">
        <v>129077427</v>
      </c>
      <c r="C22" s="211">
        <v>127638995</v>
      </c>
      <c r="D22" s="195">
        <f t="shared" si="0"/>
        <v>-1438432</v>
      </c>
      <c r="E22" s="196">
        <f t="shared" si="1"/>
        <v>98.88560530417143</v>
      </c>
      <c r="F22" s="202">
        <v>16.192373319171207</v>
      </c>
      <c r="G22" s="203">
        <f>C22*100/C36</f>
        <v>15.536971159725455</v>
      </c>
    </row>
    <row r="23" spans="1:7" s="223" customFormat="1" ht="18.75" customHeight="1">
      <c r="A23" s="204" t="s">
        <v>41</v>
      </c>
      <c r="B23" s="205">
        <v>282068</v>
      </c>
      <c r="C23" s="212">
        <v>292206</v>
      </c>
      <c r="D23" s="195">
        <f t="shared" si="0"/>
        <v>10138</v>
      </c>
      <c r="E23" s="196">
        <f t="shared" si="1"/>
        <v>103.59416878199583</v>
      </c>
      <c r="F23" s="202">
        <v>0.03538457857075183</v>
      </c>
      <c r="G23" s="203">
        <f>C23*100/C36</f>
        <v>0.03556903746146494</v>
      </c>
    </row>
    <row r="24" spans="1:7" s="223" customFormat="1" ht="18.75" customHeight="1">
      <c r="A24" s="204" t="s">
        <v>42</v>
      </c>
      <c r="B24" s="205">
        <v>1331601</v>
      </c>
      <c r="C24" s="212">
        <v>1030440</v>
      </c>
      <c r="D24" s="195">
        <f t="shared" si="0"/>
        <v>-301161</v>
      </c>
      <c r="E24" s="196">
        <f t="shared" si="1"/>
        <v>77.38354056507917</v>
      </c>
      <c r="F24" s="202">
        <v>0.16704532314687134</v>
      </c>
      <c r="G24" s="203">
        <f>C24*100/C36</f>
        <v>0.1254312333141412</v>
      </c>
    </row>
    <row r="25" spans="1:7" s="223" customFormat="1" ht="18.75" customHeight="1">
      <c r="A25" s="213" t="s">
        <v>43</v>
      </c>
      <c r="B25" s="205">
        <v>159239</v>
      </c>
      <c r="C25" s="212">
        <v>178774</v>
      </c>
      <c r="D25" s="195">
        <f t="shared" si="0"/>
        <v>19535</v>
      </c>
      <c r="E25" s="196">
        <f t="shared" si="1"/>
        <v>112.26772335922732</v>
      </c>
      <c r="F25" s="202">
        <v>0.019976051544407555</v>
      </c>
      <c r="G25" s="203">
        <f>C25*100/C36</f>
        <v>0.021761425511919445</v>
      </c>
    </row>
    <row r="26" spans="1:7" s="223" customFormat="1" ht="18.75" customHeight="1">
      <c r="A26" s="204" t="s">
        <v>44</v>
      </c>
      <c r="B26" s="205">
        <v>1721426</v>
      </c>
      <c r="C26" s="212">
        <v>1357624</v>
      </c>
      <c r="D26" s="195">
        <f t="shared" si="0"/>
        <v>-363802</v>
      </c>
      <c r="E26" s="196">
        <f t="shared" si="1"/>
        <v>78.86624228982251</v>
      </c>
      <c r="F26" s="202">
        <v>0.2159476918712333</v>
      </c>
      <c r="G26" s="203">
        <f>C26*100/C36</f>
        <v>0.16525799920119327</v>
      </c>
    </row>
    <row r="27" spans="1:7" s="223" customFormat="1" ht="18.75" customHeight="1" thickBot="1">
      <c r="A27" s="214" t="s">
        <v>45</v>
      </c>
      <c r="B27" s="215">
        <v>350710</v>
      </c>
      <c r="C27" s="216">
        <v>389336</v>
      </c>
      <c r="D27" s="207">
        <f t="shared" si="0"/>
        <v>38626</v>
      </c>
      <c r="E27" s="209">
        <f t="shared" si="1"/>
        <v>111.01365800804084</v>
      </c>
      <c r="F27" s="209">
        <v>0.04399551012716215</v>
      </c>
      <c r="G27" s="210">
        <f>C27*100/C36</f>
        <v>0.047392273837966764</v>
      </c>
    </row>
    <row r="28" spans="1:7" ht="18.75" customHeight="1" thickBot="1" thickTop="1">
      <c r="A28" s="186" t="s">
        <v>46</v>
      </c>
      <c r="B28" s="187">
        <f>B29+B30</f>
        <v>1008748</v>
      </c>
      <c r="C28" s="188">
        <f>C29+C30</f>
        <v>1305757</v>
      </c>
      <c r="D28" s="189">
        <f t="shared" si="0"/>
        <v>297009</v>
      </c>
      <c r="E28" s="190">
        <f t="shared" si="1"/>
        <v>129.4433297513353</v>
      </c>
      <c r="F28" s="190">
        <v>0.12654438952340843</v>
      </c>
      <c r="G28" s="191">
        <f>C28*100/C36</f>
        <v>0.15894444210101805</v>
      </c>
    </row>
    <row r="29" spans="1:7" s="223" customFormat="1" ht="15" customHeight="1" thickTop="1">
      <c r="A29" s="217" t="s">
        <v>47</v>
      </c>
      <c r="B29" s="193">
        <v>768545</v>
      </c>
      <c r="C29" s="211">
        <v>764156</v>
      </c>
      <c r="D29" s="195">
        <f t="shared" si="0"/>
        <v>-4389</v>
      </c>
      <c r="E29" s="197">
        <f t="shared" si="1"/>
        <v>99.42892088296716</v>
      </c>
      <c r="F29" s="197">
        <v>0.0964116487430636</v>
      </c>
      <c r="G29" s="198">
        <f>C29*100/C36</f>
        <v>0.09301757455494825</v>
      </c>
    </row>
    <row r="30" spans="1:7" s="223" customFormat="1" ht="15" customHeight="1">
      <c r="A30" s="213" t="s">
        <v>48</v>
      </c>
      <c r="B30" s="205">
        <v>240203</v>
      </c>
      <c r="C30" s="212">
        <v>541601</v>
      </c>
      <c r="D30" s="195">
        <f t="shared" si="0"/>
        <v>301398</v>
      </c>
      <c r="E30" s="197">
        <f t="shared" si="1"/>
        <v>225.47636790547995</v>
      </c>
      <c r="F30" s="202">
        <v>0.030132740780344818</v>
      </c>
      <c r="G30" s="203">
        <f>C30*100/C36</f>
        <v>0.06592686754606981</v>
      </c>
    </row>
    <row r="31" spans="1:7" s="223" customFormat="1" ht="18.75" customHeight="1" thickBot="1">
      <c r="A31" s="199" t="s">
        <v>49</v>
      </c>
      <c r="B31" s="200">
        <v>36168967</v>
      </c>
      <c r="C31" s="218">
        <v>63021411</v>
      </c>
      <c r="D31" s="207">
        <f t="shared" si="0"/>
        <v>26852444</v>
      </c>
      <c r="E31" s="219">
        <f t="shared" si="1"/>
        <v>174.24166689637556</v>
      </c>
      <c r="F31" s="219">
        <v>4.537287656290079</v>
      </c>
      <c r="G31" s="198">
        <f>C31*100/C36</f>
        <v>7.671337784759309</v>
      </c>
    </row>
    <row r="32" spans="1:7" ht="20.25" customHeight="1" thickBot="1" thickTop="1">
      <c r="A32" s="5" t="s">
        <v>50</v>
      </c>
      <c r="B32" s="6">
        <f>B5+B14+B22+B23+B24+B25+B26+B27+B28+B31</f>
        <v>595957301</v>
      </c>
      <c r="C32" s="7">
        <f>C5+C14+C22+C23+C24+C25+C26+C27+C28+C31</f>
        <v>612544693</v>
      </c>
      <c r="D32" s="8">
        <f>C32-B32</f>
        <v>16587392</v>
      </c>
      <c r="E32" s="9">
        <f t="shared" si="1"/>
        <v>102.78331886733609</v>
      </c>
      <c r="F32" s="9">
        <v>74.76104323087942</v>
      </c>
      <c r="G32" s="10">
        <f>C32*100/C36</f>
        <v>74.56255221363881</v>
      </c>
    </row>
    <row r="33" spans="1:7" s="223" customFormat="1" ht="18.75" customHeight="1" thickTop="1">
      <c r="A33" s="192" t="s">
        <v>51</v>
      </c>
      <c r="B33" s="193">
        <v>285631</v>
      </c>
      <c r="C33" s="195">
        <v>561735</v>
      </c>
      <c r="D33" s="220">
        <f>C33-B33</f>
        <v>276104</v>
      </c>
      <c r="E33" s="197">
        <f t="shared" si="1"/>
        <v>196.66457772440666</v>
      </c>
      <c r="F33" s="197">
        <v>0.03583154615816901</v>
      </c>
      <c r="G33" s="221">
        <f>C33*100/C36</f>
        <v>0.06837769675645268</v>
      </c>
    </row>
    <row r="34" spans="1:7" s="223" customFormat="1" ht="18.75" customHeight="1">
      <c r="A34" s="204" t="s">
        <v>52</v>
      </c>
      <c r="B34" s="205">
        <v>36285547</v>
      </c>
      <c r="C34" s="195">
        <v>24354999</v>
      </c>
      <c r="D34" s="220">
        <f>C34-B34</f>
        <v>-11930548</v>
      </c>
      <c r="E34" s="197">
        <f t="shared" si="1"/>
        <v>67.12038542508398</v>
      </c>
      <c r="F34" s="197">
        <v>4.5519122651424775</v>
      </c>
      <c r="G34" s="203">
        <f>C34*100/C36</f>
        <v>2.9646340999327228</v>
      </c>
    </row>
    <row r="35" spans="1:7" s="223" customFormat="1" ht="18.75" customHeight="1" thickBot="1">
      <c r="A35" s="199" t="s">
        <v>53</v>
      </c>
      <c r="B35" s="200">
        <v>164621046</v>
      </c>
      <c r="C35" s="207">
        <v>184056446</v>
      </c>
      <c r="D35" s="222">
        <f>C35-B35</f>
        <v>19435400</v>
      </c>
      <c r="E35" s="219">
        <f t="shared" si="1"/>
        <v>111.80614536977247</v>
      </c>
      <c r="F35" s="219">
        <v>20.651212957819926</v>
      </c>
      <c r="G35" s="198">
        <f>C35*100/C36</f>
        <v>22.40443598967201</v>
      </c>
    </row>
    <row r="36" spans="1:7" ht="20.25" customHeight="1" thickBot="1" thickTop="1">
      <c r="A36" s="5" t="s">
        <v>54</v>
      </c>
      <c r="B36" s="6">
        <f>B32+B33+B34+B35</f>
        <v>797149525</v>
      </c>
      <c r="C36" s="7">
        <f>C32+C33+C34+C35</f>
        <v>821517873</v>
      </c>
      <c r="D36" s="8">
        <f>C36-B36</f>
        <v>24368348</v>
      </c>
      <c r="E36" s="9">
        <f t="shared" si="1"/>
        <v>103.05693564830263</v>
      </c>
      <c r="F36" s="9">
        <v>100</v>
      </c>
      <c r="G36" s="11">
        <f>G32+G33+G34+G35</f>
        <v>100</v>
      </c>
    </row>
    <row r="37" ht="13.5" thickTop="1"/>
  </sheetData>
  <mergeCells count="5">
    <mergeCell ref="F3:G3"/>
    <mergeCell ref="A3:A4"/>
    <mergeCell ref="B3:C3"/>
    <mergeCell ref="D3:D4"/>
    <mergeCell ref="E3:E4"/>
  </mergeCells>
  <printOptions horizontalCentered="1"/>
  <pageMargins left="0.15748031496062992" right="0.31496062992125984" top="0.5511811023622047" bottom="0.2362204724409449" header="0.2755905511811024" footer="0.35433070866141736"/>
  <pageSetup firstPageNumber="72" useFirstPageNumber="1" horizontalDpi="600" verticalDpi="600" orientation="landscape" paperSize="9" scale="8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C1">
      <selection activeCell="D16" sqref="D16"/>
    </sheetView>
  </sheetViews>
  <sheetFormatPr defaultColWidth="9.00390625" defaultRowHeight="12.75"/>
  <cols>
    <col min="1" max="1" width="58.75390625" style="161" customWidth="1"/>
    <col min="2" max="2" width="12.25390625" style="161" customWidth="1"/>
    <col min="3" max="3" width="13.375" style="161" customWidth="1"/>
    <col min="4" max="4" width="18.75390625" style="161" customWidth="1"/>
    <col min="5" max="6" width="19.00390625" style="161" customWidth="1"/>
    <col min="7" max="7" width="15.75390625" style="161" customWidth="1"/>
    <col min="8" max="16384" width="9.125" style="161" customWidth="1"/>
  </cols>
  <sheetData>
    <row r="1" spans="1:7" ht="20.25">
      <c r="A1" s="119" t="s">
        <v>77</v>
      </c>
      <c r="G1" s="156" t="s">
        <v>78</v>
      </c>
    </row>
    <row r="2" spans="1:7" s="224" customFormat="1" ht="15.75" customHeight="1" thickBot="1">
      <c r="A2" s="119"/>
      <c r="G2" s="156"/>
    </row>
    <row r="3" spans="1:7" ht="13.5" thickTop="1">
      <c r="A3" s="443" t="s">
        <v>16</v>
      </c>
      <c r="B3" s="450" t="s">
        <v>55</v>
      </c>
      <c r="C3" s="351"/>
      <c r="D3" s="14" t="s">
        <v>56</v>
      </c>
      <c r="E3" s="14" t="s">
        <v>57</v>
      </c>
      <c r="F3" s="14" t="s">
        <v>58</v>
      </c>
      <c r="G3" s="352" t="s">
        <v>59</v>
      </c>
    </row>
    <row r="4" spans="1:7" ht="13.5" thickBot="1">
      <c r="A4" s="449"/>
      <c r="B4" s="15" t="s">
        <v>60</v>
      </c>
      <c r="C4" s="16" t="s">
        <v>61</v>
      </c>
      <c r="D4" s="17" t="s">
        <v>62</v>
      </c>
      <c r="E4" s="17" t="s">
        <v>62</v>
      </c>
      <c r="F4" s="17" t="s">
        <v>62</v>
      </c>
      <c r="G4" s="353"/>
    </row>
    <row r="5" spans="1:7" ht="16.5" customHeight="1" thickBot="1" thickTop="1">
      <c r="A5" s="244" t="s">
        <v>63</v>
      </c>
      <c r="B5" s="18" t="s">
        <v>64</v>
      </c>
      <c r="C5" s="19">
        <f>SUM(C6:C13)</f>
        <v>2201.6000000000004</v>
      </c>
      <c r="D5" s="7">
        <f>SUM(D6:D13)</f>
        <v>299725031</v>
      </c>
      <c r="E5" s="7">
        <f>SUM(E6:E13)</f>
        <v>0</v>
      </c>
      <c r="F5" s="7">
        <f>D5-E5</f>
        <v>299725031</v>
      </c>
      <c r="G5" s="11">
        <f>SUM(G6:G13)</f>
        <v>36.484298254579784</v>
      </c>
    </row>
    <row r="6" spans="1:7" s="223" customFormat="1" ht="15.75" customHeight="1" thickTop="1">
      <c r="A6" s="217" t="s">
        <v>24</v>
      </c>
      <c r="B6" s="227" t="s">
        <v>64</v>
      </c>
      <c r="C6" s="245">
        <v>437</v>
      </c>
      <c r="D6" s="195">
        <v>25040100</v>
      </c>
      <c r="E6" s="195">
        <v>0</v>
      </c>
      <c r="F6" s="194">
        <f aca="true" t="shared" si="0" ref="F6:F13">D6-E6</f>
        <v>25040100</v>
      </c>
      <c r="G6" s="228">
        <f>F6*100/$F$36</f>
        <v>3.0480286336996105</v>
      </c>
    </row>
    <row r="7" spans="1:7" s="223" customFormat="1" ht="15.75" customHeight="1">
      <c r="A7" s="213" t="s">
        <v>65</v>
      </c>
      <c r="B7" s="229" t="s">
        <v>64</v>
      </c>
      <c r="C7" s="246">
        <v>479.7</v>
      </c>
      <c r="D7" s="105">
        <v>32532664</v>
      </c>
      <c r="E7" s="105">
        <v>0</v>
      </c>
      <c r="F7" s="201">
        <f t="shared" si="0"/>
        <v>32532664</v>
      </c>
      <c r="G7" s="228">
        <f aca="true" t="shared" si="1" ref="G7:G21">F7*100/$F$36</f>
        <v>3.960067707498313</v>
      </c>
    </row>
    <row r="8" spans="1:7" s="223" customFormat="1" ht="15.75" customHeight="1">
      <c r="A8" s="213" t="s">
        <v>26</v>
      </c>
      <c r="B8" s="229" t="s">
        <v>64</v>
      </c>
      <c r="C8" s="247">
        <v>108</v>
      </c>
      <c r="D8" s="105">
        <v>12376800</v>
      </c>
      <c r="E8" s="105">
        <v>0</v>
      </c>
      <c r="F8" s="201">
        <f t="shared" si="0"/>
        <v>12376800</v>
      </c>
      <c r="G8" s="228">
        <f t="shared" si="1"/>
        <v>1.5065770821032398</v>
      </c>
    </row>
    <row r="9" spans="1:7" s="223" customFormat="1" ht="15.75" customHeight="1">
      <c r="A9" s="213" t="s">
        <v>27</v>
      </c>
      <c r="B9" s="229" t="s">
        <v>64</v>
      </c>
      <c r="C9" s="246">
        <v>95.7</v>
      </c>
      <c r="D9" s="105">
        <v>10922614</v>
      </c>
      <c r="E9" s="105">
        <v>0</v>
      </c>
      <c r="F9" s="201">
        <f t="shared" si="0"/>
        <v>10922614</v>
      </c>
      <c r="G9" s="228">
        <f t="shared" si="1"/>
        <v>1.329564986835046</v>
      </c>
    </row>
    <row r="10" spans="1:7" s="223" customFormat="1" ht="15.75" customHeight="1">
      <c r="A10" s="213" t="s">
        <v>28</v>
      </c>
      <c r="B10" s="229" t="s">
        <v>64</v>
      </c>
      <c r="C10" s="247">
        <v>223.5</v>
      </c>
      <c r="D10" s="105">
        <v>35943270</v>
      </c>
      <c r="E10" s="105">
        <v>0</v>
      </c>
      <c r="F10" s="201">
        <f t="shared" si="0"/>
        <v>35943270</v>
      </c>
      <c r="G10" s="228">
        <f t="shared" si="1"/>
        <v>4.375226782193209</v>
      </c>
    </row>
    <row r="11" spans="1:7" s="223" customFormat="1" ht="15.75" customHeight="1">
      <c r="A11" s="213" t="s">
        <v>29</v>
      </c>
      <c r="B11" s="229" t="s">
        <v>64</v>
      </c>
      <c r="C11" s="246">
        <v>781.9</v>
      </c>
      <c r="D11" s="105">
        <v>174248526</v>
      </c>
      <c r="E11" s="105">
        <v>0</v>
      </c>
      <c r="F11" s="201">
        <f t="shared" si="0"/>
        <v>174248526</v>
      </c>
      <c r="G11" s="228">
        <f t="shared" si="1"/>
        <v>21.210558129877718</v>
      </c>
    </row>
    <row r="12" spans="1:7" s="223" customFormat="1" ht="15.75" customHeight="1">
      <c r="A12" s="213" t="s">
        <v>30</v>
      </c>
      <c r="B12" s="229" t="s">
        <v>64</v>
      </c>
      <c r="C12" s="247">
        <v>27</v>
      </c>
      <c r="D12" s="105">
        <v>3094200</v>
      </c>
      <c r="E12" s="105">
        <v>0</v>
      </c>
      <c r="F12" s="201">
        <f t="shared" si="0"/>
        <v>3094200</v>
      </c>
      <c r="G12" s="228">
        <f t="shared" si="1"/>
        <v>0.37664427052580995</v>
      </c>
    </row>
    <row r="13" spans="1:7" s="223" customFormat="1" ht="15.75" customHeight="1" thickBot="1">
      <c r="A13" s="248" t="s">
        <v>31</v>
      </c>
      <c r="B13" s="230" t="s">
        <v>64</v>
      </c>
      <c r="C13" s="246">
        <v>48.8</v>
      </c>
      <c r="D13" s="231">
        <v>5566857</v>
      </c>
      <c r="E13" s="231">
        <v>0</v>
      </c>
      <c r="F13" s="206">
        <f t="shared" si="0"/>
        <v>5566857</v>
      </c>
      <c r="G13" s="232">
        <f t="shared" si="1"/>
        <v>0.6776306618468422</v>
      </c>
    </row>
    <row r="14" spans="1:7" s="249" customFormat="1" ht="17.25" thickBot="1" thickTop="1">
      <c r="A14" s="225" t="s">
        <v>32</v>
      </c>
      <c r="B14" s="126">
        <f>SUM(B15:B21)</f>
        <v>7299</v>
      </c>
      <c r="C14" s="226" t="s">
        <v>64</v>
      </c>
      <c r="D14" s="7">
        <f>SUM(D15:D21)</f>
        <v>231742224</v>
      </c>
      <c r="E14" s="7">
        <f>SUM(E15:E21)</f>
        <v>114137105</v>
      </c>
      <c r="F14" s="7">
        <f>D14-E14</f>
        <v>117605119</v>
      </c>
      <c r="G14" s="11">
        <f t="shared" si="1"/>
        <v>14.315588603146557</v>
      </c>
    </row>
    <row r="15" spans="1:7" s="223" customFormat="1" ht="15.75" thickTop="1">
      <c r="A15" s="192" t="s">
        <v>33</v>
      </c>
      <c r="B15" s="233">
        <v>6391</v>
      </c>
      <c r="C15" s="195" t="s">
        <v>64</v>
      </c>
      <c r="D15" s="195">
        <v>108927223</v>
      </c>
      <c r="E15" s="195">
        <v>65342107</v>
      </c>
      <c r="F15" s="234">
        <f aca="true" t="shared" si="2" ref="F15:F35">D15-E15</f>
        <v>43585116</v>
      </c>
      <c r="G15" s="235">
        <f t="shared" si="1"/>
        <v>5.305437341349237</v>
      </c>
    </row>
    <row r="16" spans="1:7" s="223" customFormat="1" ht="15">
      <c r="A16" s="204" t="s">
        <v>66</v>
      </c>
      <c r="B16" s="236">
        <v>803</v>
      </c>
      <c r="C16" s="105" t="s">
        <v>64</v>
      </c>
      <c r="D16" s="105">
        <v>17258229</v>
      </c>
      <c r="E16" s="105">
        <v>10066109</v>
      </c>
      <c r="F16" s="201">
        <f t="shared" si="2"/>
        <v>7192120</v>
      </c>
      <c r="G16" s="228">
        <f t="shared" si="1"/>
        <v>0.8754672583976758</v>
      </c>
    </row>
    <row r="17" spans="1:7" s="223" customFormat="1" ht="15">
      <c r="A17" s="204" t="s">
        <v>35</v>
      </c>
      <c r="B17" s="236">
        <v>46</v>
      </c>
      <c r="C17" s="105" t="s">
        <v>64</v>
      </c>
      <c r="D17" s="105">
        <v>53022198</v>
      </c>
      <c r="E17" s="105">
        <v>24203147</v>
      </c>
      <c r="F17" s="201">
        <f t="shared" si="2"/>
        <v>28819051</v>
      </c>
      <c r="G17" s="228">
        <f t="shared" si="1"/>
        <v>3.5080248339283546</v>
      </c>
    </row>
    <row r="18" spans="1:7" s="223" customFormat="1" ht="15">
      <c r="A18" s="204" t="s">
        <v>36</v>
      </c>
      <c r="B18" s="236">
        <v>17</v>
      </c>
      <c r="C18" s="105" t="s">
        <v>64</v>
      </c>
      <c r="D18" s="105">
        <v>9722638</v>
      </c>
      <c r="E18" s="105">
        <v>6031582</v>
      </c>
      <c r="F18" s="201">
        <f t="shared" si="2"/>
        <v>3691056</v>
      </c>
      <c r="G18" s="228">
        <f t="shared" si="1"/>
        <v>0.4492971025111221</v>
      </c>
    </row>
    <row r="19" spans="1:7" s="223" customFormat="1" ht="15">
      <c r="A19" s="204" t="s">
        <v>37</v>
      </c>
      <c r="B19" s="236">
        <v>11</v>
      </c>
      <c r="C19" s="105" t="s">
        <v>64</v>
      </c>
      <c r="D19" s="220">
        <f>41903543-16977525</f>
        <v>24926018</v>
      </c>
      <c r="E19" s="220">
        <f>7930751-3628806</f>
        <v>4301945</v>
      </c>
      <c r="F19" s="201">
        <f t="shared" si="2"/>
        <v>20624073</v>
      </c>
      <c r="G19" s="228">
        <f t="shared" si="1"/>
        <v>2.510483785907845</v>
      </c>
    </row>
    <row r="20" spans="1:7" s="223" customFormat="1" ht="15">
      <c r="A20" s="204" t="s">
        <v>38</v>
      </c>
      <c r="B20" s="236">
        <v>27</v>
      </c>
      <c r="C20" s="105" t="s">
        <v>64</v>
      </c>
      <c r="D20" s="237">
        <v>16977525</v>
      </c>
      <c r="E20" s="237">
        <v>3628806</v>
      </c>
      <c r="F20" s="201">
        <f t="shared" si="2"/>
        <v>13348719</v>
      </c>
      <c r="G20" s="228">
        <f t="shared" si="1"/>
        <v>1.6248847941985067</v>
      </c>
    </row>
    <row r="21" spans="1:7" s="223" customFormat="1" ht="15">
      <c r="A21" s="204" t="s">
        <v>39</v>
      </c>
      <c r="B21" s="236">
        <v>4</v>
      </c>
      <c r="C21" s="105" t="s">
        <v>64</v>
      </c>
      <c r="D21" s="105">
        <v>908393</v>
      </c>
      <c r="E21" s="105">
        <v>563409</v>
      </c>
      <c r="F21" s="201">
        <f t="shared" si="2"/>
        <v>344984</v>
      </c>
      <c r="G21" s="228">
        <f t="shared" si="1"/>
        <v>0.041993486853815536</v>
      </c>
    </row>
    <row r="22" spans="1:7" s="223" customFormat="1" ht="15">
      <c r="A22" s="192" t="s">
        <v>40</v>
      </c>
      <c r="B22" s="238" t="s">
        <v>64</v>
      </c>
      <c r="C22" s="220" t="s">
        <v>64</v>
      </c>
      <c r="D22" s="220">
        <v>164883565</v>
      </c>
      <c r="E22" s="220">
        <v>37244570</v>
      </c>
      <c r="F22" s="195">
        <f t="shared" si="2"/>
        <v>127638995</v>
      </c>
      <c r="G22" s="198">
        <f>F22*100/F36</f>
        <v>15.536971159725455</v>
      </c>
    </row>
    <row r="23" spans="1:7" s="223" customFormat="1" ht="15">
      <c r="A23" s="204" t="s">
        <v>67</v>
      </c>
      <c r="B23" s="238">
        <v>24</v>
      </c>
      <c r="C23" s="237" t="s">
        <v>64</v>
      </c>
      <c r="D23" s="237">
        <v>660111</v>
      </c>
      <c r="E23" s="237">
        <v>367905</v>
      </c>
      <c r="F23" s="195">
        <f t="shared" si="2"/>
        <v>292206</v>
      </c>
      <c r="G23" s="203">
        <f>F23*100/F36</f>
        <v>0.03556903746146494</v>
      </c>
    </row>
    <row r="24" spans="1:7" s="223" customFormat="1" ht="18" customHeight="1">
      <c r="A24" s="204" t="s">
        <v>68</v>
      </c>
      <c r="B24" s="238">
        <v>1374</v>
      </c>
      <c r="C24" s="237" t="s">
        <v>64</v>
      </c>
      <c r="D24" s="237">
        <v>7948130</v>
      </c>
      <c r="E24" s="237">
        <v>6917690</v>
      </c>
      <c r="F24" s="195">
        <f t="shared" si="2"/>
        <v>1030440</v>
      </c>
      <c r="G24" s="203">
        <f>F24*100/F36</f>
        <v>0.1254312333141412</v>
      </c>
    </row>
    <row r="25" spans="1:7" s="223" customFormat="1" ht="15">
      <c r="A25" s="213" t="s">
        <v>69</v>
      </c>
      <c r="B25" s="238">
        <v>77</v>
      </c>
      <c r="C25" s="237" t="s">
        <v>64</v>
      </c>
      <c r="D25" s="237">
        <v>466273</v>
      </c>
      <c r="E25" s="237">
        <v>287499</v>
      </c>
      <c r="F25" s="195">
        <f t="shared" si="2"/>
        <v>178774</v>
      </c>
      <c r="G25" s="203">
        <f>F25*100/F36</f>
        <v>0.021761425511919445</v>
      </c>
    </row>
    <row r="26" spans="1:7" s="223" customFormat="1" ht="15">
      <c r="A26" s="204" t="s">
        <v>70</v>
      </c>
      <c r="B26" s="238">
        <v>187</v>
      </c>
      <c r="C26" s="237" t="s">
        <v>64</v>
      </c>
      <c r="D26" s="237">
        <v>5169793</v>
      </c>
      <c r="E26" s="237">
        <v>3812169</v>
      </c>
      <c r="F26" s="195">
        <f t="shared" si="2"/>
        <v>1357624</v>
      </c>
      <c r="G26" s="203">
        <f>F26*100/F36</f>
        <v>0.16525799920119327</v>
      </c>
    </row>
    <row r="27" spans="1:7" s="223" customFormat="1" ht="15">
      <c r="A27" s="204" t="s">
        <v>71</v>
      </c>
      <c r="B27" s="238">
        <v>34</v>
      </c>
      <c r="C27" s="237" t="s">
        <v>64</v>
      </c>
      <c r="D27" s="237">
        <v>1564094</v>
      </c>
      <c r="E27" s="105">
        <v>1174758</v>
      </c>
      <c r="F27" s="195">
        <f t="shared" si="2"/>
        <v>389336</v>
      </c>
      <c r="G27" s="203">
        <f>F27*100/F36</f>
        <v>0.047392273837966764</v>
      </c>
    </row>
    <row r="28" spans="1:7" ht="15.75">
      <c r="A28" s="80" t="s">
        <v>72</v>
      </c>
      <c r="B28" s="82" t="s">
        <v>64</v>
      </c>
      <c r="C28" s="82" t="s">
        <v>64</v>
      </c>
      <c r="D28" s="82">
        <f>SUM(D29:D30)</f>
        <v>15883936</v>
      </c>
      <c r="E28" s="82">
        <f>SUM(E29:E30)</f>
        <v>14578179</v>
      </c>
      <c r="F28" s="83">
        <f t="shared" si="2"/>
        <v>1305757</v>
      </c>
      <c r="G28" s="84">
        <f>F28*100/F36</f>
        <v>0.15894444210101805</v>
      </c>
    </row>
    <row r="29" spans="1:7" s="223" customFormat="1" ht="15">
      <c r="A29" s="213" t="s">
        <v>47</v>
      </c>
      <c r="B29" s="237" t="s">
        <v>64</v>
      </c>
      <c r="C29" s="237" t="s">
        <v>64</v>
      </c>
      <c r="D29" s="237">
        <v>2957484</v>
      </c>
      <c r="E29" s="105">
        <v>2193328</v>
      </c>
      <c r="F29" s="195">
        <f t="shared" si="2"/>
        <v>764156</v>
      </c>
      <c r="G29" s="239">
        <f>F29*100/F36</f>
        <v>0.09301757455494825</v>
      </c>
    </row>
    <row r="30" spans="1:7" s="223" customFormat="1" ht="15">
      <c r="A30" s="213" t="s">
        <v>48</v>
      </c>
      <c r="B30" s="237" t="s">
        <v>64</v>
      </c>
      <c r="C30" s="237" t="s">
        <v>64</v>
      </c>
      <c r="D30" s="237">
        <v>12926452</v>
      </c>
      <c r="E30" s="105">
        <v>12384851</v>
      </c>
      <c r="F30" s="195">
        <f t="shared" si="2"/>
        <v>541601</v>
      </c>
      <c r="G30" s="239">
        <f>F30*100/F36</f>
        <v>0.06592686754606981</v>
      </c>
    </row>
    <row r="31" spans="1:7" s="223" customFormat="1" ht="15.75" thickBot="1">
      <c r="A31" s="199" t="s">
        <v>73</v>
      </c>
      <c r="B31" s="237" t="s">
        <v>64</v>
      </c>
      <c r="C31" s="240" t="s">
        <v>64</v>
      </c>
      <c r="D31" s="222">
        <v>63021411</v>
      </c>
      <c r="E31" s="207">
        <v>0</v>
      </c>
      <c r="F31" s="207">
        <f t="shared" si="2"/>
        <v>63021411</v>
      </c>
      <c r="G31" s="241">
        <f>F31*100/F36</f>
        <v>7.671337784759309</v>
      </c>
    </row>
    <row r="32" spans="1:7" ht="16.5" customHeight="1" thickBot="1" thickTop="1">
      <c r="A32" s="5" t="s">
        <v>50</v>
      </c>
      <c r="B32" s="85">
        <f>B14+B23+B24+B25+B26+B27</f>
        <v>8995</v>
      </c>
      <c r="C32" s="86">
        <f>SUM(C6:C13)</f>
        <v>2201.6000000000004</v>
      </c>
      <c r="D32" s="8">
        <f>SUM(D15:D27,D29:D31)+D5</f>
        <v>791064568</v>
      </c>
      <c r="E32" s="8">
        <f>SUM(E15:E27,E29:E31)+E5</f>
        <v>178519875</v>
      </c>
      <c r="F32" s="7">
        <f>D32-E32</f>
        <v>612544693</v>
      </c>
      <c r="G32" s="87">
        <f>F32*100/F36</f>
        <v>74.56255221363881</v>
      </c>
    </row>
    <row r="33" spans="1:7" s="223" customFormat="1" ht="15.75" thickTop="1">
      <c r="A33" s="192" t="s">
        <v>74</v>
      </c>
      <c r="B33" s="237" t="s">
        <v>64</v>
      </c>
      <c r="C33" s="227" t="s">
        <v>64</v>
      </c>
      <c r="D33" s="220">
        <v>3375131</v>
      </c>
      <c r="E33" s="195">
        <v>2813396</v>
      </c>
      <c r="F33" s="195">
        <f t="shared" si="2"/>
        <v>561735</v>
      </c>
      <c r="G33" s="221">
        <f>F33*100/F36</f>
        <v>0.06837769675645268</v>
      </c>
    </row>
    <row r="34" spans="1:7" s="223" customFormat="1" ht="15">
      <c r="A34" s="204" t="s">
        <v>75</v>
      </c>
      <c r="B34" s="237" t="s">
        <v>64</v>
      </c>
      <c r="C34" s="227" t="s">
        <v>64</v>
      </c>
      <c r="D34" s="237">
        <v>24354999</v>
      </c>
      <c r="E34" s="105">
        <v>0</v>
      </c>
      <c r="F34" s="195">
        <f t="shared" si="2"/>
        <v>24354999</v>
      </c>
      <c r="G34" s="198">
        <f>F34*100/F36</f>
        <v>2.9646340999327228</v>
      </c>
    </row>
    <row r="35" spans="1:7" s="223" customFormat="1" ht="15.75" thickBot="1">
      <c r="A35" s="199" t="s">
        <v>76</v>
      </c>
      <c r="B35" s="237" t="s">
        <v>64</v>
      </c>
      <c r="C35" s="242" t="s">
        <v>64</v>
      </c>
      <c r="D35" s="222">
        <v>184056446</v>
      </c>
      <c r="E35" s="243">
        <v>0</v>
      </c>
      <c r="F35" s="195">
        <f t="shared" si="2"/>
        <v>184056446</v>
      </c>
      <c r="G35" s="241">
        <f>F35*100/F36</f>
        <v>22.40443598967201</v>
      </c>
    </row>
    <row r="36" spans="1:7" ht="18.75" customHeight="1" thickBot="1" thickTop="1">
      <c r="A36" s="5" t="s">
        <v>54</v>
      </c>
      <c r="B36" s="18" t="s">
        <v>64</v>
      </c>
      <c r="C36" s="18" t="s">
        <v>64</v>
      </c>
      <c r="D36" s="8">
        <f>D32+D33+D34+D35</f>
        <v>1002851144</v>
      </c>
      <c r="E36" s="8">
        <f>E32+E33</f>
        <v>181333271</v>
      </c>
      <c r="F36" s="8">
        <f>F32+F33+F34+F35</f>
        <v>821517873</v>
      </c>
      <c r="G36" s="87">
        <f>G32+G33+G34+G35</f>
        <v>100</v>
      </c>
    </row>
    <row r="37" ht="13.5" thickTop="1"/>
  </sheetData>
  <mergeCells count="3">
    <mergeCell ref="A3:A4"/>
    <mergeCell ref="B3:C3"/>
    <mergeCell ref="G3:G4"/>
  </mergeCells>
  <printOptions horizontalCentered="1"/>
  <pageMargins left="0.15748031496062992" right="0.2755905511811024" top="0.6692913385826772" bottom="0.2755905511811024" header="0.3937007874015748" footer="0.15748031496062992"/>
  <pageSetup firstPageNumber="73" useFirstPageNumber="1" horizontalDpi="600" verticalDpi="600" orientation="landscape" paperSize="9" scale="90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9" sqref="C9"/>
    </sheetView>
  </sheetViews>
  <sheetFormatPr defaultColWidth="9.00390625" defaultRowHeight="12.75"/>
  <cols>
    <col min="1" max="1" width="42.375" style="161" customWidth="1"/>
    <col min="2" max="3" width="21.125" style="161" customWidth="1"/>
    <col min="4" max="4" width="21.25390625" style="161" customWidth="1"/>
    <col min="5" max="5" width="11.00390625" style="161" customWidth="1"/>
    <col min="6" max="6" width="15.75390625" style="161" customWidth="1"/>
    <col min="7" max="16384" width="9.125" style="161" customWidth="1"/>
  </cols>
  <sheetData>
    <row r="1" spans="1:6" ht="20.25">
      <c r="A1" s="119" t="s">
        <v>100</v>
      </c>
      <c r="F1" s="156" t="s">
        <v>169</v>
      </c>
    </row>
    <row r="2" spans="1:7" s="224" customFormat="1" ht="15" customHeight="1" thickBot="1">
      <c r="A2" s="119"/>
      <c r="F2" s="156"/>
      <c r="G2" s="156"/>
    </row>
    <row r="3" spans="1:6" ht="21" customHeight="1" thickBot="1" thickTop="1">
      <c r="A3" s="451" t="s">
        <v>80</v>
      </c>
      <c r="B3" s="453" t="s">
        <v>81</v>
      </c>
      <c r="C3" s="454"/>
      <c r="D3" s="447" t="s">
        <v>18</v>
      </c>
      <c r="E3" s="456" t="s">
        <v>19</v>
      </c>
      <c r="F3" s="342" t="s">
        <v>82</v>
      </c>
    </row>
    <row r="4" spans="1:6" ht="21.75" customHeight="1" thickBot="1" thickTop="1">
      <c r="A4" s="452"/>
      <c r="B4" s="30" t="s">
        <v>21</v>
      </c>
      <c r="C4" s="31" t="s">
        <v>22</v>
      </c>
      <c r="D4" s="455"/>
      <c r="E4" s="455"/>
      <c r="F4" s="343"/>
    </row>
    <row r="5" spans="1:6" ht="27.75" customHeight="1" thickBot="1" thickTop="1">
      <c r="A5" s="32" t="s">
        <v>83</v>
      </c>
      <c r="B5" s="275">
        <f>B6+B13+B18</f>
        <v>52330249</v>
      </c>
      <c r="C5" s="34">
        <f>C6+C13+C18</f>
        <v>85648075</v>
      </c>
      <c r="D5" s="35">
        <f aca="true" t="shared" si="0" ref="D5:D21">C5-B5</f>
        <v>33317826</v>
      </c>
      <c r="E5" s="35">
        <f aca="true" t="shared" si="1" ref="E5:E20">C5/B5*100</f>
        <v>163.66838804837332</v>
      </c>
      <c r="F5" s="36">
        <f>F6+F13+F18</f>
        <v>100</v>
      </c>
    </row>
    <row r="6" spans="1:6" ht="18" customHeight="1" thickBot="1" thickTop="1">
      <c r="A6" s="89" t="s">
        <v>84</v>
      </c>
      <c r="B6" s="90">
        <f>B7+B8+B9+B10+B12</f>
        <v>219453</v>
      </c>
      <c r="C6" s="91">
        <f>C7+C8+C9+C10+C12</f>
        <v>255043</v>
      </c>
      <c r="D6" s="92">
        <f t="shared" si="0"/>
        <v>35590</v>
      </c>
      <c r="E6" s="93">
        <f t="shared" si="1"/>
        <v>116.21759556716016</v>
      </c>
      <c r="F6" s="94">
        <f>C6*100/C5</f>
        <v>0.29778018945551316</v>
      </c>
    </row>
    <row r="7" spans="1:6" s="223" customFormat="1" ht="18" customHeight="1">
      <c r="A7" s="250" t="s">
        <v>85</v>
      </c>
      <c r="B7" s="251">
        <v>130614</v>
      </c>
      <c r="C7" s="101">
        <v>155337</v>
      </c>
      <c r="D7" s="252">
        <f t="shared" si="0"/>
        <v>24723</v>
      </c>
      <c r="E7" s="253">
        <f t="shared" si="1"/>
        <v>118.92829252606919</v>
      </c>
      <c r="F7" s="254">
        <f>C7*100/C5</f>
        <v>0.18136659814012165</v>
      </c>
    </row>
    <row r="8" spans="1:6" s="223" customFormat="1" ht="18" customHeight="1">
      <c r="A8" s="255" t="s">
        <v>86</v>
      </c>
      <c r="B8" s="256">
        <v>2522</v>
      </c>
      <c r="C8" s="103">
        <v>5544</v>
      </c>
      <c r="D8" s="103">
        <f t="shared" si="0"/>
        <v>3022</v>
      </c>
      <c r="E8" s="103">
        <f t="shared" si="1"/>
        <v>219.82553528945283</v>
      </c>
      <c r="F8" s="257">
        <f>C8*100/C5</f>
        <v>0.006473000122886591</v>
      </c>
    </row>
    <row r="9" spans="1:6" s="223" customFormat="1" ht="18" customHeight="1">
      <c r="A9" s="255" t="s">
        <v>87</v>
      </c>
      <c r="B9" s="256">
        <v>23509</v>
      </c>
      <c r="C9" s="103">
        <v>23534</v>
      </c>
      <c r="D9" s="101">
        <f t="shared" si="0"/>
        <v>25</v>
      </c>
      <c r="E9" s="103">
        <f t="shared" si="1"/>
        <v>100.10634225190354</v>
      </c>
      <c r="F9" s="258">
        <f>C9*100/C5</f>
        <v>0.027477558602455456</v>
      </c>
    </row>
    <row r="10" spans="1:6" s="223" customFormat="1" ht="18" customHeight="1">
      <c r="A10" s="255" t="s">
        <v>88</v>
      </c>
      <c r="B10" s="256">
        <v>60608</v>
      </c>
      <c r="C10" s="103">
        <v>67106</v>
      </c>
      <c r="D10" s="103">
        <f t="shared" si="0"/>
        <v>6498</v>
      </c>
      <c r="E10" s="103">
        <f t="shared" si="1"/>
        <v>110.72135691657867</v>
      </c>
      <c r="F10" s="257">
        <f>C10*100/C5</f>
        <v>0.07835085610505549</v>
      </c>
    </row>
    <row r="11" spans="1:6" s="223" customFormat="1" ht="18" customHeight="1">
      <c r="A11" s="255" t="s">
        <v>89</v>
      </c>
      <c r="B11" s="256">
        <v>35267</v>
      </c>
      <c r="C11" s="103">
        <v>25245</v>
      </c>
      <c r="D11" s="103">
        <f t="shared" si="0"/>
        <v>-10022</v>
      </c>
      <c r="E11" s="103">
        <f t="shared" si="1"/>
        <v>71.58249922023421</v>
      </c>
      <c r="F11" s="257">
        <f>C11*100/C5</f>
        <v>0.02947526841671573</v>
      </c>
    </row>
    <row r="12" spans="1:6" s="223" customFormat="1" ht="18" customHeight="1" thickBot="1">
      <c r="A12" s="259" t="s">
        <v>90</v>
      </c>
      <c r="B12" s="260">
        <v>2200</v>
      </c>
      <c r="C12" s="261">
        <v>3522</v>
      </c>
      <c r="D12" s="261">
        <f t="shared" si="0"/>
        <v>1322</v>
      </c>
      <c r="E12" s="262">
        <f t="shared" si="1"/>
        <v>160.0909090909091</v>
      </c>
      <c r="F12" s="263">
        <f>C12*100/C5</f>
        <v>0.004112176484993971</v>
      </c>
    </row>
    <row r="13" spans="1:6" ht="18.75" customHeight="1" thickBot="1">
      <c r="A13" s="95" t="s">
        <v>91</v>
      </c>
      <c r="B13" s="96">
        <f>B14+B15+B16+B17</f>
        <v>30368123</v>
      </c>
      <c r="C13" s="97">
        <f>C14+C15+C16+C17</f>
        <v>34680381</v>
      </c>
      <c r="D13" s="91">
        <f t="shared" si="0"/>
        <v>4312258</v>
      </c>
      <c r="E13" s="98">
        <f t="shared" si="1"/>
        <v>114.1999490715972</v>
      </c>
      <c r="F13" s="99">
        <f>C13*100/C5</f>
        <v>40.491722668606386</v>
      </c>
    </row>
    <row r="14" spans="1:6" s="223" customFormat="1" ht="18" customHeight="1">
      <c r="A14" s="264" t="s">
        <v>92</v>
      </c>
      <c r="B14" s="265">
        <v>5700545</v>
      </c>
      <c r="C14" s="253">
        <v>6068368</v>
      </c>
      <c r="D14" s="253">
        <f t="shared" si="0"/>
        <v>367823</v>
      </c>
      <c r="E14" s="266">
        <f t="shared" si="1"/>
        <v>106.4524181459843</v>
      </c>
      <c r="F14" s="267">
        <f>C14*100/C5</f>
        <v>7.085235716039152</v>
      </c>
    </row>
    <row r="15" spans="1:6" s="223" customFormat="1" ht="18" customHeight="1">
      <c r="A15" s="255" t="s">
        <v>93</v>
      </c>
      <c r="B15" s="256">
        <v>1267995</v>
      </c>
      <c r="C15" s="103">
        <v>1128411</v>
      </c>
      <c r="D15" s="101">
        <f t="shared" si="0"/>
        <v>-139584</v>
      </c>
      <c r="E15" s="103">
        <f>C15/B15*100</f>
        <v>88.99175469934818</v>
      </c>
      <c r="F15" s="257">
        <f>C15*100/C5</f>
        <v>1.3174972117003214</v>
      </c>
    </row>
    <row r="16" spans="1:6" s="223" customFormat="1" ht="18" customHeight="1">
      <c r="A16" s="255" t="s">
        <v>94</v>
      </c>
      <c r="B16" s="256">
        <v>0</v>
      </c>
      <c r="C16" s="103">
        <v>0</v>
      </c>
      <c r="D16" s="101">
        <f t="shared" si="0"/>
        <v>0</v>
      </c>
      <c r="E16" s="101">
        <v>0</v>
      </c>
      <c r="F16" s="257">
        <f>C16*100/C6</f>
        <v>0</v>
      </c>
    </row>
    <row r="17" spans="1:6" s="223" customFormat="1" ht="18" customHeight="1" thickBot="1">
      <c r="A17" s="259" t="s">
        <v>95</v>
      </c>
      <c r="B17" s="260">
        <v>23399583</v>
      </c>
      <c r="C17" s="268">
        <v>27483602</v>
      </c>
      <c r="D17" s="269">
        <f t="shared" si="0"/>
        <v>4084019</v>
      </c>
      <c r="E17" s="262">
        <f t="shared" si="1"/>
        <v>117.45338367782023</v>
      </c>
      <c r="F17" s="263">
        <f>C17*100/C5</f>
        <v>32.088989740866914</v>
      </c>
    </row>
    <row r="18" spans="1:6" ht="18" customHeight="1" thickBot="1">
      <c r="A18" s="95" t="s">
        <v>96</v>
      </c>
      <c r="B18" s="96">
        <f>B19+B20+B21</f>
        <v>21742673</v>
      </c>
      <c r="C18" s="97">
        <f>C19+C20</f>
        <v>50712651</v>
      </c>
      <c r="D18" s="97">
        <f t="shared" si="0"/>
        <v>28969978</v>
      </c>
      <c r="E18" s="98">
        <f t="shared" si="1"/>
        <v>233.24018624572975</v>
      </c>
      <c r="F18" s="99">
        <f>C18*100/C5</f>
        <v>59.2104971419381</v>
      </c>
    </row>
    <row r="19" spans="1:6" s="223" customFormat="1" ht="18" customHeight="1">
      <c r="A19" s="264" t="s">
        <v>97</v>
      </c>
      <c r="B19" s="265">
        <v>82588</v>
      </c>
      <c r="C19" s="253">
        <v>110399</v>
      </c>
      <c r="D19" s="253">
        <f t="shared" si="0"/>
        <v>27811</v>
      </c>
      <c r="E19" s="253">
        <f t="shared" si="1"/>
        <v>133.6743836877028</v>
      </c>
      <c r="F19" s="267">
        <f>C19*100/C5</f>
        <v>0.12889840197809466</v>
      </c>
    </row>
    <row r="20" spans="1:6" s="223" customFormat="1" ht="18" customHeight="1">
      <c r="A20" s="255" t="s">
        <v>98</v>
      </c>
      <c r="B20" s="256">
        <v>21660085</v>
      </c>
      <c r="C20" s="103">
        <v>50602252</v>
      </c>
      <c r="D20" s="103">
        <f t="shared" si="0"/>
        <v>28942167</v>
      </c>
      <c r="E20" s="262">
        <f t="shared" si="1"/>
        <v>233.61982189820583</v>
      </c>
      <c r="F20" s="257">
        <f>C20*100/C5</f>
        <v>59.08159873996001</v>
      </c>
    </row>
    <row r="21" spans="1:6" s="223" customFormat="1" ht="18" customHeight="1" thickBot="1">
      <c r="A21" s="270" t="s">
        <v>99</v>
      </c>
      <c r="B21" s="271">
        <v>0</v>
      </c>
      <c r="C21" s="106">
        <v>144</v>
      </c>
      <c r="D21" s="272">
        <f t="shared" si="0"/>
        <v>144</v>
      </c>
      <c r="E21" s="273">
        <v>0</v>
      </c>
      <c r="F21" s="274">
        <f>C21*100/C5</f>
        <v>0.00016812987332172965</v>
      </c>
    </row>
    <row r="22" spans="1:6" ht="18" customHeight="1" thickTop="1">
      <c r="A22" s="77"/>
      <c r="B22" s="78"/>
      <c r="C22" s="78"/>
      <c r="D22" s="78"/>
      <c r="E22" s="78"/>
      <c r="F22" s="79"/>
    </row>
  </sheetData>
  <mergeCells count="5">
    <mergeCell ref="F3:F4"/>
    <mergeCell ref="A3:A4"/>
    <mergeCell ref="B3:C3"/>
    <mergeCell ref="D3:D4"/>
    <mergeCell ref="E3:E4"/>
  </mergeCells>
  <printOptions horizontalCentered="1"/>
  <pageMargins left="0.2755905511811024" right="0.31496062992125984" top="0.984251968503937" bottom="0.984251968503937" header="0.5118110236220472" footer="0.5118110236220472"/>
  <pageSetup firstPageNumber="74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3">
      <selection activeCell="A25" sqref="A25"/>
    </sheetView>
  </sheetViews>
  <sheetFormatPr defaultColWidth="9.00390625" defaultRowHeight="12.75"/>
  <cols>
    <col min="1" max="1" width="54.875" style="161" customWidth="1"/>
    <col min="2" max="2" width="8.375" style="161" customWidth="1"/>
    <col min="3" max="3" width="12.25390625" style="161" customWidth="1"/>
    <col min="4" max="4" width="16.00390625" style="161" customWidth="1"/>
    <col min="5" max="5" width="15.875" style="161" customWidth="1"/>
    <col min="6" max="6" width="17.625" style="161" customWidth="1"/>
    <col min="7" max="7" width="10.375" style="161" customWidth="1"/>
    <col min="8" max="16384" width="9.125" style="161" customWidth="1"/>
  </cols>
  <sheetData>
    <row r="1" spans="1:7" s="224" customFormat="1" ht="27" customHeight="1" thickBot="1">
      <c r="A1" s="119" t="s">
        <v>103</v>
      </c>
      <c r="G1" s="156" t="s">
        <v>102</v>
      </c>
    </row>
    <row r="2" spans="1:7" ht="13.5" thickTop="1">
      <c r="A2" s="443" t="s">
        <v>16</v>
      </c>
      <c r="B2" s="450" t="s">
        <v>55</v>
      </c>
      <c r="C2" s="351"/>
      <c r="D2" s="14" t="s">
        <v>56</v>
      </c>
      <c r="E2" s="14" t="s">
        <v>57</v>
      </c>
      <c r="F2" s="14" t="s">
        <v>58</v>
      </c>
      <c r="G2" s="352" t="s">
        <v>59</v>
      </c>
    </row>
    <row r="3" spans="1:7" ht="13.5" thickBot="1">
      <c r="A3" s="457"/>
      <c r="B3" s="17" t="s">
        <v>60</v>
      </c>
      <c r="C3" s="17" t="s">
        <v>61</v>
      </c>
      <c r="D3" s="17" t="s">
        <v>62</v>
      </c>
      <c r="E3" s="17" t="s">
        <v>62</v>
      </c>
      <c r="F3" s="17" t="s">
        <v>62</v>
      </c>
      <c r="G3" s="353"/>
    </row>
    <row r="4" spans="1:7" ht="16.5" customHeight="1" thickBot="1" thickTop="1">
      <c r="A4" s="244" t="s">
        <v>63</v>
      </c>
      <c r="B4" s="18" t="s">
        <v>64</v>
      </c>
      <c r="C4" s="19">
        <f>SUM(C5:C12)</f>
        <v>2201.6000000000004</v>
      </c>
      <c r="D4" s="7">
        <f>SUM(D5:D12)</f>
        <v>299725031</v>
      </c>
      <c r="E4" s="7">
        <f>SUM(E5:E12)</f>
        <v>0</v>
      </c>
      <c r="F4" s="7">
        <f>D4-E4</f>
        <v>299725031</v>
      </c>
      <c r="G4" s="11">
        <f>SUM(G5:G12)</f>
        <v>52.26157356239876</v>
      </c>
    </row>
    <row r="5" spans="1:7" s="223" customFormat="1" ht="15.75" customHeight="1" thickTop="1">
      <c r="A5" s="217" t="s">
        <v>24</v>
      </c>
      <c r="B5" s="227" t="s">
        <v>64</v>
      </c>
      <c r="C5" s="245">
        <v>437</v>
      </c>
      <c r="D5" s="195">
        <v>25040100</v>
      </c>
      <c r="E5" s="195">
        <v>0</v>
      </c>
      <c r="F5" s="194">
        <f aca="true" t="shared" si="0" ref="F5:F12">D5-E5</f>
        <v>25040100</v>
      </c>
      <c r="G5" s="228">
        <f aca="true" t="shared" si="1" ref="G5:G12">F5*100/$F$28</f>
        <v>4.366118584736491</v>
      </c>
    </row>
    <row r="6" spans="1:7" s="223" customFormat="1" ht="15.75" customHeight="1">
      <c r="A6" s="213" t="s">
        <v>65</v>
      </c>
      <c r="B6" s="229" t="s">
        <v>64</v>
      </c>
      <c r="C6" s="246">
        <v>479.7</v>
      </c>
      <c r="D6" s="105">
        <v>32532664</v>
      </c>
      <c r="E6" s="105">
        <v>0</v>
      </c>
      <c r="F6" s="201">
        <f t="shared" si="0"/>
        <v>32532664</v>
      </c>
      <c r="G6" s="228">
        <f t="shared" si="1"/>
        <v>5.672559969863851</v>
      </c>
    </row>
    <row r="7" spans="1:7" s="223" customFormat="1" ht="15.75" customHeight="1">
      <c r="A7" s="213" t="s">
        <v>26</v>
      </c>
      <c r="B7" s="229" t="s">
        <v>64</v>
      </c>
      <c r="C7" s="247">
        <v>108</v>
      </c>
      <c r="D7" s="105">
        <v>12376800</v>
      </c>
      <c r="E7" s="105">
        <v>0</v>
      </c>
      <c r="F7" s="201">
        <f t="shared" si="0"/>
        <v>12376800</v>
      </c>
      <c r="G7" s="228">
        <f t="shared" si="1"/>
        <v>2.158081497261058</v>
      </c>
    </row>
    <row r="8" spans="1:7" s="223" customFormat="1" ht="15.75" customHeight="1">
      <c r="A8" s="213" t="s">
        <v>27</v>
      </c>
      <c r="B8" s="229" t="s">
        <v>64</v>
      </c>
      <c r="C8" s="246">
        <v>95.7</v>
      </c>
      <c r="D8" s="105">
        <v>10922614</v>
      </c>
      <c r="E8" s="105">
        <v>0</v>
      </c>
      <c r="F8" s="201">
        <f t="shared" si="0"/>
        <v>10922614</v>
      </c>
      <c r="G8" s="228">
        <f t="shared" si="1"/>
        <v>1.9045222654583245</v>
      </c>
    </row>
    <row r="9" spans="1:7" s="223" customFormat="1" ht="15.75" customHeight="1">
      <c r="A9" s="213" t="s">
        <v>28</v>
      </c>
      <c r="B9" s="229" t="s">
        <v>64</v>
      </c>
      <c r="C9" s="247">
        <v>223.5</v>
      </c>
      <c r="D9" s="105">
        <v>35943270</v>
      </c>
      <c r="E9" s="105">
        <v>0</v>
      </c>
      <c r="F9" s="201">
        <f t="shared" si="0"/>
        <v>35943270</v>
      </c>
      <c r="G9" s="228">
        <f t="shared" si="1"/>
        <v>6.267250495932588</v>
      </c>
    </row>
    <row r="10" spans="1:7" s="223" customFormat="1" ht="15.75" customHeight="1">
      <c r="A10" s="213" t="s">
        <v>29</v>
      </c>
      <c r="B10" s="229" t="s">
        <v>64</v>
      </c>
      <c r="C10" s="246">
        <v>781.9</v>
      </c>
      <c r="D10" s="105">
        <v>174248526</v>
      </c>
      <c r="E10" s="105">
        <v>0</v>
      </c>
      <c r="F10" s="201">
        <f t="shared" si="0"/>
        <v>174248526</v>
      </c>
      <c r="G10" s="228">
        <f t="shared" si="1"/>
        <v>30.382855009825832</v>
      </c>
    </row>
    <row r="11" spans="1:7" s="223" customFormat="1" ht="15.75" customHeight="1">
      <c r="A11" s="213" t="s">
        <v>30</v>
      </c>
      <c r="B11" s="229" t="s">
        <v>64</v>
      </c>
      <c r="C11" s="247">
        <v>27</v>
      </c>
      <c r="D11" s="105">
        <v>3094200</v>
      </c>
      <c r="E11" s="105">
        <v>0</v>
      </c>
      <c r="F11" s="201">
        <f t="shared" si="0"/>
        <v>3094200</v>
      </c>
      <c r="G11" s="228">
        <f t="shared" si="1"/>
        <v>0.5395203743152645</v>
      </c>
    </row>
    <row r="12" spans="1:7" s="223" customFormat="1" ht="15.75" customHeight="1">
      <c r="A12" s="248" t="s">
        <v>31</v>
      </c>
      <c r="B12" s="230" t="s">
        <v>64</v>
      </c>
      <c r="C12" s="246">
        <v>48.8</v>
      </c>
      <c r="D12" s="231">
        <v>5566857</v>
      </c>
      <c r="E12" s="231">
        <v>0</v>
      </c>
      <c r="F12" s="206">
        <f t="shared" si="0"/>
        <v>5566857</v>
      </c>
      <c r="G12" s="228">
        <f t="shared" si="1"/>
        <v>0.9706653650053487</v>
      </c>
    </row>
    <row r="13" spans="1:7" s="279" customFormat="1" ht="15">
      <c r="A13" s="276" t="s">
        <v>32</v>
      </c>
      <c r="B13" s="277">
        <v>22</v>
      </c>
      <c r="C13" s="278" t="s">
        <v>64</v>
      </c>
      <c r="D13" s="201">
        <v>6499749</v>
      </c>
      <c r="E13" s="201">
        <v>2575247</v>
      </c>
      <c r="F13" s="201">
        <v>3924502</v>
      </c>
      <c r="G13" s="228">
        <f>F13*100/$F$28</f>
        <v>0.6842960338830728</v>
      </c>
    </row>
    <row r="14" spans="1:7" s="223" customFormat="1" ht="15">
      <c r="A14" s="192" t="s">
        <v>40</v>
      </c>
      <c r="B14" s="220" t="s">
        <v>101</v>
      </c>
      <c r="C14" s="220" t="s">
        <v>64</v>
      </c>
      <c r="D14" s="220">
        <v>4361011</v>
      </c>
      <c r="E14" s="220">
        <f>129924+623178</f>
        <v>753102</v>
      </c>
      <c r="F14" s="195">
        <f aca="true" t="shared" si="2" ref="F14:F27">D14-E14</f>
        <v>3607909</v>
      </c>
      <c r="G14" s="198">
        <f>F14*100/F28</f>
        <v>0.6290932758630378</v>
      </c>
    </row>
    <row r="15" spans="1:7" s="223" customFormat="1" ht="15">
      <c r="A15" s="204" t="s">
        <v>67</v>
      </c>
      <c r="B15" s="237">
        <v>1</v>
      </c>
      <c r="C15" s="237" t="s">
        <v>64</v>
      </c>
      <c r="D15" s="237">
        <v>8906</v>
      </c>
      <c r="E15" s="237">
        <v>623.42</v>
      </c>
      <c r="F15" s="195">
        <f t="shared" si="2"/>
        <v>8282.58</v>
      </c>
      <c r="G15" s="203">
        <f>F15*100/F28</f>
        <v>0.0014441925738142727</v>
      </c>
    </row>
    <row r="16" spans="1:7" s="223" customFormat="1" ht="18" customHeight="1">
      <c r="A16" s="204" t="s">
        <v>68</v>
      </c>
      <c r="B16" s="237">
        <v>449</v>
      </c>
      <c r="C16" s="237" t="s">
        <v>64</v>
      </c>
      <c r="D16" s="237">
        <v>3172688</v>
      </c>
      <c r="E16" s="237">
        <f>2616511+14467+45977</f>
        <v>2676955</v>
      </c>
      <c r="F16" s="195">
        <f t="shared" si="2"/>
        <v>495733</v>
      </c>
      <c r="G16" s="203">
        <f>F16*100/F28</f>
        <v>0.08643851519631213</v>
      </c>
    </row>
    <row r="17" spans="1:7" s="223" customFormat="1" ht="15">
      <c r="A17" s="213" t="s">
        <v>69</v>
      </c>
      <c r="B17" s="237">
        <v>1</v>
      </c>
      <c r="C17" s="237" t="s">
        <v>64</v>
      </c>
      <c r="D17" s="237">
        <v>3162</v>
      </c>
      <c r="E17" s="237">
        <v>3021</v>
      </c>
      <c r="F17" s="195">
        <f t="shared" si="2"/>
        <v>141</v>
      </c>
      <c r="G17" s="203">
        <f>F17*100/F28</f>
        <v>2.458547371807003E-05</v>
      </c>
    </row>
    <row r="18" spans="1:7" s="223" customFormat="1" ht="15">
      <c r="A18" s="204" t="s">
        <v>70</v>
      </c>
      <c r="B18" s="237">
        <v>55</v>
      </c>
      <c r="C18" s="237" t="s">
        <v>64</v>
      </c>
      <c r="D18" s="237">
        <f>1053433+19034+45803</f>
        <v>1118270</v>
      </c>
      <c r="E18" s="237">
        <f>641909+19034+33460</f>
        <v>694403</v>
      </c>
      <c r="F18" s="195">
        <f t="shared" si="2"/>
        <v>423867</v>
      </c>
      <c r="G18" s="203">
        <f>F18*100/F28</f>
        <v>0.07390759566281695</v>
      </c>
    </row>
    <row r="19" spans="1:7" s="223" customFormat="1" ht="15">
      <c r="A19" s="204" t="s">
        <v>71</v>
      </c>
      <c r="B19" s="237">
        <v>7</v>
      </c>
      <c r="C19" s="237" t="s">
        <v>64</v>
      </c>
      <c r="D19" s="237">
        <v>403045</v>
      </c>
      <c r="E19" s="105">
        <f>243581</f>
        <v>243581</v>
      </c>
      <c r="F19" s="195">
        <f t="shared" si="2"/>
        <v>159464</v>
      </c>
      <c r="G19" s="203">
        <f>F19*100/F28</f>
        <v>0.027804950219704392</v>
      </c>
    </row>
    <row r="20" spans="1:7" ht="15.75">
      <c r="A20" s="80" t="s">
        <v>72</v>
      </c>
      <c r="B20" s="81" t="s">
        <v>101</v>
      </c>
      <c r="C20" s="20" t="s">
        <v>64</v>
      </c>
      <c r="D20" s="82">
        <f>SUM(D21:D22)</f>
        <v>2278864</v>
      </c>
      <c r="E20" s="82">
        <f>SUM(E21:E22)</f>
        <v>2006163</v>
      </c>
      <c r="F20" s="83">
        <f t="shared" si="2"/>
        <v>272701</v>
      </c>
      <c r="G20" s="84">
        <f>F20*100/F28</f>
        <v>0.04754952672618025</v>
      </c>
    </row>
    <row r="21" spans="1:7" s="223" customFormat="1" ht="15">
      <c r="A21" s="213" t="s">
        <v>47</v>
      </c>
      <c r="B21" s="280" t="s">
        <v>101</v>
      </c>
      <c r="C21" s="237" t="s">
        <v>64</v>
      </c>
      <c r="D21" s="237">
        <f>706801+217362+22037</f>
        <v>946200</v>
      </c>
      <c r="E21" s="105">
        <f>436826+217362+19311</f>
        <v>673499</v>
      </c>
      <c r="F21" s="195">
        <f t="shared" si="2"/>
        <v>272701</v>
      </c>
      <c r="G21" s="239">
        <f>F21*100/F28</f>
        <v>0.04754952672618025</v>
      </c>
    </row>
    <row r="22" spans="1:7" s="223" customFormat="1" ht="15">
      <c r="A22" s="213" t="s">
        <v>48</v>
      </c>
      <c r="B22" s="280" t="s">
        <v>101</v>
      </c>
      <c r="C22" s="237" t="s">
        <v>64</v>
      </c>
      <c r="D22" s="237">
        <v>1332664</v>
      </c>
      <c r="E22" s="105">
        <v>1332664</v>
      </c>
      <c r="F22" s="195">
        <f t="shared" si="2"/>
        <v>0</v>
      </c>
      <c r="G22" s="239">
        <f>F22*100/F28</f>
        <v>0</v>
      </c>
    </row>
    <row r="23" spans="1:7" s="223" customFormat="1" ht="15.75" thickBot="1">
      <c r="A23" s="199" t="s">
        <v>73</v>
      </c>
      <c r="B23" s="240" t="s">
        <v>101</v>
      </c>
      <c r="C23" s="240" t="s">
        <v>64</v>
      </c>
      <c r="D23" s="222">
        <v>56306620</v>
      </c>
      <c r="E23" s="207">
        <v>0</v>
      </c>
      <c r="F23" s="207">
        <f t="shared" si="2"/>
        <v>56306620</v>
      </c>
      <c r="G23" s="241">
        <f>F23*100/F28</f>
        <v>9.8179072777543</v>
      </c>
    </row>
    <row r="24" spans="1:7" ht="17.25" thickBot="1" thickTop="1">
      <c r="A24" s="5" t="s">
        <v>50</v>
      </c>
      <c r="B24" s="85">
        <f>B13+B15+B16+B17+B18+B19</f>
        <v>535</v>
      </c>
      <c r="C24" s="86">
        <f>SUM(C5:C12)</f>
        <v>2201.6000000000004</v>
      </c>
      <c r="D24" s="8">
        <f>SUM(D13:D19,D21:D23)+D4</f>
        <v>373877346</v>
      </c>
      <c r="E24" s="8">
        <f>SUM(E13:E19,E21:E23)+E4</f>
        <v>8953095.42</v>
      </c>
      <c r="F24" s="7">
        <f t="shared" si="2"/>
        <v>364924250.58</v>
      </c>
      <c r="G24" s="87">
        <f>F24*100/F28</f>
        <v>63.63003951575171</v>
      </c>
    </row>
    <row r="25" spans="1:7" s="223" customFormat="1" ht="15.75" thickTop="1">
      <c r="A25" s="192" t="s">
        <v>74</v>
      </c>
      <c r="B25" s="227" t="s">
        <v>101</v>
      </c>
      <c r="C25" s="227" t="s">
        <v>64</v>
      </c>
      <c r="D25" s="220">
        <v>1909324</v>
      </c>
      <c r="E25" s="195">
        <f>1715948+19683</f>
        <v>1735631</v>
      </c>
      <c r="F25" s="195">
        <f t="shared" si="2"/>
        <v>173693</v>
      </c>
      <c r="G25" s="221">
        <f>F25*100/F28</f>
        <v>0.0302859906844875</v>
      </c>
    </row>
    <row r="26" spans="1:7" s="223" customFormat="1" ht="15">
      <c r="A26" s="204" t="s">
        <v>75</v>
      </c>
      <c r="B26" s="227" t="s">
        <v>101</v>
      </c>
      <c r="C26" s="227" t="s">
        <v>64</v>
      </c>
      <c r="D26" s="237">
        <v>24354999</v>
      </c>
      <c r="E26" s="105">
        <v>0</v>
      </c>
      <c r="F26" s="195">
        <f t="shared" si="2"/>
        <v>24354999</v>
      </c>
      <c r="G26" s="198">
        <f>F26*100/F28</f>
        <v>4.246660906511503</v>
      </c>
    </row>
    <row r="27" spans="1:7" s="223" customFormat="1" ht="15.75" thickBot="1">
      <c r="A27" s="199" t="s">
        <v>76</v>
      </c>
      <c r="B27" s="227" t="s">
        <v>101</v>
      </c>
      <c r="C27" s="242" t="s">
        <v>64</v>
      </c>
      <c r="D27" s="222">
        <v>184056446</v>
      </c>
      <c r="E27" s="243">
        <v>0</v>
      </c>
      <c r="F27" s="195">
        <f t="shared" si="2"/>
        <v>184056446</v>
      </c>
      <c r="G27" s="241">
        <f>F27*100/F28</f>
        <v>32.09301358705231</v>
      </c>
    </row>
    <row r="28" spans="1:7" ht="30" customHeight="1" thickBot="1" thickTop="1">
      <c r="A28" s="5" t="s">
        <v>54</v>
      </c>
      <c r="B28" s="18" t="s">
        <v>64</v>
      </c>
      <c r="C28" s="18" t="s">
        <v>64</v>
      </c>
      <c r="D28" s="8">
        <f>D24+D25+D26+D27</f>
        <v>584198115</v>
      </c>
      <c r="E28" s="8">
        <f>E24+E25</f>
        <v>10688726.42</v>
      </c>
      <c r="F28" s="8">
        <f>F24+F25+F26+F27</f>
        <v>573509388.5799999</v>
      </c>
      <c r="G28" s="87">
        <f>G24+G25+G26+G27</f>
        <v>100.00000000000001</v>
      </c>
    </row>
    <row r="29" ht="13.5" thickTop="1"/>
  </sheetData>
  <mergeCells count="3">
    <mergeCell ref="A2:A3"/>
    <mergeCell ref="B2:C2"/>
    <mergeCell ref="G2:G3"/>
  </mergeCells>
  <printOptions horizontalCentered="1"/>
  <pageMargins left="0.2755905511811024" right="0.2362204724409449" top="0.7874015748031497" bottom="0.4724409448818898" header="0.5118110236220472" footer="0.5118110236220472"/>
  <pageSetup firstPageNumber="75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A22" sqref="A22:A23"/>
    </sheetView>
  </sheetViews>
  <sheetFormatPr defaultColWidth="9.00390625" defaultRowHeight="12.75"/>
  <cols>
    <col min="1" max="1" width="42.375" style="161" customWidth="1"/>
    <col min="2" max="2" width="20.00390625" style="161" customWidth="1"/>
    <col min="3" max="4" width="19.125" style="161" customWidth="1"/>
    <col min="5" max="5" width="11.00390625" style="161" customWidth="1"/>
    <col min="6" max="6" width="15.75390625" style="161" customWidth="1"/>
    <col min="7" max="16384" width="9.125" style="161" customWidth="1"/>
  </cols>
  <sheetData>
    <row r="1" spans="1:7" s="224" customFormat="1" ht="38.25" customHeight="1" thickBot="1">
      <c r="A1" s="458" t="s">
        <v>170</v>
      </c>
      <c r="B1" s="459"/>
      <c r="C1" s="459"/>
      <c r="D1" s="459"/>
      <c r="E1" s="459"/>
      <c r="F1" s="156" t="s">
        <v>104</v>
      </c>
      <c r="G1" s="156"/>
    </row>
    <row r="2" spans="1:6" ht="27.75" customHeight="1" thickBot="1" thickTop="1">
      <c r="A2" s="451" t="s">
        <v>80</v>
      </c>
      <c r="B2" s="453" t="s">
        <v>81</v>
      </c>
      <c r="C2" s="454"/>
      <c r="D2" s="447" t="s">
        <v>18</v>
      </c>
      <c r="E2" s="456" t="s">
        <v>19</v>
      </c>
      <c r="F2" s="342" t="s">
        <v>82</v>
      </c>
    </row>
    <row r="3" spans="1:6" ht="27.75" customHeight="1" thickBot="1" thickTop="1">
      <c r="A3" s="452"/>
      <c r="B3" s="30" t="s">
        <v>21</v>
      </c>
      <c r="C3" s="31" t="s">
        <v>22</v>
      </c>
      <c r="D3" s="455"/>
      <c r="E3" s="455"/>
      <c r="F3" s="343"/>
    </row>
    <row r="4" spans="1:6" ht="30" customHeight="1" thickBot="1" thickTop="1">
      <c r="A4" s="32" t="s">
        <v>83</v>
      </c>
      <c r="B4" s="33">
        <f>B5+B12+B17</f>
        <v>28667991</v>
      </c>
      <c r="C4" s="34">
        <f>C5+C12+C17</f>
        <v>51195498</v>
      </c>
      <c r="D4" s="35">
        <f aca="true" t="shared" si="0" ref="D4:D20">C4-B4</f>
        <v>22527507</v>
      </c>
      <c r="E4" s="35">
        <f>C4/B4*100</f>
        <v>178.5806964987536</v>
      </c>
      <c r="F4" s="36">
        <f>F5+F12+F17</f>
        <v>100</v>
      </c>
    </row>
    <row r="5" spans="1:6" ht="18" customHeight="1" thickBot="1" thickTop="1">
      <c r="A5" s="89" t="s">
        <v>84</v>
      </c>
      <c r="B5" s="90">
        <f>B6+B7+B8+B9+B11</f>
        <v>0</v>
      </c>
      <c r="C5" s="91">
        <f>C6+C7+C8+C9+C11</f>
        <v>0</v>
      </c>
      <c r="D5" s="92">
        <f t="shared" si="0"/>
        <v>0</v>
      </c>
      <c r="E5" s="93">
        <v>0</v>
      </c>
      <c r="F5" s="94">
        <f>C5*100/C4</f>
        <v>0</v>
      </c>
    </row>
    <row r="6" spans="1:6" s="223" customFormat="1" ht="18" customHeight="1">
      <c r="A6" s="250" t="s">
        <v>85</v>
      </c>
      <c r="B6" s="251">
        <v>0</v>
      </c>
      <c r="C6" s="101">
        <v>0</v>
      </c>
      <c r="D6" s="252">
        <f t="shared" si="0"/>
        <v>0</v>
      </c>
      <c r="E6" s="253">
        <v>0</v>
      </c>
      <c r="F6" s="254">
        <f>C6*100/C4</f>
        <v>0</v>
      </c>
    </row>
    <row r="7" spans="1:6" s="223" customFormat="1" ht="18" customHeight="1">
      <c r="A7" s="255" t="s">
        <v>86</v>
      </c>
      <c r="B7" s="256">
        <v>0</v>
      </c>
      <c r="C7" s="103">
        <v>0</v>
      </c>
      <c r="D7" s="103">
        <f t="shared" si="0"/>
        <v>0</v>
      </c>
      <c r="E7" s="103">
        <v>0</v>
      </c>
      <c r="F7" s="257">
        <f>C7*100/C4</f>
        <v>0</v>
      </c>
    </row>
    <row r="8" spans="1:6" s="223" customFormat="1" ht="18" customHeight="1">
      <c r="A8" s="255" t="s">
        <v>87</v>
      </c>
      <c r="B8" s="256">
        <v>0</v>
      </c>
      <c r="C8" s="103">
        <v>0</v>
      </c>
      <c r="D8" s="101">
        <f t="shared" si="0"/>
        <v>0</v>
      </c>
      <c r="E8" s="103">
        <v>0</v>
      </c>
      <c r="F8" s="258">
        <f>C8*100/C4</f>
        <v>0</v>
      </c>
    </row>
    <row r="9" spans="1:6" s="223" customFormat="1" ht="18" customHeight="1">
      <c r="A9" s="255" t="s">
        <v>88</v>
      </c>
      <c r="B9" s="256">
        <v>0</v>
      </c>
      <c r="C9" s="103">
        <v>0</v>
      </c>
      <c r="D9" s="103">
        <f t="shared" si="0"/>
        <v>0</v>
      </c>
      <c r="E9" s="103">
        <v>0</v>
      </c>
      <c r="F9" s="257">
        <f>C9*100/C4</f>
        <v>0</v>
      </c>
    </row>
    <row r="10" spans="1:6" s="223" customFormat="1" ht="18" customHeight="1">
      <c r="A10" s="255" t="s">
        <v>89</v>
      </c>
      <c r="B10" s="256">
        <v>0</v>
      </c>
      <c r="C10" s="103">
        <v>0</v>
      </c>
      <c r="D10" s="103">
        <f t="shared" si="0"/>
        <v>0</v>
      </c>
      <c r="E10" s="103">
        <v>0</v>
      </c>
      <c r="F10" s="257">
        <f>C10*100/C4</f>
        <v>0</v>
      </c>
    </row>
    <row r="11" spans="1:6" s="223" customFormat="1" ht="18" customHeight="1" thickBot="1">
      <c r="A11" s="259" t="s">
        <v>90</v>
      </c>
      <c r="B11" s="260">
        <v>0</v>
      </c>
      <c r="C11" s="261">
        <v>0</v>
      </c>
      <c r="D11" s="261">
        <f t="shared" si="0"/>
        <v>0</v>
      </c>
      <c r="E11" s="262">
        <v>0</v>
      </c>
      <c r="F11" s="263">
        <f>C11*100/C4</f>
        <v>0</v>
      </c>
    </row>
    <row r="12" spans="1:6" ht="18.75" customHeight="1" thickBot="1">
      <c r="A12" s="95" t="s">
        <v>91</v>
      </c>
      <c r="B12" s="96">
        <f>B13+B14+B15+B16</f>
        <v>23367800</v>
      </c>
      <c r="C12" s="97">
        <f>C13+C14+C15+C16</f>
        <v>23079357</v>
      </c>
      <c r="D12" s="91">
        <f t="shared" si="0"/>
        <v>-288443</v>
      </c>
      <c r="E12" s="98">
        <f aca="true" t="shared" si="1" ref="E12:E19">C12/B12*100</f>
        <v>98.76563904175832</v>
      </c>
      <c r="F12" s="99">
        <f>C12*100/C4</f>
        <v>45.08083308419033</v>
      </c>
    </row>
    <row r="13" spans="1:6" s="223" customFormat="1" ht="18" customHeight="1">
      <c r="A13" s="264" t="s">
        <v>92</v>
      </c>
      <c r="B13" s="265">
        <v>73135</v>
      </c>
      <c r="C13" s="253">
        <v>0</v>
      </c>
      <c r="D13" s="253">
        <f t="shared" si="0"/>
        <v>-73135</v>
      </c>
      <c r="E13" s="266">
        <f t="shared" si="1"/>
        <v>0</v>
      </c>
      <c r="F13" s="267">
        <f>C13*100/C4</f>
        <v>0</v>
      </c>
    </row>
    <row r="14" spans="1:6" s="223" customFormat="1" ht="18" customHeight="1">
      <c r="A14" s="255" t="s">
        <v>93</v>
      </c>
      <c r="B14" s="256">
        <v>986225</v>
      </c>
      <c r="C14" s="103">
        <v>949447</v>
      </c>
      <c r="D14" s="101">
        <f t="shared" si="0"/>
        <v>-36778</v>
      </c>
      <c r="E14" s="103">
        <f t="shared" si="1"/>
        <v>96.27083069279323</v>
      </c>
      <c r="F14" s="257">
        <f>C14*100/C4</f>
        <v>1.8545517420301292</v>
      </c>
    </row>
    <row r="15" spans="1:6" s="223" customFormat="1" ht="18" customHeight="1">
      <c r="A15" s="255" t="s">
        <v>94</v>
      </c>
      <c r="B15" s="256">
        <v>0</v>
      </c>
      <c r="C15" s="103">
        <v>0</v>
      </c>
      <c r="D15" s="101">
        <f t="shared" si="0"/>
        <v>0</v>
      </c>
      <c r="E15" s="101">
        <v>0</v>
      </c>
      <c r="F15" s="257">
        <f>C15*100/C4</f>
        <v>0</v>
      </c>
    </row>
    <row r="16" spans="1:6" s="223" customFormat="1" ht="18" customHeight="1" thickBot="1">
      <c r="A16" s="259" t="s">
        <v>95</v>
      </c>
      <c r="B16" s="260">
        <v>22308440</v>
      </c>
      <c r="C16" s="268">
        <v>22129910</v>
      </c>
      <c r="D16" s="269">
        <f t="shared" si="0"/>
        <v>-178530</v>
      </c>
      <c r="E16" s="262">
        <f t="shared" si="1"/>
        <v>99.19971992662867</v>
      </c>
      <c r="F16" s="263">
        <f>C16*100/C4</f>
        <v>43.226281342160206</v>
      </c>
    </row>
    <row r="17" spans="1:6" ht="18" customHeight="1" thickBot="1">
      <c r="A17" s="95" t="s">
        <v>96</v>
      </c>
      <c r="B17" s="96">
        <f>B18+B19+B20</f>
        <v>5300191</v>
      </c>
      <c r="C17" s="97">
        <f>C18+C19</f>
        <v>28116141</v>
      </c>
      <c r="D17" s="97">
        <f t="shared" si="0"/>
        <v>22815950</v>
      </c>
      <c r="E17" s="98">
        <f t="shared" si="1"/>
        <v>530.4741093292675</v>
      </c>
      <c r="F17" s="99">
        <f>C17*100/C4</f>
        <v>54.91916691580967</v>
      </c>
    </row>
    <row r="18" spans="1:6" s="223" customFormat="1" ht="18" customHeight="1">
      <c r="A18" s="264" t="s">
        <v>97</v>
      </c>
      <c r="B18" s="265">
        <v>1400</v>
      </c>
      <c r="C18" s="253">
        <v>1400</v>
      </c>
      <c r="D18" s="253">
        <f t="shared" si="0"/>
        <v>0</v>
      </c>
      <c r="E18" s="253">
        <f t="shared" si="1"/>
        <v>100</v>
      </c>
      <c r="F18" s="281">
        <v>0</v>
      </c>
    </row>
    <row r="19" spans="1:6" s="223" customFormat="1" ht="18" customHeight="1">
      <c r="A19" s="255" t="s">
        <v>98</v>
      </c>
      <c r="B19" s="256">
        <v>5298791</v>
      </c>
      <c r="C19" s="103">
        <v>28114741</v>
      </c>
      <c r="D19" s="103">
        <f t="shared" si="0"/>
        <v>22815950</v>
      </c>
      <c r="E19" s="262">
        <f t="shared" si="1"/>
        <v>530.5878454160581</v>
      </c>
      <c r="F19" s="257">
        <f>C19*100/C4</f>
        <v>54.91643230035579</v>
      </c>
    </row>
    <row r="20" spans="1:6" s="223" customFormat="1" ht="18" customHeight="1" thickBot="1">
      <c r="A20" s="270" t="s">
        <v>99</v>
      </c>
      <c r="B20" s="271">
        <v>0</v>
      </c>
      <c r="C20" s="106">
        <v>0</v>
      </c>
      <c r="D20" s="272">
        <f t="shared" si="0"/>
        <v>0</v>
      </c>
      <c r="E20" s="273">
        <v>0</v>
      </c>
      <c r="F20" s="274">
        <f>C20*100/C4</f>
        <v>0</v>
      </c>
    </row>
    <row r="21" ht="13.5" thickTop="1"/>
  </sheetData>
  <mergeCells count="6">
    <mergeCell ref="F2:F3"/>
    <mergeCell ref="A1:E1"/>
    <mergeCell ref="A2:A3"/>
    <mergeCell ref="B2:C2"/>
    <mergeCell ref="D2:D3"/>
    <mergeCell ref="E2:E3"/>
  </mergeCells>
  <printOptions horizontalCentered="1"/>
  <pageMargins left="0.35433070866141736" right="0.31496062992125984" top="0.984251968503937" bottom="0.984251968503937" header="0.62" footer="0.5118110236220472"/>
  <pageSetup firstPageNumber="76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7" sqref="F7"/>
    </sheetView>
  </sheetViews>
  <sheetFormatPr defaultColWidth="9.00390625" defaultRowHeight="12.75"/>
  <cols>
    <col min="1" max="1" width="5.00390625" style="161" customWidth="1"/>
    <col min="2" max="2" width="42.125" style="161" customWidth="1"/>
    <col min="3" max="3" width="13.75390625" style="161" customWidth="1"/>
    <col min="4" max="4" width="13.875" style="161" customWidth="1"/>
    <col min="5" max="5" width="13.625" style="161" customWidth="1"/>
    <col min="6" max="6" width="12.625" style="161" customWidth="1"/>
    <col min="7" max="7" width="13.00390625" style="161" customWidth="1"/>
    <col min="8" max="8" width="13.875" style="161" customWidth="1"/>
    <col min="9" max="16384" width="9.125" style="161" customWidth="1"/>
  </cols>
  <sheetData>
    <row r="1" spans="2:8" ht="19.5">
      <c r="B1" s="289" t="s">
        <v>171</v>
      </c>
      <c r="H1" s="161" t="s">
        <v>124</v>
      </c>
    </row>
    <row r="2" ht="13.5" thickBot="1"/>
    <row r="3" spans="1:8" ht="24" customHeight="1" thickTop="1">
      <c r="A3" s="463" t="s">
        <v>105</v>
      </c>
      <c r="B3" s="465" t="s">
        <v>106</v>
      </c>
      <c r="C3" s="467" t="s">
        <v>107</v>
      </c>
      <c r="D3" s="468"/>
      <c r="E3" s="468"/>
      <c r="F3" s="468"/>
      <c r="G3" s="351"/>
      <c r="H3" s="460" t="s">
        <v>108</v>
      </c>
    </row>
    <row r="4" spans="1:8" ht="52.5" customHeight="1" thickBot="1">
      <c r="A4" s="464"/>
      <c r="B4" s="466"/>
      <c r="C4" s="12" t="s">
        <v>109</v>
      </c>
      <c r="D4" s="100" t="s">
        <v>110</v>
      </c>
      <c r="E4" s="100" t="s">
        <v>111</v>
      </c>
      <c r="F4" s="100" t="s">
        <v>112</v>
      </c>
      <c r="G4" s="88" t="s">
        <v>113</v>
      </c>
      <c r="H4" s="353"/>
    </row>
    <row r="5" spans="1:8" s="223" customFormat="1" ht="25.5" customHeight="1" thickTop="1">
      <c r="A5" s="282">
        <v>1</v>
      </c>
      <c r="B5" s="283" t="s">
        <v>114</v>
      </c>
      <c r="C5" s="101">
        <v>1255000</v>
      </c>
      <c r="D5" s="102">
        <v>72648500</v>
      </c>
      <c r="E5" s="102"/>
      <c r="F5" s="102"/>
      <c r="G5" s="101"/>
      <c r="H5" s="113">
        <f>C5+D5</f>
        <v>73903500</v>
      </c>
    </row>
    <row r="6" spans="1:8" s="223" customFormat="1" ht="25.5" customHeight="1">
      <c r="A6" s="282">
        <v>2</v>
      </c>
      <c r="B6" s="283" t="s">
        <v>115</v>
      </c>
      <c r="C6" s="101">
        <v>4100</v>
      </c>
      <c r="D6" s="102">
        <v>33672900</v>
      </c>
      <c r="E6" s="102"/>
      <c r="F6" s="102"/>
      <c r="G6" s="101"/>
      <c r="H6" s="114">
        <f>C6+D6</f>
        <v>33677000</v>
      </c>
    </row>
    <row r="7" spans="1:8" s="223" customFormat="1" ht="24" customHeight="1">
      <c r="A7" s="176">
        <v>3</v>
      </c>
      <c r="B7" s="284" t="s">
        <v>116</v>
      </c>
      <c r="C7" s="103">
        <v>295000</v>
      </c>
      <c r="D7" s="104">
        <v>12033000</v>
      </c>
      <c r="E7" s="104"/>
      <c r="F7" s="104">
        <v>111546</v>
      </c>
      <c r="G7" s="103"/>
      <c r="H7" s="115">
        <f>C7+F7+D7</f>
        <v>12439546</v>
      </c>
    </row>
    <row r="8" spans="1:8" s="223" customFormat="1" ht="25.5" customHeight="1">
      <c r="A8" s="176">
        <v>4</v>
      </c>
      <c r="B8" s="284" t="s">
        <v>117</v>
      </c>
      <c r="C8" s="103">
        <v>844200</v>
      </c>
      <c r="D8" s="104">
        <v>3560300</v>
      </c>
      <c r="E8" s="104"/>
      <c r="F8" s="104"/>
      <c r="G8" s="103"/>
      <c r="H8" s="116">
        <f>C8+D8</f>
        <v>4404500</v>
      </c>
    </row>
    <row r="9" spans="1:8" s="223" customFormat="1" ht="25.5" customHeight="1">
      <c r="A9" s="176">
        <v>5</v>
      </c>
      <c r="B9" s="284" t="s">
        <v>118</v>
      </c>
      <c r="C9" s="105"/>
      <c r="D9" s="104"/>
      <c r="E9" s="104"/>
      <c r="F9" s="104"/>
      <c r="G9" s="103">
        <v>100000</v>
      </c>
      <c r="H9" s="115">
        <f>G9</f>
        <v>100000</v>
      </c>
    </row>
    <row r="10" spans="1:8" s="223" customFormat="1" ht="25.5" customHeight="1">
      <c r="A10" s="176">
        <v>6</v>
      </c>
      <c r="B10" s="284" t="s">
        <v>119</v>
      </c>
      <c r="C10" s="103">
        <v>4000</v>
      </c>
      <c r="D10" s="104"/>
      <c r="E10" s="104"/>
      <c r="F10" s="104"/>
      <c r="G10" s="103"/>
      <c r="H10" s="115">
        <f>C10</f>
        <v>4000</v>
      </c>
    </row>
    <row r="11" spans="1:8" s="223" customFormat="1" ht="25.5" customHeight="1">
      <c r="A11" s="176">
        <v>7</v>
      </c>
      <c r="B11" s="285" t="s">
        <v>120</v>
      </c>
      <c r="C11" s="103">
        <v>12014000</v>
      </c>
      <c r="D11" s="104">
        <v>8458900</v>
      </c>
      <c r="E11" s="104"/>
      <c r="F11" s="104"/>
      <c r="G11" s="103"/>
      <c r="H11" s="116">
        <f>C11+D11</f>
        <v>20472900</v>
      </c>
    </row>
    <row r="12" spans="1:8" s="223" customFormat="1" ht="24.75" customHeight="1">
      <c r="A12" s="176">
        <v>8</v>
      </c>
      <c r="B12" s="284" t="s">
        <v>121</v>
      </c>
      <c r="C12" s="103">
        <v>19976000</v>
      </c>
      <c r="D12" s="104">
        <v>4500000</v>
      </c>
      <c r="E12" s="104">
        <v>12230000</v>
      </c>
      <c r="F12" s="104"/>
      <c r="G12" s="103"/>
      <c r="H12" s="116">
        <f>C12+D12+E12</f>
        <v>36706000</v>
      </c>
    </row>
    <row r="13" spans="1:8" s="223" customFormat="1" ht="25.5" customHeight="1">
      <c r="A13" s="176">
        <v>9</v>
      </c>
      <c r="B13" s="286" t="s">
        <v>122</v>
      </c>
      <c r="C13" s="103"/>
      <c r="D13" s="103"/>
      <c r="E13" s="103"/>
      <c r="F13" s="103"/>
      <c r="G13" s="103">
        <v>2325000</v>
      </c>
      <c r="H13" s="117">
        <f>G13</f>
        <v>2325000</v>
      </c>
    </row>
    <row r="14" spans="1:8" s="223" customFormat="1" ht="25.5" customHeight="1" thickBot="1">
      <c r="A14" s="287">
        <v>10</v>
      </c>
      <c r="B14" s="288" t="s">
        <v>123</v>
      </c>
      <c r="C14" s="106">
        <v>24000</v>
      </c>
      <c r="D14" s="106"/>
      <c r="E14" s="106"/>
      <c r="F14" s="106"/>
      <c r="G14" s="106"/>
      <c r="H14" s="118">
        <f>C14</f>
        <v>24000</v>
      </c>
    </row>
    <row r="15" spans="1:8" ht="25.5" customHeight="1" thickBot="1" thickTop="1">
      <c r="A15" s="461" t="s">
        <v>108</v>
      </c>
      <c r="B15" s="462"/>
      <c r="C15" s="107">
        <f>C5+C6+C7+C8+C9+C10+C11+C12+C13+C14</f>
        <v>34416300</v>
      </c>
      <c r="D15" s="108">
        <f>D5+D6+D7+D8+D11+D12+D13+D14</f>
        <v>134873600</v>
      </c>
      <c r="E15" s="108">
        <f>E12</f>
        <v>12230000</v>
      </c>
      <c r="F15" s="108">
        <f>F7</f>
        <v>111546</v>
      </c>
      <c r="G15" s="109">
        <f>G9+G13</f>
        <v>2425000</v>
      </c>
      <c r="H15" s="110">
        <f>H5+H6+H7+H8+H9+H10+H11+H12+H13+H14</f>
        <v>184056446</v>
      </c>
    </row>
    <row r="16" ht="13.5" thickTop="1"/>
  </sheetData>
  <mergeCells count="5">
    <mergeCell ref="H3:H4"/>
    <mergeCell ref="A15:B15"/>
    <mergeCell ref="A3:A4"/>
    <mergeCell ref="B3:B4"/>
    <mergeCell ref="C3:G3"/>
  </mergeCells>
  <printOptions horizontalCentered="1"/>
  <pageMargins left="0.7874015748031497" right="0.7874015748031497" top="0.984251968503937" bottom="0.984251968503937" header="0.62" footer="0.5118110236220472"/>
  <pageSetup firstPageNumber="77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B1">
      <selection activeCell="E10" sqref="E10"/>
    </sheetView>
  </sheetViews>
  <sheetFormatPr defaultColWidth="9.125" defaultRowHeight="22.5" customHeight="1"/>
  <cols>
    <col min="1" max="1" width="30.875" style="161" customWidth="1"/>
    <col min="2" max="2" width="14.625" style="161" customWidth="1"/>
    <col min="3" max="3" width="16.75390625" style="161" customWidth="1"/>
    <col min="4" max="4" width="14.875" style="161" customWidth="1"/>
    <col min="5" max="5" width="14.75390625" style="161" customWidth="1"/>
    <col min="6" max="6" width="14.25390625" style="161" customWidth="1"/>
    <col min="7" max="7" width="12.75390625" style="161" customWidth="1"/>
    <col min="8" max="8" width="12.125" style="161" customWidth="1"/>
    <col min="9" max="16384" width="9.125" style="161" customWidth="1"/>
  </cols>
  <sheetData>
    <row r="1" spans="1:8" ht="22.5" customHeight="1">
      <c r="A1" s="119" t="s">
        <v>172</v>
      </c>
      <c r="H1" s="161" t="s">
        <v>133</v>
      </c>
    </row>
    <row r="2" ht="22.5" customHeight="1" thickBot="1"/>
    <row r="3" spans="1:8" ht="22.5" customHeight="1" thickTop="1">
      <c r="A3" s="469" t="s">
        <v>125</v>
      </c>
      <c r="B3" s="29" t="s">
        <v>55</v>
      </c>
      <c r="C3" s="456" t="s">
        <v>126</v>
      </c>
      <c r="D3" s="467" t="s">
        <v>127</v>
      </c>
      <c r="E3" s="472"/>
      <c r="F3" s="472"/>
      <c r="G3" s="472"/>
      <c r="H3" s="473"/>
    </row>
    <row r="4" spans="1:8" ht="33.75" customHeight="1" thickBot="1">
      <c r="A4" s="470"/>
      <c r="B4" s="88" t="s">
        <v>61</v>
      </c>
      <c r="C4" s="471"/>
      <c r="D4" s="112" t="s">
        <v>128</v>
      </c>
      <c r="E4" s="88" t="s">
        <v>129</v>
      </c>
      <c r="F4" s="12" t="s">
        <v>130</v>
      </c>
      <c r="G4" s="88" t="s">
        <v>131</v>
      </c>
      <c r="H4" s="120" t="s">
        <v>132</v>
      </c>
    </row>
    <row r="5" spans="1:8" ht="22.5" customHeight="1" thickBot="1" thickTop="1">
      <c r="A5" s="121" t="s">
        <v>23</v>
      </c>
      <c r="B5" s="122">
        <f>B6+B7+B8+B9+B10+B11+B12+B13</f>
        <v>2201.6000000000004</v>
      </c>
      <c r="C5" s="122">
        <f>SUM(C6,C7,C8,C9,C10,C11,C12,C13)</f>
        <v>299725031</v>
      </c>
      <c r="D5" s="123">
        <f>D6+D7+D11</f>
        <v>555.7</v>
      </c>
      <c r="E5" s="122">
        <f>SUM(E10,E11)</f>
        <v>22.2</v>
      </c>
      <c r="F5" s="122">
        <f>SUM(F10,F11)</f>
        <v>533.8</v>
      </c>
      <c r="G5" s="122">
        <f>SUM(G6,G11)</f>
        <v>84.5</v>
      </c>
      <c r="H5" s="124">
        <f>SUM(H6,H7,H8,H9,H10,H11,H12,H13)</f>
        <v>1005.4</v>
      </c>
    </row>
    <row r="6" spans="1:8" s="223" customFormat="1" ht="22.5" customHeight="1" thickTop="1">
      <c r="A6" s="290" t="s">
        <v>24</v>
      </c>
      <c r="B6" s="291">
        <v>437</v>
      </c>
      <c r="C6" s="291">
        <v>25040100</v>
      </c>
      <c r="D6" s="292"/>
      <c r="E6" s="291"/>
      <c r="F6" s="291"/>
      <c r="G6" s="291">
        <v>79</v>
      </c>
      <c r="H6" s="293">
        <v>358</v>
      </c>
    </row>
    <row r="7" spans="1:8" s="223" customFormat="1" ht="22.5" customHeight="1">
      <c r="A7" s="290" t="s">
        <v>25</v>
      </c>
      <c r="B7" s="294">
        <v>479.7</v>
      </c>
      <c r="C7" s="294">
        <v>32532664</v>
      </c>
      <c r="D7" s="292">
        <v>405.2</v>
      </c>
      <c r="E7" s="294"/>
      <c r="F7" s="294"/>
      <c r="G7" s="294"/>
      <c r="H7" s="295">
        <v>74.5</v>
      </c>
    </row>
    <row r="8" spans="1:8" s="223" customFormat="1" ht="22.5" customHeight="1">
      <c r="A8" s="296" t="s">
        <v>26</v>
      </c>
      <c r="B8" s="294">
        <v>108</v>
      </c>
      <c r="C8" s="294">
        <v>12376800</v>
      </c>
      <c r="D8" s="297"/>
      <c r="E8" s="294"/>
      <c r="F8" s="294"/>
      <c r="G8" s="294"/>
      <c r="H8" s="293">
        <v>108</v>
      </c>
    </row>
    <row r="9" spans="1:8" s="223" customFormat="1" ht="22.5" customHeight="1">
      <c r="A9" s="290" t="s">
        <v>27</v>
      </c>
      <c r="B9" s="291">
        <v>95.7</v>
      </c>
      <c r="C9" s="291">
        <v>10922614</v>
      </c>
      <c r="D9" s="292"/>
      <c r="E9" s="291"/>
      <c r="F9" s="291"/>
      <c r="G9" s="291"/>
      <c r="H9" s="295">
        <v>95.7</v>
      </c>
    </row>
    <row r="10" spans="1:8" s="223" customFormat="1" ht="22.5" customHeight="1">
      <c r="A10" s="296" t="s">
        <v>28</v>
      </c>
      <c r="B10" s="294">
        <v>223.5</v>
      </c>
      <c r="C10" s="294">
        <v>35943270</v>
      </c>
      <c r="D10" s="297"/>
      <c r="E10" s="294">
        <v>7.5</v>
      </c>
      <c r="F10" s="294">
        <v>211</v>
      </c>
      <c r="G10" s="294"/>
      <c r="H10" s="293">
        <v>5</v>
      </c>
    </row>
    <row r="11" spans="1:8" s="223" customFormat="1" ht="22.5" customHeight="1">
      <c r="A11" s="296" t="s">
        <v>29</v>
      </c>
      <c r="B11" s="294">
        <v>781.9</v>
      </c>
      <c r="C11" s="294">
        <v>174248526</v>
      </c>
      <c r="D11" s="297">
        <v>150.5</v>
      </c>
      <c r="E11" s="294">
        <v>14.7</v>
      </c>
      <c r="F11" s="294">
        <v>322.8</v>
      </c>
      <c r="G11" s="294">
        <v>5.5</v>
      </c>
      <c r="H11" s="295">
        <v>288.4</v>
      </c>
    </row>
    <row r="12" spans="1:8" s="223" customFormat="1" ht="22.5" customHeight="1">
      <c r="A12" s="296" t="s">
        <v>30</v>
      </c>
      <c r="B12" s="294">
        <v>27</v>
      </c>
      <c r="C12" s="294">
        <v>3094200</v>
      </c>
      <c r="D12" s="297"/>
      <c r="E12" s="294"/>
      <c r="F12" s="294"/>
      <c r="G12" s="294"/>
      <c r="H12" s="293">
        <v>27</v>
      </c>
    </row>
    <row r="13" spans="1:8" s="223" customFormat="1" ht="22.5" customHeight="1" thickBot="1">
      <c r="A13" s="298" t="s">
        <v>31</v>
      </c>
      <c r="B13" s="299">
        <v>48.8</v>
      </c>
      <c r="C13" s="299">
        <v>5566857</v>
      </c>
      <c r="D13" s="300"/>
      <c r="E13" s="299"/>
      <c r="F13" s="299"/>
      <c r="G13" s="299"/>
      <c r="H13" s="301">
        <v>48.8</v>
      </c>
    </row>
    <row r="14" ht="22.5" customHeight="1" thickTop="1"/>
  </sheetData>
  <mergeCells count="3">
    <mergeCell ref="A3:A4"/>
    <mergeCell ref="C3:C4"/>
    <mergeCell ref="D3:H3"/>
  </mergeCells>
  <printOptions horizontalCentered="1"/>
  <pageMargins left="0.59" right="0.23" top="1.28" bottom="0.984251968503937" header="0.72" footer="0.5118110236220472"/>
  <pageSetup firstPageNumber="78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7">
      <selection activeCell="A29" sqref="A29"/>
    </sheetView>
  </sheetViews>
  <sheetFormatPr defaultColWidth="9.00390625" defaultRowHeight="12.75"/>
  <cols>
    <col min="1" max="1" width="58.75390625" style="135" customWidth="1"/>
    <col min="2" max="2" width="9.125" style="135" customWidth="1"/>
    <col min="3" max="3" width="18.75390625" style="135" customWidth="1"/>
    <col min="4" max="4" width="19.00390625" style="135" customWidth="1"/>
    <col min="5" max="5" width="17.25390625" style="135" customWidth="1"/>
    <col min="6" max="6" width="16.125" style="135" customWidth="1"/>
    <col min="7" max="16384" width="9.125" style="135" customWidth="1"/>
  </cols>
  <sheetData>
    <row r="1" ht="15.75">
      <c r="F1" s="302" t="s">
        <v>148</v>
      </c>
    </row>
    <row r="2" s="148" customFormat="1" ht="30.75" customHeight="1" thickBot="1">
      <c r="A2" s="289" t="s">
        <v>149</v>
      </c>
    </row>
    <row r="3" spans="1:6" ht="16.5" thickTop="1">
      <c r="A3" s="443" t="s">
        <v>16</v>
      </c>
      <c r="B3" s="125" t="s">
        <v>134</v>
      </c>
      <c r="C3" s="111" t="s">
        <v>56</v>
      </c>
      <c r="D3" s="111" t="s">
        <v>57</v>
      </c>
      <c r="E3" s="111" t="s">
        <v>58</v>
      </c>
      <c r="F3" s="474" t="s">
        <v>59</v>
      </c>
    </row>
    <row r="4" spans="1:6" ht="16.5" thickBot="1">
      <c r="A4" s="449"/>
      <c r="B4" s="112" t="s">
        <v>60</v>
      </c>
      <c r="C4" s="112" t="s">
        <v>62</v>
      </c>
      <c r="D4" s="112" t="s">
        <v>62</v>
      </c>
      <c r="E4" s="112" t="s">
        <v>62</v>
      </c>
      <c r="F4" s="353"/>
    </row>
    <row r="5" spans="1:6" ht="16.5" thickTop="1">
      <c r="A5" s="127" t="s">
        <v>135</v>
      </c>
      <c r="B5" s="128">
        <v>9</v>
      </c>
      <c r="C5" s="129">
        <f>SUM(C6:C13)</f>
        <v>1904377</v>
      </c>
      <c r="D5" s="129">
        <f>SUM(D6:D13)</f>
        <v>869421</v>
      </c>
      <c r="E5" s="129">
        <f>C5-D5</f>
        <v>1034956</v>
      </c>
      <c r="F5" s="130">
        <f>E5*100/$E$28</f>
        <v>68.50411108331116</v>
      </c>
    </row>
    <row r="6" spans="1:6" s="303" customFormat="1" ht="15">
      <c r="A6" s="192" t="s">
        <v>33</v>
      </c>
      <c r="B6" s="220">
        <v>0</v>
      </c>
      <c r="C6" s="220">
        <v>0</v>
      </c>
      <c r="D6" s="220">
        <v>0</v>
      </c>
      <c r="E6" s="195">
        <f>C6-D6</f>
        <v>0</v>
      </c>
      <c r="F6" s="203">
        <f>E6*100/$E$28</f>
        <v>0</v>
      </c>
    </row>
    <row r="7" spans="1:6" s="303" customFormat="1" ht="15">
      <c r="A7" s="192" t="s">
        <v>136</v>
      </c>
      <c r="B7" s="220">
        <v>0</v>
      </c>
      <c r="C7" s="220">
        <v>0</v>
      </c>
      <c r="D7" s="220">
        <v>0</v>
      </c>
      <c r="E7" s="195">
        <f>C7-D7</f>
        <v>0</v>
      </c>
      <c r="F7" s="203">
        <f aca="true" t="shared" si="0" ref="F7:F20">E7*100/$E$28</f>
        <v>0</v>
      </c>
    </row>
    <row r="8" spans="1:6" s="303" customFormat="1" ht="15">
      <c r="A8" s="204" t="s">
        <v>66</v>
      </c>
      <c r="B8" s="304">
        <v>5</v>
      </c>
      <c r="C8" s="220">
        <v>995984</v>
      </c>
      <c r="D8" s="220">
        <v>306012</v>
      </c>
      <c r="E8" s="195">
        <f aca="true" t="shared" si="1" ref="E8:E23">C8-D8</f>
        <v>689972</v>
      </c>
      <c r="F8" s="203">
        <f t="shared" si="0"/>
        <v>45.669495642688545</v>
      </c>
    </row>
    <row r="9" spans="1:6" s="303" customFormat="1" ht="15">
      <c r="A9" s="204" t="s">
        <v>35</v>
      </c>
      <c r="B9" s="220">
        <v>0</v>
      </c>
      <c r="C9" s="220">
        <v>0</v>
      </c>
      <c r="D9" s="220">
        <v>0</v>
      </c>
      <c r="E9" s="195">
        <f t="shared" si="1"/>
        <v>0</v>
      </c>
      <c r="F9" s="203">
        <f t="shared" si="0"/>
        <v>0</v>
      </c>
    </row>
    <row r="10" spans="1:6" s="303" customFormat="1" ht="15">
      <c r="A10" s="204" t="s">
        <v>36</v>
      </c>
      <c r="B10" s="220">
        <v>0</v>
      </c>
      <c r="C10" s="220">
        <v>0</v>
      </c>
      <c r="D10" s="220">
        <v>0</v>
      </c>
      <c r="E10" s="195">
        <f t="shared" si="1"/>
        <v>0</v>
      </c>
      <c r="F10" s="203">
        <f t="shared" si="0"/>
        <v>0</v>
      </c>
    </row>
    <row r="11" spans="1:6" s="303" customFormat="1" ht="15">
      <c r="A11" s="204" t="s">
        <v>37</v>
      </c>
      <c r="B11" s="220">
        <v>0</v>
      </c>
      <c r="C11" s="220">
        <v>0</v>
      </c>
      <c r="D11" s="220">
        <v>0</v>
      </c>
      <c r="E11" s="195">
        <f t="shared" si="1"/>
        <v>0</v>
      </c>
      <c r="F11" s="203">
        <f t="shared" si="0"/>
        <v>0</v>
      </c>
    </row>
    <row r="12" spans="1:6" s="303" customFormat="1" ht="15">
      <c r="A12" s="204" t="s">
        <v>38</v>
      </c>
      <c r="B12" s="220">
        <v>0</v>
      </c>
      <c r="C12" s="220">
        <v>0</v>
      </c>
      <c r="D12" s="220">
        <v>0</v>
      </c>
      <c r="E12" s="195">
        <f t="shared" si="1"/>
        <v>0</v>
      </c>
      <c r="F12" s="203">
        <f t="shared" si="0"/>
        <v>0</v>
      </c>
    </row>
    <row r="13" spans="1:6" s="303" customFormat="1" ht="15">
      <c r="A13" s="204" t="s">
        <v>39</v>
      </c>
      <c r="B13" s="304">
        <v>4</v>
      </c>
      <c r="C13" s="220">
        <v>908393</v>
      </c>
      <c r="D13" s="220">
        <v>563409</v>
      </c>
      <c r="E13" s="195">
        <f t="shared" si="1"/>
        <v>344984</v>
      </c>
      <c r="F13" s="203">
        <f t="shared" si="0"/>
        <v>22.834615440622613</v>
      </c>
    </row>
    <row r="14" spans="1:6" s="303" customFormat="1" ht="15">
      <c r="A14" s="192" t="s">
        <v>137</v>
      </c>
      <c r="B14" s="220" t="s">
        <v>64</v>
      </c>
      <c r="C14" s="220">
        <v>163728</v>
      </c>
      <c r="D14" s="220">
        <v>104559</v>
      </c>
      <c r="E14" s="195">
        <f t="shared" si="1"/>
        <v>59169</v>
      </c>
      <c r="F14" s="203">
        <f t="shared" si="0"/>
        <v>3.9164174599581414</v>
      </c>
    </row>
    <row r="15" spans="1:6" s="303" customFormat="1" ht="15">
      <c r="A15" s="204" t="s">
        <v>138</v>
      </c>
      <c r="B15" s="304">
        <v>4</v>
      </c>
      <c r="C15" s="220">
        <v>71094</v>
      </c>
      <c r="D15" s="220">
        <v>25243</v>
      </c>
      <c r="E15" s="195">
        <f t="shared" si="1"/>
        <v>45851</v>
      </c>
      <c r="F15" s="203">
        <f t="shared" si="0"/>
        <v>3.0348942344224294</v>
      </c>
    </row>
    <row r="16" spans="1:6" s="303" customFormat="1" ht="15">
      <c r="A16" s="204" t="s">
        <v>139</v>
      </c>
      <c r="B16" s="220">
        <v>137</v>
      </c>
      <c r="C16" s="220">
        <v>615060</v>
      </c>
      <c r="D16" s="220">
        <v>451996</v>
      </c>
      <c r="E16" s="195">
        <f t="shared" si="1"/>
        <v>163064</v>
      </c>
      <c r="F16" s="203">
        <f t="shared" si="0"/>
        <v>10.793264998404812</v>
      </c>
    </row>
    <row r="17" spans="1:6" s="303" customFormat="1" ht="15">
      <c r="A17" s="213" t="s">
        <v>140</v>
      </c>
      <c r="B17" s="220">
        <v>15</v>
      </c>
      <c r="C17" s="220">
        <v>85438</v>
      </c>
      <c r="D17" s="220">
        <v>31086</v>
      </c>
      <c r="E17" s="195">
        <f t="shared" si="1"/>
        <v>54352</v>
      </c>
      <c r="F17" s="203">
        <f t="shared" si="0"/>
        <v>3.5975784918393905</v>
      </c>
    </row>
    <row r="18" spans="1:6" s="303" customFormat="1" ht="15">
      <c r="A18" s="204" t="s">
        <v>141</v>
      </c>
      <c r="B18" s="220">
        <v>14</v>
      </c>
      <c r="C18" s="220">
        <v>82219</v>
      </c>
      <c r="D18" s="220">
        <v>55472</v>
      </c>
      <c r="E18" s="195">
        <f t="shared" si="1"/>
        <v>26747</v>
      </c>
      <c r="F18" s="203">
        <f t="shared" si="0"/>
        <v>1.770393581123568</v>
      </c>
    </row>
    <row r="19" spans="1:6" s="303" customFormat="1" ht="15">
      <c r="A19" s="204" t="s">
        <v>142</v>
      </c>
      <c r="B19" s="304">
        <v>5</v>
      </c>
      <c r="C19" s="220">
        <v>289125</v>
      </c>
      <c r="D19" s="220">
        <v>192555</v>
      </c>
      <c r="E19" s="195">
        <f t="shared" si="1"/>
        <v>96570</v>
      </c>
      <c r="F19" s="203">
        <f t="shared" si="0"/>
        <v>6.392003145365947</v>
      </c>
    </row>
    <row r="20" spans="1:6" ht="15.75">
      <c r="A20" s="131" t="s">
        <v>143</v>
      </c>
      <c r="B20" s="132" t="s">
        <v>101</v>
      </c>
      <c r="C20" s="133">
        <v>1094471</v>
      </c>
      <c r="D20" s="133">
        <v>1093846</v>
      </c>
      <c r="E20" s="83">
        <f t="shared" si="1"/>
        <v>625</v>
      </c>
      <c r="F20" s="134">
        <f t="shared" si="0"/>
        <v>0.041368975518833145</v>
      </c>
    </row>
    <row r="21" spans="1:6" s="303" customFormat="1" ht="15">
      <c r="A21" s="213" t="s">
        <v>47</v>
      </c>
      <c r="B21" s="280" t="s">
        <v>101</v>
      </c>
      <c r="C21" s="237">
        <v>11900</v>
      </c>
      <c r="D21" s="237">
        <v>11275</v>
      </c>
      <c r="E21" s="195">
        <f t="shared" si="1"/>
        <v>625</v>
      </c>
      <c r="F21" s="239">
        <v>0.04413470901809805</v>
      </c>
    </row>
    <row r="22" spans="1:6" s="303" customFormat="1" ht="15">
      <c r="A22" s="213" t="s">
        <v>48</v>
      </c>
      <c r="B22" s="280" t="s">
        <v>101</v>
      </c>
      <c r="C22" s="237">
        <v>1082697</v>
      </c>
      <c r="D22" s="237">
        <v>1082697</v>
      </c>
      <c r="E22" s="195">
        <f t="shared" si="1"/>
        <v>0</v>
      </c>
      <c r="F22" s="239">
        <v>0</v>
      </c>
    </row>
    <row r="23" spans="1:6" s="303" customFormat="1" ht="15.75" thickBot="1">
      <c r="A23" s="199" t="s">
        <v>144</v>
      </c>
      <c r="B23" s="240" t="s">
        <v>101</v>
      </c>
      <c r="C23" s="222">
        <v>0</v>
      </c>
      <c r="D23" s="207">
        <v>0</v>
      </c>
      <c r="E23" s="195">
        <f t="shared" si="1"/>
        <v>0</v>
      </c>
      <c r="F23" s="241">
        <v>0</v>
      </c>
    </row>
    <row r="24" spans="1:6" ht="17.25" thickBot="1" thickTop="1">
      <c r="A24" s="5" t="s">
        <v>50</v>
      </c>
      <c r="B24" s="126">
        <f>SUM(B8:B13,B15:B19)</f>
        <v>184</v>
      </c>
      <c r="C24" s="8">
        <f>SUM(C6:C19,C21:C23)</f>
        <v>4305638</v>
      </c>
      <c r="D24" s="8">
        <f>SUM(D6:D19,D21:D23)</f>
        <v>2824304</v>
      </c>
      <c r="E24" s="7">
        <f>C24-D24</f>
        <v>1481334</v>
      </c>
      <c r="F24" s="87">
        <f>E24*100/E28</f>
        <v>98.05003196994429</v>
      </c>
    </row>
    <row r="25" spans="1:6" s="303" customFormat="1" ht="15.75" thickTop="1">
      <c r="A25" s="192" t="s">
        <v>145</v>
      </c>
      <c r="B25" s="227" t="s">
        <v>101</v>
      </c>
      <c r="C25" s="220">
        <v>130494</v>
      </c>
      <c r="D25" s="220">
        <v>101034</v>
      </c>
      <c r="E25" s="195">
        <v>29460</v>
      </c>
      <c r="F25" s="198">
        <f>E25*100/E28</f>
        <v>1.949968030055719</v>
      </c>
    </row>
    <row r="26" spans="1:6" s="303" customFormat="1" ht="15">
      <c r="A26" s="204" t="s">
        <v>146</v>
      </c>
      <c r="B26" s="227" t="s">
        <v>101</v>
      </c>
      <c r="C26" s="220">
        <v>0</v>
      </c>
      <c r="D26" s="220">
        <v>0</v>
      </c>
      <c r="E26" s="195">
        <v>0</v>
      </c>
      <c r="F26" s="198">
        <v>0</v>
      </c>
    </row>
    <row r="27" spans="1:6" s="303" customFormat="1" ht="15.75" thickBot="1">
      <c r="A27" s="199" t="s">
        <v>147</v>
      </c>
      <c r="B27" s="227" t="s">
        <v>101</v>
      </c>
      <c r="C27" s="220">
        <v>0</v>
      </c>
      <c r="D27" s="220">
        <v>0</v>
      </c>
      <c r="E27" s="195">
        <v>0</v>
      </c>
      <c r="F27" s="241">
        <v>0</v>
      </c>
    </row>
    <row r="28" spans="1:6" ht="24" customHeight="1" thickBot="1" thickTop="1">
      <c r="A28" s="5" t="s">
        <v>54</v>
      </c>
      <c r="B28" s="18" t="s">
        <v>64</v>
      </c>
      <c r="C28" s="85">
        <f>SUM(C24:C27)</f>
        <v>4436132</v>
      </c>
      <c r="D28" s="85">
        <f>SUM(D24:D27)</f>
        <v>2925338</v>
      </c>
      <c r="E28" s="85">
        <f>C28-D28</f>
        <v>1510794</v>
      </c>
      <c r="F28" s="87">
        <v>100</v>
      </c>
    </row>
    <row r="29" ht="16.5" thickTop="1"/>
    <row r="30" ht="15.75">
      <c r="A30" s="76"/>
    </row>
    <row r="31" ht="15.75">
      <c r="A31" s="76"/>
    </row>
  </sheetData>
  <mergeCells count="2">
    <mergeCell ref="A3:A4"/>
    <mergeCell ref="F3:F4"/>
  </mergeCells>
  <printOptions horizontalCentered="1"/>
  <pageMargins left="0.2362204724409449" right="0.2362204724409449" top="0.94" bottom="0.31496062992125984" header="0.57" footer="0.5118110236220472"/>
  <pageSetup firstPageNumber="7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2007-01-15T12:02:36Z</cp:lastPrinted>
  <dcterms:created xsi:type="dcterms:W3CDTF">2006-11-27T10:50:04Z</dcterms:created>
  <dcterms:modified xsi:type="dcterms:W3CDTF">2007-02-28T08:01:00Z</dcterms:modified>
  <cp:category/>
  <cp:version/>
  <cp:contentType/>
  <cp:contentStatus/>
</cp:coreProperties>
</file>