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8" activeTab="18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" sheetId="9" r:id="rId9"/>
    <sheet name="zał 11" sheetId="10" r:id="rId10"/>
    <sheet name="zał 12" sheetId="11" r:id="rId11"/>
    <sheet name="zał 13" sheetId="12" r:id="rId12"/>
    <sheet name="zał 14" sheetId="13" r:id="rId13"/>
    <sheet name="zał 15" sheetId="14" r:id="rId14"/>
    <sheet name="zał 16" sheetId="15" r:id="rId15"/>
    <sheet name="zał 17 " sheetId="16" r:id="rId16"/>
    <sheet name="zał 18" sheetId="17" r:id="rId17"/>
    <sheet name="zał 19" sheetId="18" r:id="rId18"/>
    <sheet name="zał 20" sheetId="19" r:id="rId19"/>
  </sheets>
  <definedNames>
    <definedName name="_xlnm.Print_Titles" localSheetId="12">'zał 14'!$9:$10</definedName>
    <definedName name="_xlnm.Print_Titles" localSheetId="17">'zał 19'!$7:$9</definedName>
    <definedName name="_xlnm.Print_Titles" localSheetId="18">'zał 20'!$9:$11</definedName>
    <definedName name="_xlnm.Print_Titles" localSheetId="2">'zał 3'!$7:$9</definedName>
    <definedName name="_xlnm.Print_Titles" localSheetId="3">'zał 4'!$9:$11</definedName>
  </definedNames>
  <calcPr fullCalcOnLoad="1"/>
</workbook>
</file>

<file path=xl/sharedStrings.xml><?xml version="1.0" encoding="utf-8"?>
<sst xmlns="http://schemas.openxmlformats.org/spreadsheetml/2006/main" count="2264" uniqueCount="788">
  <si>
    <t>Zakup usług zdrowotnych</t>
  </si>
  <si>
    <t>Zakup usług dostępu do sieci Internet</t>
  </si>
  <si>
    <t>Świadczenia społeczne</t>
  </si>
  <si>
    <t>Załącznik nr 18 do Uchwały</t>
  </si>
  <si>
    <t xml:space="preserve"> PLAN   PRZYCHODÓW   I   WYDATKÓW  </t>
  </si>
  <si>
    <t xml:space="preserve">FUNDUSZY  CELOWYCH </t>
  </si>
  <si>
    <t xml:space="preserve"> w złotych</t>
  </si>
  <si>
    <t>Przewidywane wykonanie                   2006 r.</t>
  </si>
  <si>
    <t>Plan                                           2009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</si>
  <si>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</si>
  <si>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</si>
  <si>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</si>
  <si>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</si>
  <si>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</si>
  <si>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</si>
  <si>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Nr XXX/335/2008</t>
  </si>
  <si>
    <t>po zmianach</t>
  </si>
  <si>
    <t>BUDŻET NA       2008 rok</t>
  </si>
  <si>
    <t xml:space="preserve"> -   na zadania bieżące</t>
  </si>
  <si>
    <t xml:space="preserve"> -   na zadania majątkowe</t>
  </si>
  <si>
    <t>majątkowe</t>
  </si>
  <si>
    <t>Uzupełnienie subwencji ogólnej</t>
  </si>
  <si>
    <t xml:space="preserve">DOTACJE I WPŁYWY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</si>
  <si>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celowych), z tego:</t>
    </r>
  </si>
  <si>
    <t xml:space="preserve">        </t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</si>
  <si>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</si>
  <si>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>bieżące</t>
  </si>
  <si>
    <t xml:space="preserve">                  Nr XXX/335/2008</t>
  </si>
  <si>
    <t xml:space="preserve">                  po zmianach</t>
  </si>
  <si>
    <t xml:space="preserve">                   po zmianach</t>
  </si>
  <si>
    <t xml:space="preserve">                         Nr XXX/335/2008</t>
  </si>
  <si>
    <t xml:space="preserve">                          po zmianach</t>
  </si>
  <si>
    <t xml:space="preserve">NA   2008   ROK </t>
  </si>
  <si>
    <t>Nr  XXX / 335 / 2008</t>
  </si>
  <si>
    <t>JEDNOSTEK POMOCNICZYCH  - RAD OSIEDLI                                                                                     NA 2009 ROK</t>
  </si>
  <si>
    <t>R.O. T. KOTARBIŃSKIEGO</t>
  </si>
  <si>
    <t>R.O. LECHITÓW</t>
  </si>
  <si>
    <t xml:space="preserve">R.O. NOWOBRAMSKIE </t>
  </si>
  <si>
    <t>R.O. ROKOSOWO</t>
  </si>
  <si>
    <t>R.O. J.J. ŚNIADECKICH</t>
  </si>
  <si>
    <t>R.O. TYSIĄCLECIA</t>
  </si>
  <si>
    <t>Dotacje celowe przekazane do samorządu województwa na zadania bieżące realizowane na podstawie porozumień z jst</t>
  </si>
  <si>
    <t>Dotacja celowa z budżetu dla jednostek niezaliczanych do sektora finansów publicznych realizujących projekty finansowane z udziałem środków z budżetu UE</t>
  </si>
  <si>
    <t>PRZYCHODY WŁASNE</t>
  </si>
  <si>
    <t xml:space="preserve">              po zmianach</t>
  </si>
  <si>
    <t>Dotacje celowe przekazane do samorząduwojewództwa na zadania bieżace realizowane na podstawie porozumień z jst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</si>
  <si>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</si>
  <si>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</si>
  <si>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</si>
  <si>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2009 - 2011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</si>
  <si>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</si>
  <si>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</si>
  <si>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</si>
  <si>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</si>
  <si>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</si>
  <si>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</si>
  <si>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</si>
  <si>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</si>
  <si>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</si>
  <si>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</si>
  <si>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</si>
  <si>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2009 r.</t>
  </si>
  <si>
    <t>2010 r.</t>
  </si>
  <si>
    <t>2011 r.</t>
  </si>
  <si>
    <t xml:space="preserve">INWESTYCJE KONTYNUOWANE </t>
  </si>
  <si>
    <t>Ewidencja dróg</t>
  </si>
  <si>
    <t>ZDM</t>
  </si>
  <si>
    <t>Remomt ul. Kędzierzyńskiej</t>
  </si>
  <si>
    <t xml:space="preserve">Remont odcinka ul. Zwycięstwa </t>
  </si>
  <si>
    <t>ul. Kwiatkowskiego</t>
  </si>
  <si>
    <t>2009</t>
  </si>
  <si>
    <t>Remont obiektów mostowych (ul.Monte Cassino)</t>
  </si>
  <si>
    <t>2011</t>
  </si>
  <si>
    <t>Remont skrzyżowania ulic Monte Cassino - Fałata</t>
  </si>
  <si>
    <t>ul.Mieszka I-go (od ul.BOWiD do wiaduktu)</t>
  </si>
  <si>
    <t>Dokumentacja pod przyszłe inwestycje i remonty</t>
  </si>
  <si>
    <t>ciągle</t>
  </si>
  <si>
    <t>ul.Lutyków, ul.Obotrytów, ul.P.Skargi, ul.Łużycka, ul.Poprzeczna</t>
  </si>
  <si>
    <t>ul.Reymonta, ul.Staffa, Struga, Tetmajera, Żeromskiego</t>
  </si>
  <si>
    <t>Przebudowa ul.Brzozowej</t>
  </si>
  <si>
    <t>Remont odcinka ul.Bursztynowej</t>
  </si>
  <si>
    <t>Przebudowa ul.Wenedów</t>
  </si>
  <si>
    <t>Osiedle Bukowe - drogi</t>
  </si>
  <si>
    <t>IK</t>
  </si>
  <si>
    <t>po 2011</t>
  </si>
  <si>
    <t>Osiedle "Topolowe"- drogi</t>
  </si>
  <si>
    <t>ul.Kosynierów</t>
  </si>
  <si>
    <t xml:space="preserve">Dokumentacja pod przyszłe inwestycje </t>
  </si>
  <si>
    <t xml:space="preserve">Budowa parkingu przy ul. Budowniczych </t>
  </si>
  <si>
    <t>Remont nawierzchni placu przy ul.Połczyńskiej 24</t>
  </si>
  <si>
    <t>Przebudowa Rynku Staromiejskiego</t>
  </si>
  <si>
    <t>Budowa sieci światłowodowej</t>
  </si>
  <si>
    <t>Inf</t>
  </si>
  <si>
    <t>Budownictwo mieszkaniowe</t>
  </si>
  <si>
    <t>Rozbudowa Cmentarza Komunalnego</t>
  </si>
  <si>
    <t>OA</t>
  </si>
  <si>
    <t>Modernizacja budynku Straży Pożarnej</t>
  </si>
  <si>
    <t>ZK</t>
  </si>
  <si>
    <t>Rezerwa na inwestycje zakończone</t>
  </si>
  <si>
    <t>Rozbudowa sieci oświetleniowej - drogi krajowe, wojewódzkie i powiatowe</t>
  </si>
  <si>
    <t>Rozbudowa sieci oświetleniowej - drogi gminne</t>
  </si>
  <si>
    <t>Budowa szaletów miejskich</t>
  </si>
  <si>
    <t>Kolektor północny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</si>
  <si>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</si>
  <si>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</si>
  <si>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</si>
  <si>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</si>
  <si>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</si>
  <si>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Modernizacja stadionu "Bałtyk" </t>
  </si>
  <si>
    <t xml:space="preserve">INWESTYCJE ROZPOCZYNANE </t>
  </si>
  <si>
    <t>Dokumentacja na modernizację nawierzchni targowiska przy ul.Połczyńskiej</t>
  </si>
  <si>
    <t>Skrzyżowanie ulic: A.Krajowej - Boh. Warszawy - Morskiej</t>
  </si>
  <si>
    <t>2010</t>
  </si>
  <si>
    <t>ul. Młyńska</t>
  </si>
  <si>
    <t>ul. Połczyńska (odcinek od ul.Działkowej do ul.Żytniej)</t>
  </si>
  <si>
    <t>2012</t>
  </si>
  <si>
    <t>Budowa parkingu, zatok autobusowych, kanalizacji deszczowej oraz wykonanie nawierzchni asfaltowej przy ul.Gnieźnieńskiej</t>
  </si>
  <si>
    <t>Przebudowa pętli autobusowej przy ul. Szczecińskiej</t>
  </si>
  <si>
    <t>Przebudowa skrzyżowań / budowa skrzyżowań z ruchem okrężnym</t>
  </si>
  <si>
    <t>Remont odcinka nawierzchni ul. Dzierżęcińskiej</t>
  </si>
  <si>
    <t>Remont ul.Powstańców Wielkopolskich</t>
  </si>
  <si>
    <t>ul. Lubiatowska</t>
  </si>
  <si>
    <t>IK, ZDM</t>
  </si>
  <si>
    <t>Przebudowa ul.St. Moniuszki</t>
  </si>
  <si>
    <t>Przebudowa ul.Marynarzy</t>
  </si>
  <si>
    <t>Remont ul.Jabłoniowej</t>
  </si>
  <si>
    <t>ul.Rzeczna (dojazd do Spec. Ośrodka Szkolno-Wychowawczego)</t>
  </si>
  <si>
    <t>Modernizacja rejonu ulic Tytusa Chałubińskiego - Leśna - Promykowa</t>
  </si>
  <si>
    <t>Osiedle "Lipowe"- drogi</t>
  </si>
  <si>
    <t>Budowa łącznika ul.Dywizji Drezdeńskiej - Przyjaźni</t>
  </si>
  <si>
    <t xml:space="preserve">Przebudowa ul.Połtawskiej </t>
  </si>
  <si>
    <t>Przebudowa ul.Sikorskiego</t>
  </si>
  <si>
    <t>Budowa parkingu przy ul. Baczewskiego</t>
  </si>
  <si>
    <t>Przebudowa ul.Fałata</t>
  </si>
  <si>
    <t>Modernizacja szkół</t>
  </si>
  <si>
    <t>E</t>
  </si>
  <si>
    <t>Remont i modernizacja przedszkoli</t>
  </si>
  <si>
    <t>Modernizacja przedszkoli</t>
  </si>
  <si>
    <t>IK, E</t>
  </si>
  <si>
    <t>Modernizacja placówek w ramach Polsko-Niemieckiej Współpracy Młodzieżowej Koszalin- Strasburg</t>
  </si>
  <si>
    <t>Modernizacja  placów zabaw</t>
  </si>
  <si>
    <t>PU</t>
  </si>
  <si>
    <t>Wymiana stolarki okiennej i drzwi w siedzibie na ul.Monte Cassino, remont siedziby i ogrodzenia przy ul.Podgórnej</t>
  </si>
  <si>
    <t>KS</t>
  </si>
  <si>
    <t>Zabudowa tarasu w żłobku "Skrzat", wymiana instalacji elektrycznej "Bolek i Lolek"</t>
  </si>
  <si>
    <t>Klimatyzacja - Pałac Młodzieży</t>
  </si>
  <si>
    <t>Modernizacja placówek oświatowo - wychowawczych</t>
  </si>
  <si>
    <t>Szkolne Schronisko Młodzieżowe - modernizacja placówki</t>
  </si>
  <si>
    <t>Budowa schroniska dla zwierząt</t>
  </si>
  <si>
    <t>Uzbrojenie terenu pod ogródki działkowe przy ul.Władysława IV</t>
  </si>
  <si>
    <t>IK, N</t>
  </si>
  <si>
    <t xml:space="preserve">Dotacja na roboty inwestycyjne dla Muzeum </t>
  </si>
  <si>
    <t xml:space="preserve">OGÓŁEM  (I+II)  </t>
  </si>
  <si>
    <t xml:space="preserve">INWESTYCJE PLANOWANE DO DOFINANSOWANIA </t>
  </si>
  <si>
    <t>ul. Gnieźnieńska (od 4-go Marca do Połczyńskiej)</t>
  </si>
  <si>
    <t>Budowa ścieżek rowerowych</t>
  </si>
  <si>
    <t>2007</t>
  </si>
  <si>
    <t>Budowa i przebudowa dróg stanowiących zewnętrzny pierścień układu komunikacyjnego</t>
  </si>
  <si>
    <t>ul. Syrenki</t>
  </si>
  <si>
    <t>Waryńskiego ze skrzyżowaniem z ul. Zwycięstwa, Piłsudskiego, Kościuszki</t>
  </si>
  <si>
    <t>ul. Gdańska</t>
  </si>
  <si>
    <t xml:space="preserve">Przebudowa rejonu ul.Gnieżnieńskiej - 4-go Marca - Połczyńskiej </t>
  </si>
  <si>
    <t>Osiedle "Unii Europejskiej"- drogi</t>
  </si>
  <si>
    <t>Osiedle Podgórne - Bat. Chłopskich - drogi</t>
  </si>
  <si>
    <t>Parking przy ul.Na Skarpie - E. Kwiatkowskiego</t>
  </si>
  <si>
    <t>"Bezpieczny i inteligentny Koszalin" - budowa zintegrowanej sieci telekomunikacyjnej</t>
  </si>
  <si>
    <t>Boiska sportowe przy ZS Nr 13</t>
  </si>
  <si>
    <t>Boisko sportowe przy Szkole Podstawowej nr 7</t>
  </si>
  <si>
    <t>Boisko sportowe przy Szkole Podstawowej nr 13</t>
  </si>
  <si>
    <t>Sala sportowa przy Gimnazjum Nr 6</t>
  </si>
  <si>
    <t>ul.Różana - Lniana (porządkowanie gospodarki wod.ściekowej)</t>
  </si>
  <si>
    <t>Uzbrojenie terenu pod Słupską Specjalną Strefę Ekonomiczną, Kompleks Koszalin</t>
  </si>
  <si>
    <t>Uzbrojenie Osiedla Chełmoniewo</t>
  </si>
  <si>
    <t>Uzbrojenie rejonu ul. Szczecińskiej</t>
  </si>
  <si>
    <t>Uzbrojenie Osiedla Sarzyno</t>
  </si>
  <si>
    <t>Uzbrojenie osiedla Podgórne - Batalionów Chłopskich</t>
  </si>
  <si>
    <t xml:space="preserve">Uzbrojenie rejonu ulicy R. Traugutta </t>
  </si>
  <si>
    <t>Oświetlenie iluminacyjne</t>
  </si>
  <si>
    <t>Filharmonia - sala koncertowa</t>
  </si>
  <si>
    <t>Boisko sportowe przy Szkole Podstawowej nr 18</t>
  </si>
  <si>
    <t>Boiska sportowe na osiedlu Wenedów</t>
  </si>
  <si>
    <t xml:space="preserve">OGÓŁEM  (I+II+III)  </t>
  </si>
  <si>
    <t>Załącznik nr  20 do Uchwały</t>
  </si>
  <si>
    <t xml:space="preserve">WYDATKI  BUDŻETU NA PROGRAMY I PROJEKTY REALIZOWANE  ZE  ŚRODKÓW  ZEWNĘTRZNYCH </t>
  </si>
  <si>
    <t>W  2009  ROKU</t>
  </si>
  <si>
    <t>Nazwa programu, projektu</t>
  </si>
  <si>
    <t>Finansowanie 2009r.</t>
  </si>
  <si>
    <t>%</t>
  </si>
  <si>
    <t>finansowe
w 2009r.</t>
  </si>
  <si>
    <t xml:space="preserve">Środki własne </t>
  </si>
  <si>
    <t xml:space="preserve">Środki pomocowe </t>
  </si>
  <si>
    <t>dofinansowania</t>
  </si>
  <si>
    <t>Program Operacyjny Infrastruktura i Środowisko 
Fundusz Spójności  
Europejski Fundusz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</si>
  <si>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</si>
  <si>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</si>
  <si>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</si>
  <si>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</si>
  <si>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</si>
  <si>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"Koszaliński Program Integracji Społecznej  START"</t>
  </si>
  <si>
    <t>Program Operacyjny Kapitał Ludzki Województwo Zachodniopomorskie - Wojewódzki Urząd Pracy</t>
  </si>
  <si>
    <t>4118</t>
  </si>
  <si>
    <t>4119</t>
  </si>
  <si>
    <t>4128</t>
  </si>
  <si>
    <t>Składki na FP</t>
  </si>
  <si>
    <t>4129</t>
  </si>
  <si>
    <t>4178</t>
  </si>
  <si>
    <t>4179</t>
  </si>
  <si>
    <t>4218</t>
  </si>
  <si>
    <t>4219</t>
  </si>
  <si>
    <t>4308</t>
  </si>
  <si>
    <t>4309</t>
  </si>
  <si>
    <t>4358</t>
  </si>
  <si>
    <t>4359</t>
  </si>
  <si>
    <t>4368</t>
  </si>
  <si>
    <t>Opłaty z tytułu zakupu usług telefonii komórkowej</t>
  </si>
  <si>
    <t>4369</t>
  </si>
  <si>
    <t>4378</t>
  </si>
  <si>
    <t>Opłaty z tytułu zakupu usług telefonii stacjonarnej</t>
  </si>
  <si>
    <t>4379</t>
  </si>
  <si>
    <t>4418</t>
  </si>
  <si>
    <t>4419</t>
  </si>
  <si>
    <t>4748</t>
  </si>
  <si>
    <t>4749</t>
  </si>
  <si>
    <t>4758</t>
  </si>
  <si>
    <t xml:space="preserve">Zakup akcesoriów komputerowych, w tym programów i licencji </t>
  </si>
  <si>
    <t>4759</t>
  </si>
  <si>
    <t>"Szkoły zawodowe dodają skrzydeł"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</si>
  <si>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</si>
  <si>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</si>
  <si>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</si>
  <si>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</si>
  <si>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</si>
  <si>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</si>
  <si>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>ZPORR
 Zachodniopomorski Urząd Wojewódzki,
Urząd Miejski Koszalin</t>
  </si>
  <si>
    <t xml:space="preserve">        Załącznik nr 1 do Uchwały</t>
  </si>
  <si>
    <t xml:space="preserve">DOCHODY   I   WYDATKI   BUDŻETU   MIASTA   KOSZALINA   NA   2009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</si>
  <si>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</si>
  <si>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</si>
  <si>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</si>
  <si>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</si>
  <si>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</si>
  <si>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</si>
  <si>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</si>
  <si>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</si>
  <si>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</si>
  <si>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</si>
  <si>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</si>
  <si>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</si>
  <si>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</si>
  <si>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</si>
  <si>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</si>
  <si>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</si>
  <si>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</si>
  <si>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</si>
  <si>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</si>
  <si>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</si>
  <si>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</si>
  <si>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</si>
  <si>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</si>
  <si>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</si>
  <si>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</si>
  <si>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</si>
  <si>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</si>
  <si>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</si>
  <si>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</si>
  <si>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</si>
  <si>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</si>
  <si>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</si>
  <si>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</si>
  <si>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</si>
  <si>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</si>
  <si>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</si>
  <si>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</si>
  <si>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</si>
  <si>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</si>
  <si>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</si>
  <si>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</si>
  <si>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</si>
  <si>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</si>
  <si>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</si>
  <si>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</si>
  <si>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</si>
  <si>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</si>
  <si>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</si>
  <si>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 xml:space="preserve">        Nr XXX/335/2008</t>
  </si>
  <si>
    <t xml:space="preserve">        po zmianach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</si>
  <si>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</si>
  <si>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</si>
  <si>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</si>
  <si>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</si>
  <si>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</si>
  <si>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</si>
  <si>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</si>
  <si>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</si>
  <si>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</si>
  <si>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</si>
  <si>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</si>
  <si>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Wprowadził do BIP: Agnieszka Sulewska</t>
  </si>
  <si>
    <t>Załącznik nr  2  do Uchwały</t>
  </si>
  <si>
    <t>Nr XXX / 335 / 2008</t>
  </si>
  <si>
    <t>PROGNOZOWANE  DOCHODY  MIASTA  KOSZALINA  NA  2009   ROK</t>
  </si>
  <si>
    <t>WEDŁUG ŹRÓDEŁ POWSTAWANIA</t>
  </si>
  <si>
    <t>GMINA</t>
  </si>
  <si>
    <t>POWIAT</t>
  </si>
  <si>
    <t>Lp.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</si>
  <si>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</si>
  <si>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</si>
  <si>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</si>
  <si>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</si>
  <si>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</si>
  <si>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</si>
  <si>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</si>
  <si>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</si>
  <si>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</si>
  <si>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</si>
  <si>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</si>
  <si>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</si>
  <si>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</si>
  <si>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</si>
  <si>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</si>
  <si>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</si>
  <si>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</si>
  <si>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</si>
  <si>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</si>
  <si>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</si>
  <si>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</si>
  <si>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</si>
  <si>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</si>
  <si>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</si>
  <si>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</si>
  <si>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</si>
  <si>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</si>
  <si>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</si>
  <si>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</si>
  <si>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</si>
  <si>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</si>
  <si>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</si>
  <si>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</si>
  <si>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</si>
  <si>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</si>
  <si>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</si>
  <si>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</si>
  <si>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</si>
  <si>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</si>
  <si>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</si>
  <si>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</si>
  <si>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>D</t>
  </si>
  <si>
    <t xml:space="preserve"> - bieżące</t>
  </si>
  <si>
    <t xml:space="preserve"> - majątkowe</t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</si>
  <si>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</si>
  <si>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</si>
  <si>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</si>
  <si>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</si>
  <si>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</si>
  <si>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2009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</si>
  <si>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</si>
  <si>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</si>
  <si>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</si>
  <si>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</si>
  <si>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</si>
  <si>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</si>
  <si>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</si>
  <si>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</si>
  <si>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</si>
  <si>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</si>
  <si>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</si>
  <si>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 xml:space="preserve"> majątkowe</t>
  </si>
  <si>
    <t>GOSPODARKA MIESZKANIOWA   z tego: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</si>
  <si>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</si>
  <si>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</si>
  <si>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</si>
  <si>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</si>
  <si>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</si>
  <si>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</si>
  <si>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</si>
  <si>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</si>
  <si>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</si>
  <si>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4  do Uchwały</t>
  </si>
  <si>
    <t xml:space="preserve"> WYDATKI  MIASTA KOSZALINA NA   2009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</si>
  <si>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</si>
  <si>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r>
      <t xml:space="preserve">Dział Rozdział    </t>
    </r>
    <r>
      <rPr>
        <sz val="9"/>
        <rFont val="Times New Roman CE"/>
        <family val="1"/>
      </rPr>
      <t xml:space="preserve">         
</t>
    </r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</si>
  <si>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</si>
  <si>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</si>
  <si>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</si>
  <si>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</si>
  <si>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</si>
  <si>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</si>
  <si>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</si>
  <si>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</si>
  <si>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</si>
  <si>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</si>
  <si>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</si>
  <si>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</si>
  <si>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</si>
  <si>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01095</t>
  </si>
  <si>
    <t>Pozostała działalność</t>
  </si>
  <si>
    <t xml:space="preserve"> ( w tym: remonty)</t>
  </si>
  <si>
    <t xml:space="preserve"> - roboty inwestycyjne</t>
  </si>
  <si>
    <t xml:space="preserve"> - wynagrodzenia</t>
  </si>
  <si>
    <t xml:space="preserve">   i pochodne </t>
  </si>
  <si>
    <t xml:space="preserve"> - dotacje</t>
  </si>
  <si>
    <t>(w tym: dotacje)</t>
  </si>
  <si>
    <t xml:space="preserve"> - inne majątkowe</t>
  </si>
  <si>
    <t>Infrastruktura kolejowa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</si>
  <si>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</si>
  <si>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</si>
  <si>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</si>
  <si>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</si>
  <si>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</si>
  <si>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</si>
  <si>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</si>
  <si>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</si>
  <si>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</si>
  <si>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</si>
  <si>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</si>
  <si>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</si>
  <si>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</si>
  <si>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</si>
  <si>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</si>
  <si>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</si>
  <si>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</si>
  <si>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</si>
  <si>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</si>
  <si>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</si>
  <si>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</si>
  <si>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</si>
  <si>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</si>
  <si>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</si>
  <si>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</si>
  <si>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</si>
  <si>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</si>
  <si>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</si>
  <si>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</si>
  <si>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</si>
  <si>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</si>
  <si>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</si>
  <si>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</si>
  <si>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</si>
  <si>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</si>
  <si>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</si>
  <si>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</si>
  <si>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</si>
  <si>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</si>
  <si>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</si>
  <si>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</si>
  <si>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</si>
  <si>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</si>
  <si>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</si>
  <si>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</si>
  <si>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</si>
  <si>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</si>
  <si>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</si>
  <si>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</si>
  <si>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</si>
  <si>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</si>
  <si>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</si>
  <si>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</si>
  <si>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</si>
  <si>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</si>
  <si>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</si>
  <si>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</si>
  <si>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</si>
  <si>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</si>
  <si>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</si>
  <si>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</si>
  <si>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</si>
  <si>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</si>
  <si>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</si>
  <si>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</si>
  <si>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</si>
  <si>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</si>
  <si>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</si>
  <si>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</si>
  <si>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</si>
  <si>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</si>
  <si>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</si>
  <si>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</si>
  <si>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</si>
  <si>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</si>
  <si>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</si>
  <si>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</si>
  <si>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</si>
  <si>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</si>
  <si>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</si>
  <si>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</si>
  <si>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</si>
  <si>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</si>
  <si>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</si>
  <si>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</si>
  <si>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</si>
  <si>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</si>
  <si>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</si>
  <si>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</si>
  <si>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</si>
  <si>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</si>
  <si>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</si>
  <si>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</si>
  <si>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</si>
  <si>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</si>
  <si>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</si>
  <si>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</si>
  <si>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</si>
  <si>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</si>
  <si>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</si>
  <si>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</si>
  <si>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</si>
  <si>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</si>
  <si>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</si>
  <si>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</si>
  <si>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</si>
  <si>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</si>
  <si>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</si>
  <si>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</si>
  <si>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</si>
  <si>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</si>
  <si>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</si>
  <si>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</si>
  <si>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</si>
  <si>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</si>
  <si>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</si>
  <si>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</si>
  <si>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</si>
  <si>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</si>
  <si>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</si>
  <si>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</si>
  <si>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</si>
  <si>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</si>
  <si>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</si>
  <si>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</si>
  <si>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Autor dokumentu: Agnieszka Sulewska</t>
  </si>
  <si>
    <t>Załącznik nr  5  do Uchwały</t>
  </si>
  <si>
    <t xml:space="preserve">WYDATKI   MIASTA  KOSZALINA  NA  2009  ROK </t>
  </si>
  <si>
    <t>według działów klasyfikacji budżetowej</t>
  </si>
  <si>
    <t xml:space="preserve">WYDATKI
OGÓŁEM </t>
  </si>
  <si>
    <t>752</t>
  </si>
  <si>
    <t xml:space="preserve">                  Załącznik nr 6 do Uchwały</t>
  </si>
  <si>
    <t xml:space="preserve">PLAN  DOCHODÓW I WYDATKÓW ZADAŃ  ZLECONYCH  GMINIE  
Z  ZAKRESU  ADMINISTRACJI  RZĄDOWEJ                                                                                            NA 2009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</si>
  <si>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</si>
  <si>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</si>
  <si>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</si>
  <si>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</si>
  <si>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</si>
  <si>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</si>
  <si>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</si>
  <si>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</si>
  <si>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</si>
  <si>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</si>
  <si>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</si>
  <si>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</si>
  <si>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</si>
  <si>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</si>
  <si>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</si>
  <si>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</si>
  <si>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</si>
  <si>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</si>
  <si>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</si>
  <si>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Autor dokumentu: Sylwia Szpak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</si>
  <si>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</si>
  <si>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2009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</si>
  <si>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</si>
  <si>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</si>
  <si>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</si>
  <si>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</si>
  <si>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</si>
  <si>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</si>
  <si>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</si>
  <si>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</si>
  <si>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</si>
  <si>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</si>
  <si>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</si>
  <si>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</si>
  <si>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</si>
  <si>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</si>
  <si>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</si>
  <si>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</si>
  <si>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</si>
  <si>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</si>
  <si>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</si>
  <si>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</si>
  <si>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</si>
  <si>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</si>
  <si>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</si>
  <si>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</si>
  <si>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</si>
  <si>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</si>
  <si>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2009 ROK</t>
  </si>
  <si>
    <t>Wyszczególnienie</t>
  </si>
  <si>
    <t>71035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</si>
  <si>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</si>
  <si>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</si>
  <si>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</si>
  <si>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2009 ROK </t>
  </si>
  <si>
    <t xml:space="preserve">ADMINISTRACJA PUBLICZNA </t>
  </si>
  <si>
    <t xml:space="preserve">                         Załącznik nr 10 do Uchwały</t>
  </si>
  <si>
    <t xml:space="preserve">PLAN  DOTACJI  NA  ZADANIA  REALIZOWANE  </t>
  </si>
  <si>
    <t xml:space="preserve">PRZEZ  GMINĘ I POWIAT </t>
  </si>
  <si>
    <t xml:space="preserve">  NA  PODSTAWIE  POROZUMIEŃ  </t>
  </si>
  <si>
    <t xml:space="preserve">                                              Z  JEDNOSTKAMI   SAMORZĄDU  TERYTORIALNEGO                                            </t>
  </si>
  <si>
    <t xml:space="preserve">NA  2009 ROK     </t>
  </si>
  <si>
    <t>DOTACJE</t>
  </si>
  <si>
    <t>OTRZYMANE</t>
  </si>
  <si>
    <t>UDZIELONE</t>
  </si>
  <si>
    <t xml:space="preserve">Starostwa powiatowe 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</si>
  <si>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</si>
  <si>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</si>
  <si>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</si>
  <si>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</si>
  <si>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</si>
  <si>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</si>
  <si>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</si>
  <si>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</si>
  <si>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</si>
  <si>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</si>
  <si>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</si>
  <si>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</si>
  <si>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</si>
  <si>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</si>
  <si>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</si>
  <si>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</si>
  <si>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</si>
  <si>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</si>
  <si>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</si>
  <si>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</si>
  <si>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</si>
  <si>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</si>
  <si>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</si>
  <si>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</si>
  <si>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</si>
  <si>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</si>
  <si>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</si>
  <si>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</si>
  <si>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</si>
  <si>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</si>
  <si>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</si>
  <si>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</si>
  <si>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</si>
  <si>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t>Załącznik nr 13  do Uchwały</t>
  </si>
  <si>
    <t xml:space="preserve">PLAN WYDATKÓW BUDŻETOWYCH </t>
  </si>
  <si>
    <t>L.p.</t>
  </si>
  <si>
    <t>DZIAŁY</t>
  </si>
  <si>
    <t>R.O. BUKOWE</t>
  </si>
  <si>
    <t>R.O. JEDLINY</t>
  </si>
  <si>
    <t>R.O. LUBIATOWO</t>
  </si>
  <si>
    <t>R.O. MORSKIE</t>
  </si>
  <si>
    <t>R.O. NA SKARPIE</t>
  </si>
  <si>
    <t>R.O. RADUSZKA</t>
  </si>
  <si>
    <t>R.O. ŚRÓDMIEŚCIE</t>
  </si>
  <si>
    <t>R.O. UNII EUROPEJSKIEJ</t>
  </si>
  <si>
    <t>R.O. M. WAŃKOWICZA</t>
  </si>
  <si>
    <t>R.O. WSPÓLNY DOM</t>
  </si>
  <si>
    <t>Autor dokumentu: Małgorzata Liwak</t>
  </si>
  <si>
    <t>Załącznik nr 14 do Uchwały</t>
  </si>
  <si>
    <t xml:space="preserve">PLAN  DOTACJI  UDZIELANYCH  Z  BUDŻETU  MIASTA  </t>
  </si>
  <si>
    <t xml:space="preserve"> NA  REALIZACJĘ  ZADAŃ  PUBLICZNYCH                                                                                W  2009  ROKU</t>
  </si>
  <si>
    <t xml:space="preserve">Dział Rozdz. </t>
  </si>
  <si>
    <t xml:space="preserve">Dotacja celowa na pomoc finansową udzielaną między j.s.t. na dofinansowanie własnych zadań bieżących </t>
  </si>
  <si>
    <t>Zadania z zakresu upowszechniania turystyki</t>
  </si>
  <si>
    <t>Dotacja celowa z budżetu na finansowanie lub dofinansowanie zadań zleconych do realizacji stowarzyszeniom</t>
  </si>
  <si>
    <t>Zakłady gospodarki mieszkaniowej</t>
  </si>
  <si>
    <t>Dotacja przedmiotowa z budżetu dla zakładu budżetowego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</si>
  <si>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</si>
  <si>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</si>
  <si>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</si>
  <si>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</si>
  <si>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</si>
  <si>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>Dotacje celowe z budżetu na finansowanie lub dofinansowanie kosztów realizacji inwestycji i zakupów inwestycyjnych zakładów budżetowych</t>
  </si>
  <si>
    <t xml:space="preserve">Gimnazja 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</si>
  <si>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</si>
  <si>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</si>
  <si>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</si>
  <si>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Dotacja podmiotowa z budżetu dla pozostałych jednostek sektora finansów publicznych</t>
  </si>
  <si>
    <t>Dotacje celowe przekazane do samorządu województwa na zadania bieżące realizowane na podstawie porozumień między j.s.t</t>
  </si>
  <si>
    <t xml:space="preserve">Dotacja celowa z budżetu na finansowanie lub dofinansowanie zadań zleconych do realizacji stowarzyszeniom  </t>
  </si>
  <si>
    <t xml:space="preserve">Dotacja celowa z budżetu na finansowanie lub dofinansowanie zadań zleconych do realizacji stowarzyszeniom </t>
  </si>
  <si>
    <t xml:space="preserve">Placówki opiekuńczo-wychowawcze </t>
  </si>
  <si>
    <t>Dotacja podmiotowa z budżetu dla zakładu budżetowego</t>
  </si>
  <si>
    <t>Dotacja podmiotowa z budżetu dla jednostek niezaliczanych do sektora finansów publicznych</t>
  </si>
  <si>
    <t>Dotacja podmiotowa dla niepublicznej jednostki systemu oświaty</t>
  </si>
  <si>
    <t>Pozostałe działania z zakresu kultury</t>
  </si>
  <si>
    <t xml:space="preserve">Teatry </t>
  </si>
  <si>
    <t>Dotacja podmiotowa z budżetu dla samorządowej instytucji kultury</t>
  </si>
  <si>
    <t>Domy i ośrodki kultury, świetlice, kluby</t>
  </si>
  <si>
    <t>Dotacje celowe z budżetu na finansowanie lub dofinansowanie kosztów realizacji inwestycji i zakupów inwestycyjnych innych jednostek sektora finansów publicznych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</si>
  <si>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</si>
  <si>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</si>
  <si>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</si>
  <si>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</si>
  <si>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2009  ROK</t>
  </si>
  <si>
    <t>Lp</t>
  </si>
  <si>
    <t>Stan środków obrotowych 
na początek roku</t>
  </si>
  <si>
    <t>PLAN NA 2009 ROK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</si>
  <si>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</si>
  <si>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</si>
  <si>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</si>
  <si>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</si>
  <si>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</si>
  <si>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</si>
  <si>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</si>
  <si>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 xml:space="preserve">              Załącznik Nr 16 do Uchwały</t>
  </si>
  <si>
    <t xml:space="preserve">              Nr XXX / 335 / 2008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</si>
  <si>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</si>
  <si>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</si>
  <si>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</si>
  <si>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2009 rok</t>
  </si>
  <si>
    <t xml:space="preserve">Plan dochodów                    na 2009 r.    </t>
  </si>
  <si>
    <t xml:space="preserve">Plan wydatków        na 2009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</si>
  <si>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</si>
  <si>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</si>
  <si>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</si>
  <si>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</si>
  <si>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</si>
  <si>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</si>
  <si>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</si>
  <si>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</si>
  <si>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</si>
  <si>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</si>
  <si>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</si>
  <si>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</si>
  <si>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</si>
  <si>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</si>
  <si>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</si>
  <si>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</si>
  <si>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</si>
  <si>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Wpłaty jednostek na fundusz celowy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</si>
  <si>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</si>
  <si>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</si>
  <si>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</si>
  <si>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</si>
  <si>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</si>
  <si>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</si>
  <si>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remontowych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</si>
  <si>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</si>
  <si>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</si>
  <si>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</si>
  <si>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</si>
  <si>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</si>
  <si>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</si>
  <si>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</si>
  <si>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</si>
  <si>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Autor dokumentu:Agnieszka Sulewska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</si>
  <si>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</si>
  <si>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</si>
  <si>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</si>
  <si>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2009   ROK</t>
  </si>
  <si>
    <t>Stan środków obrotowych na
 01-01-2009r.</t>
  </si>
  <si>
    <t xml:space="preserve">Przychody </t>
  </si>
  <si>
    <t>Przychody ogółem</t>
  </si>
  <si>
    <t>Wydatki ogółem</t>
  </si>
  <si>
    <t>Stan środków obrotowych na 
31-12-2009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</si>
  <si>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</si>
  <si>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</si>
  <si>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</si>
  <si>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</si>
  <si>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</si>
  <si>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</si>
  <si>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</si>
  <si>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</si>
  <si>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</si>
  <si>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</si>
  <si>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</si>
  <si>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</si>
  <si>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</si>
  <si>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Termomodernizacja budynków oświatowych</t>
  </si>
  <si>
    <t>Boisko sportowe przy Szkole Podstawowej nr 10</t>
  </si>
  <si>
    <t>Boisko sportowe przy Szkole Podstawowej nr 17</t>
  </si>
  <si>
    <t>Łącznik budynku II LO im.W. Broniewskiego</t>
  </si>
  <si>
    <t>stan na 28.02.2009 r.</t>
  </si>
  <si>
    <t>Pomoc materialna dla studentów i doktorantów</t>
  </si>
  <si>
    <t>Dotacja podmiotowa z budżetu dla uczelni publicznej</t>
  </si>
  <si>
    <t>Rewitalizacja zabytkowych parków miejskich</t>
  </si>
  <si>
    <t>Hala widowiskowo - sportowa</t>
  </si>
  <si>
    <t>Przebudowa ul.Zawiszy Czarnego, ul.Dąbrówki, Ks.Anastazji, K.Wielkiego, M.Ludwiki, Bogusława II - go</t>
  </si>
  <si>
    <t>Rozbudowa oddziału żłobka „Maluch” przy ul. Jagoszewskiego (dokumentacja projektowo – kosztorysowa oraz inwentaryzacja budynku )</t>
  </si>
  <si>
    <r>
      <t xml:space="preserve">Przebudowa ul.Syrenki i ul. Gdańskiej </t>
    </r>
    <r>
      <rPr>
        <i/>
        <sz val="8"/>
        <rFont val="Times New Roman CE"/>
        <family val="1"/>
      </rPr>
      <t>(zmiana nazwy z ul.Gdańska)</t>
    </r>
  </si>
  <si>
    <t xml:space="preserve">Osiedle Wilkowo - uzbrojenie </t>
  </si>
  <si>
    <t>Zakup środków żywności</t>
  </si>
  <si>
    <t>Zakup akcesoriów komputerowych, w tym programów i licencji</t>
  </si>
  <si>
    <t>stan na 31.03.2009 r.</t>
  </si>
  <si>
    <t>ul. Kamieniarska</t>
  </si>
  <si>
    <t>Remonty placów zabaw</t>
  </si>
  <si>
    <t>Data wprowadzenia do BIP: 16.04.2009 r.</t>
  </si>
  <si>
    <t>stan na 31.03.2009r.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</si>
  <si>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</si>
  <si>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</si>
  <si>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"Program Comenius - Partnerskie projekty szkół"</t>
  </si>
  <si>
    <t>Zakup materiałów papierniczych i wyposażenia</t>
  </si>
  <si>
    <t>Zakup akcesoriów komputerowych, wtym programów i licencji</t>
  </si>
  <si>
    <t>Autor dokumentu:Barbara Malinowska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</si>
</sst>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80">
    <font>
      <sz val="10"/>
      <name val="Arial CE"/>
      <family val="0"/>
    </font>
    <font>
      <sz val="8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7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0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  <font>
      <b/>
      <sz val="13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  <font>
      <b/>
      <sz val="11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2" fillId="0" borderId="0">
      <alignment/>
      <protection/>
    </xf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164" fontId="2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12" fillId="0" borderId="5" xfId="0" applyFont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0" fontId="15" fillId="0" borderId="9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vertical="center"/>
      <protection/>
    </xf>
    <xf numFmtId="3" fontId="16" fillId="0" borderId="15" xfId="0" applyNumberFormat="1" applyFont="1" applyFill="1" applyBorder="1" applyAlignment="1" applyProtection="1">
      <alignment horizontal="right" vertical="center"/>
      <protection/>
    </xf>
    <xf numFmtId="3" fontId="17" fillId="0" borderId="16" xfId="0" applyNumberFormat="1" applyFont="1" applyFill="1" applyBorder="1" applyAlignment="1" applyProtection="1">
      <alignment horizontal="right" vertical="center"/>
      <protection/>
    </xf>
    <xf numFmtId="3" fontId="17" fillId="0" borderId="17" xfId="0" applyNumberFormat="1" applyFont="1" applyFill="1" applyBorder="1" applyAlignment="1" applyProtection="1">
      <alignment horizontal="right" vertical="center"/>
      <protection/>
    </xf>
    <xf numFmtId="3" fontId="17" fillId="0" borderId="5" xfId="0" applyNumberFormat="1" applyFont="1" applyFill="1" applyBorder="1" applyAlignment="1" applyProtection="1">
      <alignment horizontal="right" vertical="center"/>
      <protection/>
    </xf>
    <xf numFmtId="3" fontId="17" fillId="0" borderId="18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49" fontId="13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3" fontId="16" fillId="0" borderId="21" xfId="0" applyNumberFormat="1" applyFont="1" applyFill="1" applyBorder="1" applyAlignment="1" applyProtection="1">
      <alignment horizontal="right" vertical="center"/>
      <protection/>
    </xf>
    <xf numFmtId="3" fontId="17" fillId="0" borderId="22" xfId="0" applyNumberFormat="1" applyFont="1" applyFill="1" applyBorder="1" applyAlignment="1" applyProtection="1">
      <alignment horizontal="right" vertical="center"/>
      <protection/>
    </xf>
    <xf numFmtId="3" fontId="17" fillId="0" borderId="23" xfId="0" applyNumberFormat="1" applyFont="1" applyFill="1" applyBorder="1" applyAlignment="1" applyProtection="1">
      <alignment horizontal="right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/>
    </xf>
    <xf numFmtId="3" fontId="17" fillId="0" borderId="25" xfId="0" applyNumberFormat="1" applyFont="1" applyFill="1" applyBorder="1" applyAlignment="1" applyProtection="1">
      <alignment horizontal="right" vertical="center"/>
      <protection/>
    </xf>
    <xf numFmtId="3" fontId="20" fillId="0" borderId="23" xfId="0" applyNumberFormat="1" applyFont="1" applyFill="1" applyBorder="1" applyAlignment="1" applyProtection="1">
      <alignment horizontal="right" vertical="center"/>
      <protection/>
    </xf>
    <xf numFmtId="0" fontId="15" fillId="0" borderId="20" xfId="0" applyNumberFormat="1" applyFont="1" applyFill="1" applyBorder="1" applyAlignment="1" applyProtection="1">
      <alignment vertical="center" wrapText="1"/>
      <protection/>
    </xf>
    <xf numFmtId="0" fontId="15" fillId="0" borderId="2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3" fillId="0" borderId="21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27" xfId="0" applyNumberFormat="1" applyFont="1" applyFill="1" applyBorder="1" applyAlignment="1" applyProtection="1">
      <alignment vertical="center" wrapText="1"/>
      <protection/>
    </xf>
    <xf numFmtId="3" fontId="17" fillId="0" borderId="28" xfId="0" applyNumberFormat="1" applyFont="1" applyFill="1" applyBorder="1" applyAlignment="1" applyProtection="1">
      <alignment horizontal="right" vertical="center"/>
      <protection/>
    </xf>
    <xf numFmtId="3" fontId="17" fillId="0" borderId="29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3" fontId="17" fillId="0" borderId="31" xfId="0" applyNumberFormat="1" applyFont="1" applyFill="1" applyBorder="1" applyAlignment="1" applyProtection="1">
      <alignment horizontal="right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3" fontId="12" fillId="0" borderId="19" xfId="0" applyNumberFormat="1" applyFont="1" applyFill="1" applyBorder="1" applyAlignment="1" applyProtection="1">
      <alignment vertical="center"/>
      <protection/>
    </xf>
    <xf numFmtId="3" fontId="12" fillId="0" borderId="22" xfId="0" applyNumberFormat="1" applyFont="1" applyFill="1" applyBorder="1" applyAlignment="1" applyProtection="1">
      <alignment vertical="center"/>
      <protection/>
    </xf>
    <xf numFmtId="3" fontId="12" fillId="0" borderId="23" xfId="0" applyNumberFormat="1" applyFont="1" applyFill="1" applyBorder="1" applyAlignment="1" applyProtection="1">
      <alignment vertical="center"/>
      <protection/>
    </xf>
    <xf numFmtId="3" fontId="12" fillId="0" borderId="24" xfId="0" applyNumberFormat="1" applyFont="1" applyFill="1" applyBorder="1" applyAlignment="1" applyProtection="1">
      <alignment vertical="center"/>
      <protection/>
    </xf>
    <xf numFmtId="3" fontId="12" fillId="0" borderId="25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 vertical="center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 applyProtection="1">
      <alignment vertical="center"/>
      <protection/>
    </xf>
    <xf numFmtId="3" fontId="3" fillId="0" borderId="24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33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4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4" fillId="0" borderId="35" xfId="0" applyFont="1" applyBorder="1" applyAlignment="1">
      <alignment horizontal="centerContinuous" vertical="center" wrapText="1"/>
    </xf>
    <xf numFmtId="0" fontId="34" fillId="0" borderId="35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5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6" xfId="0" applyFont="1" applyBorder="1" applyAlignment="1">
      <alignment horizontal="centerContinuous" vertical="center" wrapText="1"/>
    </xf>
    <xf numFmtId="0" fontId="36" fillId="0" borderId="32" xfId="0" applyFont="1" applyBorder="1" applyAlignment="1">
      <alignment horizontal="centerContinuous" vertical="center"/>
    </xf>
    <xf numFmtId="4" fontId="36" fillId="0" borderId="34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4" fontId="11" fillId="0" borderId="39" xfId="0" applyNumberFormat="1" applyFont="1" applyBorder="1" applyAlignment="1">
      <alignment horizontal="centerContinuous" vertical="center" wrapText="1"/>
    </xf>
    <xf numFmtId="0" fontId="27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4" fontId="37" fillId="0" borderId="38" xfId="0" applyNumberFormat="1" applyFont="1" applyBorder="1" applyAlignment="1">
      <alignment horizontal="center" vertical="center" wrapText="1"/>
    </xf>
    <xf numFmtId="4" fontId="12" fillId="0" borderId="39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" fontId="38" fillId="0" borderId="42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5" fontId="34" fillId="0" borderId="45" xfId="0" applyNumberFormat="1" applyFont="1" applyBorder="1" applyAlignment="1">
      <alignment horizontal="right" vertical="center" wrapText="1"/>
    </xf>
    <xf numFmtId="165" fontId="24" fillId="0" borderId="18" xfId="0" applyNumberFormat="1" applyFont="1" applyBorder="1" applyAlignment="1">
      <alignment horizontal="right" vertical="center" wrapText="1"/>
    </xf>
    <xf numFmtId="165" fontId="34" fillId="0" borderId="18" xfId="0" applyNumberFormat="1" applyFont="1" applyBorder="1" applyAlignment="1">
      <alignment horizontal="right" vertical="center" wrapText="1"/>
    </xf>
    <xf numFmtId="165" fontId="34" fillId="0" borderId="14" xfId="0" applyNumberFormat="1" applyFont="1" applyBorder="1" applyAlignment="1">
      <alignment horizontal="right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34" fillId="0" borderId="46" xfId="0" applyNumberFormat="1" applyFont="1" applyBorder="1" applyAlignment="1">
      <alignment vertical="center" wrapText="1"/>
    </xf>
    <xf numFmtId="165" fontId="34" fillId="0" borderId="14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3" fontId="39" fillId="0" borderId="48" xfId="0" applyNumberFormat="1" applyFont="1" applyBorder="1" applyAlignment="1">
      <alignment horizontal="right" vertical="center" wrapText="1"/>
    </xf>
    <xf numFmtId="165" fontId="40" fillId="0" borderId="49" xfId="0" applyNumberFormat="1" applyFont="1" applyBorder="1" applyAlignment="1">
      <alignment vertical="center" wrapText="1"/>
    </xf>
    <xf numFmtId="165" fontId="39" fillId="0" borderId="42" xfId="0" applyNumberFormat="1" applyFont="1" applyBorder="1" applyAlignment="1">
      <alignment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40" fillId="0" borderId="42" xfId="0" applyNumberFormat="1" applyFont="1" applyBorder="1" applyAlignment="1">
      <alignment vertical="center" wrapText="1"/>
    </xf>
    <xf numFmtId="164" fontId="40" fillId="0" borderId="50" xfId="0" applyNumberFormat="1" applyFont="1" applyBorder="1" applyAlignment="1">
      <alignment vertical="center" wrapText="1"/>
    </xf>
    <xf numFmtId="164" fontId="39" fillId="0" borderId="48" xfId="0" applyNumberFormat="1" applyFont="1" applyBorder="1" applyAlignment="1">
      <alignment vertical="center" wrapText="1"/>
    </xf>
    <xf numFmtId="3" fontId="39" fillId="0" borderId="49" xfId="0" applyNumberFormat="1" applyFont="1" applyBorder="1" applyAlignment="1">
      <alignment vertical="center" wrapText="1"/>
    </xf>
    <xf numFmtId="164" fontId="40" fillId="0" borderId="51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41" fillId="0" borderId="52" xfId="0" applyFont="1" applyBorder="1" applyAlignment="1">
      <alignment horizontal="center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3" fontId="39" fillId="0" borderId="54" xfId="0" applyNumberFormat="1" applyFont="1" applyBorder="1" applyAlignment="1">
      <alignment horizontal="right" vertical="center" wrapText="1"/>
    </xf>
    <xf numFmtId="165" fontId="40" fillId="0" borderId="55" xfId="0" applyNumberFormat="1" applyFont="1" applyBorder="1" applyAlignment="1">
      <alignment horizontal="center" vertical="center" wrapText="1"/>
    </xf>
    <xf numFmtId="165" fontId="39" fillId="0" borderId="56" xfId="0" applyNumberFormat="1" applyFont="1" applyBorder="1" applyAlignment="1">
      <alignment horizontal="center" vertical="center" wrapText="1"/>
    </xf>
    <xf numFmtId="164" fontId="28" fillId="0" borderId="56" xfId="0" applyNumberFormat="1" applyFont="1" applyBorder="1" applyAlignment="1">
      <alignment horizontal="center" vertical="center" wrapText="1"/>
    </xf>
    <xf numFmtId="165" fontId="40" fillId="0" borderId="56" xfId="0" applyNumberFormat="1" applyFont="1" applyBorder="1" applyAlignment="1">
      <alignment vertical="center" wrapText="1"/>
    </xf>
    <xf numFmtId="165" fontId="40" fillId="0" borderId="57" xfId="0" applyNumberFormat="1" applyFont="1" applyBorder="1" applyAlignment="1">
      <alignment vertical="center" wrapText="1"/>
    </xf>
    <xf numFmtId="165" fontId="39" fillId="0" borderId="54" xfId="0" applyNumberFormat="1" applyFont="1" applyBorder="1" applyAlignment="1">
      <alignment vertical="center" wrapText="1"/>
    </xf>
    <xf numFmtId="3" fontId="39" fillId="0" borderId="55" xfId="0" applyNumberFormat="1" applyFont="1" applyBorder="1" applyAlignment="1">
      <alignment vertical="center" wrapText="1"/>
    </xf>
    <xf numFmtId="164" fontId="40" fillId="0" borderId="58" xfId="0" applyNumberFormat="1" applyFont="1" applyBorder="1" applyAlignment="1">
      <alignment horizontal="center" vertical="center" wrapText="1"/>
    </xf>
    <xf numFmtId="164" fontId="40" fillId="0" borderId="57" xfId="0" applyNumberFormat="1" applyFont="1" applyBorder="1" applyAlignment="1">
      <alignment vertical="center" wrapText="1"/>
    </xf>
    <xf numFmtId="164" fontId="42" fillId="0" borderId="56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vertical="center" wrapText="1"/>
    </xf>
    <xf numFmtId="165" fontId="27" fillId="0" borderId="59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0" xfId="0" applyNumberFormat="1" applyFont="1" applyBorder="1" applyAlignment="1">
      <alignment vertical="center" wrapText="1"/>
    </xf>
    <xf numFmtId="164" fontId="29" fillId="0" borderId="24" xfId="0" applyNumberFormat="1" applyFont="1" applyBorder="1" applyAlignment="1">
      <alignment vertical="center" wrapText="1"/>
    </xf>
    <xf numFmtId="3" fontId="29" fillId="0" borderId="59" xfId="0" applyNumberFormat="1" applyFont="1" applyBorder="1" applyAlignment="1">
      <alignment vertical="center" wrapText="1"/>
    </xf>
    <xf numFmtId="164" fontId="27" fillId="0" borderId="60" xfId="0" applyNumberFormat="1" applyFont="1" applyBorder="1" applyAlignment="1">
      <alignment vertical="center" wrapText="1"/>
    </xf>
    <xf numFmtId="0" fontId="39" fillId="0" borderId="61" xfId="0" applyFont="1" applyBorder="1" applyAlignment="1">
      <alignment horizontal="center" vertical="center" wrapText="1"/>
    </xf>
    <xf numFmtId="3" fontId="39" fillId="0" borderId="62" xfId="0" applyNumberFormat="1" applyFont="1" applyBorder="1" applyAlignment="1">
      <alignment horizontal="right" vertical="center" wrapText="1"/>
    </xf>
    <xf numFmtId="165" fontId="40" fillId="0" borderId="63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164" fontId="40" fillId="0" borderId="64" xfId="0" applyNumberFormat="1" applyFont="1" applyBorder="1" applyAlignment="1">
      <alignment vertical="center" wrapText="1"/>
    </xf>
    <xf numFmtId="164" fontId="40" fillId="0" borderId="65" xfId="0" applyNumberFormat="1" applyFont="1" applyBorder="1" applyAlignment="1">
      <alignment vertical="center" wrapText="1"/>
    </xf>
    <xf numFmtId="164" fontId="39" fillId="0" borderId="62" xfId="0" applyNumberFormat="1" applyFont="1" applyBorder="1" applyAlignment="1">
      <alignment vertical="center" wrapText="1"/>
    </xf>
    <xf numFmtId="3" fontId="39" fillId="0" borderId="63" xfId="0" applyNumberFormat="1" applyFont="1" applyBorder="1" applyAlignment="1">
      <alignment horizontal="right" vertical="center" wrapText="1"/>
    </xf>
    <xf numFmtId="164" fontId="40" fillId="0" borderId="66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5" fontId="29" fillId="0" borderId="25" xfId="0" applyNumberFormat="1" applyFont="1" applyBorder="1" applyAlignment="1">
      <alignment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29" fillId="0" borderId="38" xfId="0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165" fontId="27" fillId="0" borderId="40" xfId="0" applyNumberFormat="1" applyFont="1" applyBorder="1" applyAlignment="1">
      <alignment vertical="center" wrapText="1"/>
    </xf>
    <xf numFmtId="165" fontId="29" fillId="0" borderId="38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vertical="center" wrapText="1"/>
    </xf>
    <xf numFmtId="164" fontId="27" fillId="0" borderId="41" xfId="0" applyNumberFormat="1" applyFont="1" applyBorder="1" applyAlignment="1">
      <alignment vertical="center" wrapText="1"/>
    </xf>
    <xf numFmtId="164" fontId="29" fillId="0" borderId="43" xfId="0" applyNumberFormat="1" applyFont="1" applyBorder="1" applyAlignment="1">
      <alignment vertical="center" wrapText="1"/>
    </xf>
    <xf numFmtId="3" fontId="29" fillId="0" borderId="40" xfId="0" applyNumberFormat="1" applyFont="1" applyBorder="1" applyAlignment="1">
      <alignment vertical="center" wrapText="1"/>
    </xf>
    <xf numFmtId="164" fontId="27" fillId="0" borderId="44" xfId="0" applyNumberFormat="1" applyFont="1" applyBorder="1" applyAlignment="1">
      <alignment vertical="center" wrapText="1"/>
    </xf>
    <xf numFmtId="3" fontId="39" fillId="0" borderId="67" xfId="0" applyNumberFormat="1" applyFont="1" applyBorder="1" applyAlignment="1">
      <alignment horizontal="right" vertical="center" wrapText="1"/>
    </xf>
    <xf numFmtId="3" fontId="39" fillId="0" borderId="54" xfId="0" applyNumberFormat="1" applyFont="1" applyBorder="1" applyAlignment="1">
      <alignment horizontal="right" vertical="center" wrapText="1"/>
    </xf>
    <xf numFmtId="165" fontId="40" fillId="0" borderId="56" xfId="0" applyNumberFormat="1" applyFont="1" applyBorder="1" applyAlignment="1">
      <alignment horizontal="center" vertical="center" wrapText="1"/>
    </xf>
    <xf numFmtId="165" fontId="40" fillId="0" borderId="57" xfId="0" applyNumberFormat="1" applyFont="1" applyBorder="1" applyAlignment="1">
      <alignment horizontal="center" vertical="center" wrapText="1"/>
    </xf>
    <xf numFmtId="165" fontId="39" fillId="0" borderId="54" xfId="0" applyNumberFormat="1" applyFont="1" applyBorder="1" applyAlignment="1">
      <alignment horizontal="center" vertical="center" wrapText="1"/>
    </xf>
    <xf numFmtId="3" fontId="39" fillId="0" borderId="55" xfId="0" applyNumberFormat="1" applyFont="1" applyBorder="1" applyAlignment="1">
      <alignment horizontal="right" vertical="center" wrapText="1"/>
    </xf>
    <xf numFmtId="164" fontId="40" fillId="0" borderId="58" xfId="0" applyNumberFormat="1" applyFont="1" applyBorder="1" applyAlignment="1">
      <alignment vertical="center" wrapText="1"/>
    </xf>
    <xf numFmtId="3" fontId="29" fillId="0" borderId="68" xfId="0" applyNumberFormat="1" applyFont="1" applyBorder="1" applyAlignment="1">
      <alignment horizontal="right" vertical="center" wrapText="1"/>
    </xf>
    <xf numFmtId="165" fontId="27" fillId="0" borderId="63" xfId="0" applyNumberFormat="1" applyFont="1" applyBorder="1" applyAlignment="1">
      <alignment vertical="center" wrapText="1"/>
    </xf>
    <xf numFmtId="165" fontId="29" fillId="0" borderId="64" xfId="0" applyNumberFormat="1" applyFont="1" applyBorder="1" applyAlignment="1">
      <alignment vertical="center" wrapText="1"/>
    </xf>
    <xf numFmtId="164" fontId="29" fillId="0" borderId="64" xfId="0" applyNumberFormat="1" applyFont="1" applyBorder="1" applyAlignment="1">
      <alignment horizontal="center" vertical="center" wrapText="1"/>
    </xf>
    <xf numFmtId="3" fontId="29" fillId="0" borderId="62" xfId="0" applyNumberFormat="1" applyFont="1" applyBorder="1" applyAlignment="1">
      <alignment vertical="center" wrapText="1"/>
    </xf>
    <xf numFmtId="165" fontId="27" fillId="0" borderId="64" xfId="0" applyNumberFormat="1" applyFont="1" applyBorder="1" applyAlignment="1">
      <alignment vertical="center" wrapText="1"/>
    </xf>
    <xf numFmtId="165" fontId="27" fillId="0" borderId="65" xfId="0" applyNumberFormat="1" applyFont="1" applyBorder="1" applyAlignment="1">
      <alignment vertical="center" wrapText="1"/>
    </xf>
    <xf numFmtId="165" fontId="29" fillId="0" borderId="62" xfId="0" applyNumberFormat="1" applyFont="1" applyBorder="1" applyAlignment="1">
      <alignment vertical="center" wrapText="1"/>
    </xf>
    <xf numFmtId="3" fontId="29" fillId="0" borderId="63" xfId="0" applyNumberFormat="1" applyFont="1" applyBorder="1" applyAlignment="1">
      <alignment vertical="center" wrapText="1"/>
    </xf>
    <xf numFmtId="164" fontId="27" fillId="0" borderId="66" xfId="0" applyNumberFormat="1" applyFont="1" applyBorder="1" applyAlignment="1">
      <alignment vertical="center" wrapText="1"/>
    </xf>
    <xf numFmtId="164" fontId="27" fillId="0" borderId="65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21" xfId="0" applyNumberFormat="1" applyFont="1" applyBorder="1" applyAlignment="1">
      <alignment horizontal="right" vertical="center" wrapText="1"/>
    </xf>
    <xf numFmtId="165" fontId="27" fillId="0" borderId="25" xfId="0" applyNumberFormat="1" applyFont="1" applyBorder="1" applyAlignment="1">
      <alignment vertical="center" wrapText="1"/>
    </xf>
    <xf numFmtId="165" fontId="27" fillId="0" borderId="20" xfId="0" applyNumberFormat="1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 wrapText="1"/>
    </xf>
    <xf numFmtId="165" fontId="39" fillId="0" borderId="61" xfId="0" applyNumberFormat="1" applyFont="1" applyBorder="1" applyAlignment="1">
      <alignment horizontal="center" vertical="center" wrapText="1"/>
    </xf>
    <xf numFmtId="165" fontId="40" fillId="0" borderId="64" xfId="0" applyNumberFormat="1" applyFont="1" applyBorder="1" applyAlignment="1">
      <alignment horizontal="center" vertical="center" wrapText="1"/>
    </xf>
    <xf numFmtId="165" fontId="40" fillId="0" borderId="65" xfId="0" applyNumberFormat="1" applyFont="1" applyBorder="1" applyAlignment="1">
      <alignment horizontal="center" vertical="center" wrapText="1"/>
    </xf>
    <xf numFmtId="165" fontId="39" fillId="0" borderId="62" xfId="0" applyNumberFormat="1" applyFont="1" applyBorder="1" applyAlignment="1">
      <alignment horizontal="center" vertical="center" wrapText="1"/>
    </xf>
    <xf numFmtId="164" fontId="40" fillId="0" borderId="66" xfId="0" applyNumberFormat="1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164" fontId="44" fillId="0" borderId="36" xfId="0" applyNumberFormat="1" applyFont="1" applyBorder="1" applyAlignment="1">
      <alignment vertical="center" wrapText="1"/>
    </xf>
    <xf numFmtId="164" fontId="44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21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165" fontId="27" fillId="0" borderId="18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164" fontId="29" fillId="0" borderId="18" xfId="0" applyNumberFormat="1" applyFont="1" applyBorder="1" applyAlignment="1">
      <alignment horizontal="center" vertical="center" wrapText="1"/>
    </xf>
    <xf numFmtId="165" fontId="29" fillId="0" borderId="5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 wrapText="1"/>
    </xf>
    <xf numFmtId="165" fontId="27" fillId="0" borderId="31" xfId="0" applyNumberFormat="1" applyFont="1" applyBorder="1" applyAlignment="1">
      <alignment vertical="center" wrapText="1"/>
    </xf>
    <xf numFmtId="165" fontId="27" fillId="0" borderId="27" xfId="0" applyNumberFormat="1" applyFont="1" applyBorder="1" applyAlignment="1">
      <alignment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165" fontId="29" fillId="0" borderId="30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Continuous" vertical="center" wrapText="1"/>
    </xf>
    <xf numFmtId="0" fontId="13" fillId="0" borderId="18" xfId="0" applyFont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9" xfId="0" applyNumberFormat="1" applyFont="1" applyBorder="1" applyAlignment="1">
      <alignment horizontal="right"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0" xfId="0" applyNumberFormat="1" applyFont="1" applyBorder="1" applyAlignment="1">
      <alignment vertical="center" wrapText="1"/>
    </xf>
    <xf numFmtId="165" fontId="24" fillId="0" borderId="24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33" fillId="0" borderId="21" xfId="0" applyFont="1" applyBorder="1" applyAlignment="1">
      <alignment horizontal="centerContinuous" vertical="center" wrapText="1"/>
    </xf>
    <xf numFmtId="165" fontId="28" fillId="0" borderId="25" xfId="0" applyNumberFormat="1" applyFont="1" applyBorder="1" applyAlignment="1">
      <alignment vertical="center" wrapText="1"/>
    </xf>
    <xf numFmtId="164" fontId="24" fillId="0" borderId="60" xfId="0" applyNumberFormat="1" applyFont="1" applyBorder="1" applyAlignment="1">
      <alignment vertical="center" wrapText="1"/>
    </xf>
    <xf numFmtId="164" fontId="24" fillId="0" borderId="20" xfId="0" applyNumberFormat="1" applyFont="1" applyBorder="1" applyAlignment="1">
      <alignment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Continuous" vertical="center" wrapText="1"/>
    </xf>
    <xf numFmtId="164" fontId="29" fillId="0" borderId="69" xfId="0" applyNumberFormat="1" applyFont="1" applyBorder="1" applyAlignment="1">
      <alignment vertical="center" wrapText="1"/>
    </xf>
    <xf numFmtId="164" fontId="29" fillId="0" borderId="27" xfId="0" applyNumberFormat="1" applyFont="1" applyBorder="1" applyAlignment="1">
      <alignment vertical="center" wrapText="1"/>
    </xf>
    <xf numFmtId="0" fontId="29" fillId="0" borderId="70" xfId="0" applyFont="1" applyBorder="1" applyAlignment="1">
      <alignment vertical="center" wrapText="1"/>
    </xf>
    <xf numFmtId="165" fontId="41" fillId="0" borderId="25" xfId="0" applyNumberFormat="1" applyFont="1" applyBorder="1" applyAlignment="1">
      <alignment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vertical="center" wrapText="1"/>
    </xf>
    <xf numFmtId="3" fontId="41" fillId="0" borderId="21" xfId="0" applyNumberFormat="1" applyFont="1" applyBorder="1" applyAlignment="1">
      <alignment horizontal="right" vertical="center" wrapText="1"/>
    </xf>
    <xf numFmtId="164" fontId="41" fillId="0" borderId="60" xfId="0" applyNumberFormat="1" applyFont="1" applyBorder="1" applyAlignment="1">
      <alignment vertical="center" wrapText="1"/>
    </xf>
    <xf numFmtId="164" fontId="41" fillId="0" borderId="2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164" fontId="41" fillId="0" borderId="38" xfId="0" applyNumberFormat="1" applyFont="1" applyBorder="1" applyAlignment="1">
      <alignment horizontal="center" vertical="center" wrapText="1"/>
    </xf>
    <xf numFmtId="3" fontId="41" fillId="0" borderId="43" xfId="0" applyNumberFormat="1" applyFont="1" applyBorder="1" applyAlignment="1">
      <alignment horizontal="right" vertical="center" wrapText="1"/>
    </xf>
    <xf numFmtId="0" fontId="29" fillId="0" borderId="70" xfId="0" applyFont="1" applyBorder="1" applyAlignment="1">
      <alignment horizontal="left" vertical="center" wrapText="1"/>
    </xf>
    <xf numFmtId="164" fontId="29" fillId="0" borderId="60" xfId="0" applyNumberFormat="1" applyFont="1" applyBorder="1" applyAlignment="1">
      <alignment vertical="center" wrapText="1"/>
    </xf>
    <xf numFmtId="164" fontId="29" fillId="0" borderId="20" xfId="0" applyNumberFormat="1" applyFont="1" applyBorder="1" applyAlignment="1">
      <alignment vertical="center" wrapText="1"/>
    </xf>
    <xf numFmtId="0" fontId="41" fillId="0" borderId="21" xfId="0" applyFont="1" applyBorder="1" applyAlignment="1">
      <alignment horizontal="centerContinuous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5" fontId="34" fillId="0" borderId="71" xfId="0" applyNumberFormat="1" applyFont="1" applyBorder="1" applyAlignment="1">
      <alignment horizontal="center" vertical="center" wrapText="1"/>
    </xf>
    <xf numFmtId="165" fontId="24" fillId="0" borderId="7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34" fillId="0" borderId="71" xfId="0" applyNumberFormat="1" applyFont="1" applyBorder="1" applyAlignment="1">
      <alignment vertical="center" wrapText="1"/>
    </xf>
    <xf numFmtId="165" fontId="34" fillId="0" borderId="1" xfId="0" applyNumberFormat="1" applyFont="1" applyBorder="1" applyAlignment="1">
      <alignment vertical="center" wrapText="1"/>
    </xf>
    <xf numFmtId="164" fontId="41" fillId="0" borderId="0" xfId="0" applyNumberFormat="1" applyFont="1" applyBorder="1" applyAlignment="1">
      <alignment vertical="center" wrapText="1"/>
    </xf>
    <xf numFmtId="165" fontId="45" fillId="0" borderId="72" xfId="0" applyNumberFormat="1" applyFont="1" applyBorder="1" applyAlignment="1">
      <alignment vertical="center" wrapText="1"/>
    </xf>
    <xf numFmtId="165" fontId="45" fillId="0" borderId="73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3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165" fontId="29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1" fontId="47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fill" vertical="center"/>
      <protection locked="0"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165" fontId="50" fillId="0" borderId="0" xfId="0" applyNumberFormat="1" applyFont="1" applyAlignment="1">
      <alignment/>
    </xf>
    <xf numFmtId="0" fontId="47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fill" vertical="center"/>
      <protection locked="0"/>
    </xf>
    <xf numFmtId="1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Fill="1" applyBorder="1" applyAlignment="1" applyProtection="1">
      <alignment horizontal="center" wrapText="1"/>
      <protection locked="0"/>
    </xf>
    <xf numFmtId="0" fontId="21" fillId="0" borderId="45" xfId="0" applyNumberFormat="1" applyFont="1" applyFill="1" applyBorder="1" applyAlignment="1" applyProtection="1">
      <alignment horizontal="center" wrapText="1"/>
      <protection locked="0"/>
    </xf>
    <xf numFmtId="0" fontId="5" fillId="0" borderId="15" xfId="0" applyNumberFormat="1" applyFont="1" applyFill="1" applyBorder="1" applyAlignment="1" applyProtection="1">
      <alignment horizontal="center" wrapText="1"/>
      <protection locked="0"/>
    </xf>
    <xf numFmtId="166" fontId="9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9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2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5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4" xfId="0" applyNumberFormat="1" applyFont="1" applyFill="1" applyBorder="1" applyAlignment="1" applyProtection="1">
      <alignment horizontal="center" vertical="top" wrapText="1"/>
      <protection locked="0"/>
    </xf>
    <xf numFmtId="0" fontId="5" fillId="0" borderId="59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52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5" xfId="0" applyNumberFormat="1" applyFont="1" applyFill="1" applyBorder="1" applyAlignment="1" applyProtection="1">
      <alignment horizontal="center" vertical="center"/>
      <protection locked="0"/>
    </xf>
    <xf numFmtId="0" fontId="52" fillId="0" borderId="35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52" fillId="0" borderId="13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NumberFormat="1" applyFont="1" applyFill="1" applyBorder="1" applyAlignment="1" applyProtection="1">
      <alignment vertical="center"/>
      <protection locked="0"/>
    </xf>
    <xf numFmtId="49" fontId="13" fillId="0" borderId="76" xfId="0" applyNumberFormat="1" applyFont="1" applyFill="1" applyBorder="1" applyAlignment="1" applyProtection="1">
      <alignment horizontal="centerContinuous" vertical="center"/>
      <protection locked="0"/>
    </xf>
    <xf numFmtId="0" fontId="53" fillId="0" borderId="77" xfId="0" applyNumberFormat="1" applyFont="1" applyFill="1" applyBorder="1" applyAlignment="1" applyProtection="1">
      <alignment vertical="center" wrapText="1"/>
      <protection locked="0"/>
    </xf>
    <xf numFmtId="3" fontId="13" fillId="0" borderId="67" xfId="0" applyNumberFormat="1" applyFont="1" applyFill="1" applyBorder="1" applyAlignment="1" applyProtection="1">
      <alignment vertical="center" wrapText="1"/>
      <protection locked="0"/>
    </xf>
    <xf numFmtId="3" fontId="13" fillId="0" borderId="67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53" fillId="0" borderId="7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6" xfId="0" applyNumberFormat="1" applyFont="1" applyFill="1" applyBorder="1" applyAlignment="1" applyProtection="1">
      <alignment vertical="center" wrapText="1"/>
      <protection locked="0"/>
    </xf>
    <xf numFmtId="3" fontId="15" fillId="0" borderId="68" xfId="0" applyNumberFormat="1" applyFont="1" applyFill="1" applyBorder="1" applyAlignment="1" applyProtection="1">
      <alignment vertical="center" wrapText="1"/>
      <protection locked="0"/>
    </xf>
    <xf numFmtId="3" fontId="15" fillId="0" borderId="68" xfId="0" applyNumberFormat="1" applyFont="1" applyFill="1" applyBorder="1" applyAlignment="1" applyProtection="1">
      <alignment vertical="center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15" fillId="0" borderId="78" xfId="0" applyNumberFormat="1" applyFont="1" applyFill="1" applyBorder="1" applyAlignment="1" applyProtection="1">
      <alignment vertical="center" wrapText="1"/>
      <protection locked="0"/>
    </xf>
    <xf numFmtId="3" fontId="15" fillId="0" borderId="21" xfId="0" applyNumberFormat="1" applyFont="1" applyFill="1" applyBorder="1" applyAlignment="1" applyProtection="1">
      <alignment vertical="center" wrapText="1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43" xfId="0" applyNumberFormat="1" applyFont="1" applyFill="1" applyBorder="1" applyAlignment="1" applyProtection="1">
      <alignment vertical="center"/>
      <protection locked="0"/>
    </xf>
    <xf numFmtId="3" fontId="15" fillId="0" borderId="40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49" fontId="53" fillId="0" borderId="78" xfId="0" applyNumberFormat="1" applyFont="1" applyFill="1" applyBorder="1" applyAlignment="1" applyProtection="1">
      <alignment horizontal="centerContinuous" vertical="center"/>
      <protection locked="0"/>
    </xf>
    <xf numFmtId="3" fontId="15" fillId="0" borderId="37" xfId="0" applyNumberFormat="1" applyFont="1" applyFill="1" applyBorder="1" applyAlignment="1" applyProtection="1">
      <alignment vertical="center" wrapText="1"/>
      <protection locked="0"/>
    </xf>
    <xf numFmtId="3" fontId="15" fillId="0" borderId="38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3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4" xfId="0" applyNumberFormat="1" applyFont="1" applyFill="1" applyBorder="1" applyAlignment="1" applyProtection="1">
      <alignment vertical="center" wrapText="1"/>
      <protection locked="0"/>
    </xf>
    <xf numFmtId="3" fontId="13" fillId="0" borderId="55" xfId="0" applyNumberFormat="1" applyFont="1" applyFill="1" applyBorder="1" applyAlignment="1" applyProtection="1">
      <alignment vertical="center" wrapText="1"/>
      <protection locked="0"/>
    </xf>
    <xf numFmtId="3" fontId="4" fillId="0" borderId="64" xfId="0" applyNumberFormat="1" applyFont="1" applyFill="1" applyBorder="1" applyAlignment="1" applyProtection="1">
      <alignment vertical="center"/>
      <protection locked="0"/>
    </xf>
    <xf numFmtId="0" fontId="15" fillId="0" borderId="77" xfId="0" applyNumberFormat="1" applyFont="1" applyFill="1" applyBorder="1" applyAlignment="1" applyProtection="1">
      <alignment vertical="center" wrapText="1"/>
      <protection locked="0"/>
    </xf>
    <xf numFmtId="3" fontId="15" fillId="0" borderId="67" xfId="0" applyNumberFormat="1" applyFont="1" applyFill="1" applyBorder="1" applyAlignment="1" applyProtection="1">
      <alignment vertical="center" wrapText="1"/>
      <protection locked="0"/>
    </xf>
    <xf numFmtId="3" fontId="15" fillId="0" borderId="67" xfId="0" applyNumberFormat="1" applyFont="1" applyFill="1" applyBorder="1" applyAlignment="1" applyProtection="1">
      <alignment vertical="center"/>
      <protection locked="0"/>
    </xf>
    <xf numFmtId="3" fontId="15" fillId="0" borderId="54" xfId="0" applyNumberFormat="1" applyFont="1" applyFill="1" applyBorder="1" applyAlignment="1" applyProtection="1">
      <alignment vertical="center"/>
      <protection locked="0"/>
    </xf>
    <xf numFmtId="3" fontId="15" fillId="0" borderId="55" xfId="0" applyNumberFormat="1" applyFont="1" applyFill="1" applyBorder="1" applyAlignment="1" applyProtection="1">
      <alignment vertical="center"/>
      <protection locked="0"/>
    </xf>
    <xf numFmtId="3" fontId="15" fillId="0" borderId="56" xfId="0" applyNumberFormat="1" applyFont="1" applyFill="1" applyBorder="1" applyAlignment="1" applyProtection="1">
      <alignment vertical="center"/>
      <protection locked="0"/>
    </xf>
    <xf numFmtId="0" fontId="53" fillId="0" borderId="76" xfId="0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/>
      <protection locked="0"/>
    </xf>
    <xf numFmtId="3" fontId="13" fillId="0" borderId="62" xfId="0" applyNumberFormat="1" applyFont="1" applyFill="1" applyBorder="1" applyAlignment="1" applyProtection="1">
      <alignment vertical="center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55" xfId="0" applyNumberFormat="1" applyFont="1" applyFill="1" applyBorder="1" applyAlignment="1" applyProtection="1">
      <alignment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3" fontId="53" fillId="0" borderId="0" xfId="0" applyNumberFormat="1" applyFont="1" applyFill="1" applyBorder="1" applyAlignment="1" applyProtection="1">
      <alignment/>
      <protection locked="0"/>
    </xf>
    <xf numFmtId="3" fontId="13" fillId="0" borderId="67" xfId="0" applyNumberFormat="1" applyFont="1" applyFill="1" applyBorder="1" applyAlignment="1" applyProtection="1">
      <alignment/>
      <protection locked="0"/>
    </xf>
    <xf numFmtId="0" fontId="13" fillId="0" borderId="54" xfId="0" applyNumberFormat="1" applyFont="1" applyFill="1" applyBorder="1" applyAlignment="1" applyProtection="1">
      <alignment/>
      <protection locked="0"/>
    </xf>
    <xf numFmtId="0" fontId="13" fillId="0" borderId="55" xfId="0" applyNumberFormat="1" applyFont="1" applyFill="1" applyBorder="1" applyAlignment="1" applyProtection="1">
      <alignment/>
      <protection locked="0"/>
    </xf>
    <xf numFmtId="0" fontId="13" fillId="0" borderId="67" xfId="0" applyNumberFormat="1" applyFont="1" applyFill="1" applyBorder="1" applyAlignment="1" applyProtection="1">
      <alignment/>
      <protection locked="0"/>
    </xf>
    <xf numFmtId="49" fontId="13" fillId="0" borderId="76" xfId="0" applyNumberFormat="1" applyFont="1" applyFill="1" applyBorder="1" applyAlignment="1" applyProtection="1">
      <alignment horizontal="centerContinuous" vertical="center"/>
      <protection locked="0"/>
    </xf>
    <xf numFmtId="3" fontId="13" fillId="0" borderId="63" xfId="0" applyNumberFormat="1" applyFont="1" applyFill="1" applyBorder="1" applyAlignment="1" applyProtection="1">
      <alignment vertical="center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13" fillId="0" borderId="55" xfId="0" applyNumberFormat="1" applyFont="1" applyFill="1" applyBorder="1" applyAlignment="1" applyProtection="1">
      <alignment vertical="center"/>
      <protection locked="0"/>
    </xf>
    <xf numFmtId="3" fontId="13" fillId="0" borderId="56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49" fontId="13" fillId="0" borderId="7" xfId="0" applyNumberFormat="1" applyFont="1" applyFill="1" applyBorder="1" applyAlignment="1" applyProtection="1">
      <alignment vertical="center"/>
      <protection locked="0"/>
    </xf>
    <xf numFmtId="0" fontId="21" fillId="0" borderId="12" xfId="0" applyNumberFormat="1" applyFont="1" applyFill="1" applyBorder="1" applyAlignment="1" applyProtection="1">
      <alignment horizontal="left"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" fontId="13" fillId="0" borderId="9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3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5" xfId="0" applyNumberFormat="1" applyFont="1" applyFill="1" applyBorder="1" applyAlignment="1" applyProtection="1">
      <alignment vertical="center" wrapText="1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49" fontId="13" fillId="0" borderId="73" xfId="0" applyNumberFormat="1" applyFont="1" applyFill="1" applyBorder="1" applyAlignment="1" applyProtection="1">
      <alignment horizontal="centerContinuous" vertical="center"/>
      <protection locked="0"/>
    </xf>
    <xf numFmtId="0" fontId="5" fillId="0" borderId="79" xfId="0" applyNumberFormat="1" applyFont="1" applyFill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" fontId="5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0" xfId="0" applyNumberFormat="1" applyFont="1" applyBorder="1" applyAlignment="1">
      <alignment vertical="center"/>
    </xf>
    <xf numFmtId="1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4" fillId="0" borderId="15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4" fillId="0" borderId="80" xfId="0" applyNumberFormat="1" applyFont="1" applyFill="1" applyBorder="1" applyAlignment="1" applyProtection="1">
      <alignment horizontal="centerContinuous" vertical="center"/>
      <protection locked="0"/>
    </xf>
    <xf numFmtId="164" fontId="54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42" xfId="0" applyNumberFormat="1" applyFont="1" applyFill="1" applyBorder="1" applyAlignment="1" applyProtection="1">
      <alignment horizontal="centerContinuous" vertical="center"/>
      <protection locked="0"/>
    </xf>
    <xf numFmtId="1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21" fillId="0" borderId="8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87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88" xfId="0" applyNumberFormat="1" applyFont="1" applyFill="1" applyBorder="1" applyAlignment="1" applyProtection="1">
      <alignment horizontal="center" vertical="center"/>
      <protection locked="0"/>
    </xf>
    <xf numFmtId="3" fontId="12" fillId="0" borderId="36" xfId="0" applyNumberFormat="1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>
      <alignment/>
    </xf>
    <xf numFmtId="49" fontId="5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2" xfId="21" applyNumberFormat="1" applyFont="1" applyFill="1" applyBorder="1" applyAlignment="1" applyProtection="1">
      <alignment vertical="center" wrapText="1"/>
      <protection locked="0"/>
    </xf>
    <xf numFmtId="3" fontId="5" fillId="0" borderId="87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88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60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89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17" fillId="0" borderId="60" xfId="0" applyNumberFormat="1" applyFont="1" applyFill="1" applyBorder="1" applyAlignment="1" applyProtection="1">
      <alignment vertical="center"/>
      <protection locked="0"/>
    </xf>
    <xf numFmtId="3" fontId="55" fillId="0" borderId="90" xfId="0" applyNumberFormat="1" applyFont="1" applyFill="1" applyBorder="1" applyAlignment="1" applyProtection="1">
      <alignment vertical="center"/>
      <protection locked="0"/>
    </xf>
    <xf numFmtId="3" fontId="55" fillId="0" borderId="60" xfId="0" applyNumberFormat="1" applyFont="1" applyFill="1" applyBorder="1" applyAlignment="1" applyProtection="1">
      <alignment vertical="center"/>
      <protection locked="0"/>
    </xf>
    <xf numFmtId="3" fontId="55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49" fontId="13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91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92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93" xfId="0" applyNumberFormat="1" applyFont="1" applyFill="1" applyBorder="1" applyAlignment="1" applyProtection="1">
      <alignment horizontal="right" vertical="center"/>
      <protection locked="0"/>
    </xf>
    <xf numFmtId="3" fontId="13" fillId="0" borderId="56" xfId="0" applyNumberFormat="1" applyFont="1" applyFill="1" applyBorder="1" applyAlignment="1" applyProtection="1">
      <alignment horizontal="right" vertical="center"/>
      <protection locked="0"/>
    </xf>
    <xf numFmtId="164" fontId="13" fillId="0" borderId="0" xfId="0" applyNumberFormat="1" applyFont="1" applyBorder="1" applyAlignment="1">
      <alignment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90" xfId="0" applyNumberFormat="1" applyFont="1" applyFill="1" applyBorder="1" applyAlignment="1" applyProtection="1">
      <alignment vertical="center"/>
      <protection locked="0"/>
    </xf>
    <xf numFmtId="3" fontId="13" fillId="0" borderId="92" xfId="0" applyNumberFormat="1" applyFont="1" applyFill="1" applyBorder="1" applyAlignment="1" applyProtection="1">
      <alignment vertical="center"/>
      <protection locked="0"/>
    </xf>
    <xf numFmtId="3" fontId="13" fillId="0" borderId="58" xfId="0" applyNumberFormat="1" applyFont="1" applyFill="1" applyBorder="1" applyAlignment="1" applyProtection="1">
      <alignment vertical="center"/>
      <protection locked="0"/>
    </xf>
    <xf numFmtId="3" fontId="13" fillId="0" borderId="93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/>
    </xf>
    <xf numFmtId="164" fontId="13" fillId="0" borderId="91" xfId="21" applyNumberFormat="1" applyFont="1" applyFill="1" applyBorder="1" applyAlignment="1" applyProtection="1">
      <alignment horizontal="left" vertical="center" wrapText="1"/>
      <protection locked="0"/>
    </xf>
    <xf numFmtId="4" fontId="13" fillId="0" borderId="92" xfId="0" applyNumberFormat="1" applyFont="1" applyFill="1" applyBorder="1" applyAlignment="1" applyProtection="1">
      <alignment vertical="center"/>
      <protection locked="0"/>
    </xf>
    <xf numFmtId="4" fontId="13" fillId="0" borderId="54" xfId="0" applyNumberFormat="1" applyFont="1" applyFill="1" applyBorder="1" applyAlignment="1" applyProtection="1">
      <alignment vertical="center"/>
      <protection locked="0"/>
    </xf>
    <xf numFmtId="4" fontId="13" fillId="0" borderId="58" xfId="0" applyNumberFormat="1" applyFont="1" applyFill="1" applyBorder="1" applyAlignment="1" applyProtection="1">
      <alignment vertical="center"/>
      <protection locked="0"/>
    </xf>
    <xf numFmtId="4" fontId="13" fillId="0" borderId="93" xfId="0" applyNumberFormat="1" applyFont="1" applyFill="1" applyBorder="1" applyAlignment="1" applyProtection="1">
      <alignment vertical="center"/>
      <protection locked="0"/>
    </xf>
    <xf numFmtId="3" fontId="13" fillId="0" borderId="93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 vertical="center"/>
    </xf>
    <xf numFmtId="1" fontId="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21" applyNumberFormat="1" applyFont="1" applyFill="1" applyBorder="1" applyAlignment="1" applyProtection="1">
      <alignment horizontal="left" vertical="center" wrapText="1"/>
      <protection locked="0"/>
    </xf>
    <xf numFmtId="4" fontId="4" fillId="0" borderId="89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60" xfId="0" applyNumberFormat="1" applyFont="1" applyFill="1" applyBorder="1" applyAlignment="1" applyProtection="1">
      <alignment vertical="center"/>
      <protection locked="0"/>
    </xf>
    <xf numFmtId="4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4" fontId="17" fillId="0" borderId="89" xfId="0" applyNumberFormat="1" applyFont="1" applyFill="1" applyBorder="1" applyAlignment="1" applyProtection="1">
      <alignment vertical="center"/>
      <protection locked="0"/>
    </xf>
    <xf numFmtId="4" fontId="17" fillId="0" borderId="24" xfId="0" applyNumberFormat="1" applyFont="1" applyFill="1" applyBorder="1" applyAlignment="1" applyProtection="1">
      <alignment vertical="center"/>
      <protection locked="0"/>
    </xf>
    <xf numFmtId="4" fontId="17" fillId="0" borderId="60" xfId="0" applyNumberFormat="1" applyFont="1" applyFill="1" applyBorder="1" applyAlignment="1" applyProtection="1">
      <alignment vertical="center"/>
      <protection locked="0"/>
    </xf>
    <xf numFmtId="4" fontId="17" fillId="0" borderId="90" xfId="0" applyNumberFormat="1" applyFont="1" applyFill="1" applyBorder="1" applyAlignment="1" applyProtection="1">
      <alignment vertical="center"/>
      <protection locked="0"/>
    </xf>
    <xf numFmtId="1" fontId="5" fillId="0" borderId="9" xfId="0" applyNumberFormat="1" applyFont="1" applyFill="1" applyBorder="1" applyAlignment="1" applyProtection="1">
      <alignment horizontal="centerContinuous" vertical="center"/>
      <protection locked="0"/>
    </xf>
    <xf numFmtId="1" fontId="13" fillId="0" borderId="6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" fontId="17" fillId="0" borderId="94" xfId="0" applyNumberFormat="1" applyFont="1" applyFill="1" applyBorder="1" applyAlignment="1" applyProtection="1">
      <alignment vertical="center"/>
      <protection locked="0"/>
    </xf>
    <xf numFmtId="164" fontId="17" fillId="0" borderId="95" xfId="21" applyNumberFormat="1" applyFont="1" applyFill="1" applyBorder="1" applyAlignment="1" applyProtection="1">
      <alignment vertical="center" wrapText="1"/>
      <protection locked="0"/>
    </xf>
    <xf numFmtId="3" fontId="5" fillId="0" borderId="96" xfId="0" applyNumberFormat="1" applyFont="1" applyFill="1" applyBorder="1" applyAlignment="1" applyProtection="1">
      <alignment vertical="center"/>
      <protection locked="0"/>
    </xf>
    <xf numFmtId="1" fontId="5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89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3" fontId="5" fillId="0" borderId="94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5" fillId="0" borderId="9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1" fontId="5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5" fillId="0" borderId="89" xfId="0" applyNumberFormat="1" applyFont="1" applyFill="1" applyBorder="1" applyAlignment="1" applyProtection="1">
      <alignment vertical="center"/>
      <protection locked="0"/>
    </xf>
    <xf numFmtId="3" fontId="55" fillId="0" borderId="24" xfId="0" applyNumberFormat="1" applyFont="1" applyFill="1" applyBorder="1" applyAlignment="1" applyProtection="1">
      <alignment vertical="center"/>
      <protection locked="0"/>
    </xf>
    <xf numFmtId="3" fontId="55" fillId="0" borderId="94" xfId="0" applyNumberFormat="1" applyFont="1" applyFill="1" applyBorder="1" applyAlignment="1" applyProtection="1">
      <alignment vertical="center"/>
      <protection locked="0"/>
    </xf>
    <xf numFmtId="164" fontId="55" fillId="0" borderId="0" xfId="0" applyNumberFormat="1" applyFont="1" applyBorder="1" applyAlignment="1">
      <alignment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1" fontId="1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0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60" xfId="0" applyNumberFormat="1" applyFont="1" applyFill="1" applyBorder="1" applyAlignment="1" applyProtection="1">
      <alignment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164" fontId="5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90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6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3" fontId="20" fillId="0" borderId="89" xfId="0" applyNumberFormat="1" applyFont="1" applyFill="1" applyBorder="1" applyAlignment="1" applyProtection="1">
      <alignment vertical="center"/>
      <protection locked="0"/>
    </xf>
    <xf numFmtId="3" fontId="20" fillId="0" borderId="24" xfId="0" applyNumberFormat="1" applyFont="1" applyFill="1" applyBorder="1" applyAlignment="1" applyProtection="1">
      <alignment vertical="center"/>
      <protection locked="0"/>
    </xf>
    <xf numFmtId="3" fontId="20" fillId="0" borderId="60" xfId="0" applyNumberFormat="1" applyFont="1" applyFill="1" applyBorder="1" applyAlignment="1" applyProtection="1">
      <alignment vertical="center"/>
      <protection locked="0"/>
    </xf>
    <xf numFmtId="3" fontId="20" fillId="0" borderId="90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90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/>
    </xf>
    <xf numFmtId="1" fontId="16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7" xfId="0" applyNumberFormat="1" applyFont="1" applyBorder="1" applyAlignment="1">
      <alignment vertical="center" wrapText="1"/>
    </xf>
    <xf numFmtId="3" fontId="17" fillId="0" borderId="98" xfId="0" applyNumberFormat="1" applyFont="1" applyFill="1" applyBorder="1" applyAlignment="1" applyProtection="1">
      <alignment vertical="center"/>
      <protection locked="0"/>
    </xf>
    <xf numFmtId="3" fontId="17" fillId="0" borderId="30" xfId="0" applyNumberFormat="1" applyFont="1" applyFill="1" applyBorder="1" applyAlignment="1" applyProtection="1">
      <alignment vertical="center"/>
      <protection locked="0"/>
    </xf>
    <xf numFmtId="3" fontId="18" fillId="0" borderId="69" xfId="0" applyNumberFormat="1" applyFont="1" applyFill="1" applyBorder="1" applyAlignment="1" applyProtection="1">
      <alignment vertical="center"/>
      <protection locked="0"/>
    </xf>
    <xf numFmtId="3" fontId="17" fillId="0" borderId="99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vertical="center"/>
      <protection locked="0"/>
    </xf>
    <xf numFmtId="3" fontId="17" fillId="0" borderId="100" xfId="0" applyNumberFormat="1" applyFont="1" applyFill="1" applyBorder="1" applyAlignment="1" applyProtection="1">
      <alignment vertical="center"/>
      <protection locked="0"/>
    </xf>
    <xf numFmtId="3" fontId="55" fillId="0" borderId="31" xfId="0" applyNumberFormat="1" applyFont="1" applyFill="1" applyBorder="1" applyAlignment="1" applyProtection="1">
      <alignment vertical="center"/>
      <protection locked="0"/>
    </xf>
    <xf numFmtId="1" fontId="13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95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101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4" xfId="0" applyNumberFormat="1" applyFont="1" applyFill="1" applyBorder="1" applyAlignment="1" applyProtection="1">
      <alignment horizontal="right" vertical="center"/>
      <protection locked="0"/>
    </xf>
    <xf numFmtId="3" fontId="13" fillId="0" borderId="102" xfId="0" applyNumberFormat="1" applyFont="1" applyFill="1" applyBorder="1" applyAlignment="1" applyProtection="1">
      <alignment horizontal="right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89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60" xfId="0" applyNumberFormat="1" applyFont="1" applyFill="1" applyBorder="1" applyAlignment="1" applyProtection="1">
      <alignment horizontal="right" vertical="center"/>
      <protection locked="0"/>
    </xf>
    <xf numFmtId="3" fontId="4" fillId="0" borderId="90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>
      <alignment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95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101" xfId="0" applyNumberFormat="1" applyFont="1" applyFill="1" applyBorder="1" applyAlignment="1" applyProtection="1">
      <alignment horizontal="right" vertical="center"/>
      <protection locked="0"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3" fontId="17" fillId="0" borderId="44" xfId="0" applyNumberFormat="1" applyFont="1" applyFill="1" applyBorder="1" applyAlignment="1" applyProtection="1">
      <alignment horizontal="right" vertical="center"/>
      <protection locked="0"/>
    </xf>
    <xf numFmtId="3" fontId="17" fillId="0" borderId="102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>
      <alignment/>
    </xf>
    <xf numFmtId="1" fontId="4" fillId="0" borderId="3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01" xfId="0" applyNumberFormat="1" applyFont="1" applyFill="1" applyBorder="1" applyAlignment="1" applyProtection="1">
      <alignment vertical="center"/>
      <protection locked="0"/>
    </xf>
    <xf numFmtId="3" fontId="17" fillId="0" borderId="43" xfId="0" applyNumberFormat="1" applyFont="1" applyFill="1" applyBorder="1" applyAlignment="1" applyProtection="1">
      <alignment vertical="center"/>
      <protection locked="0"/>
    </xf>
    <xf numFmtId="3" fontId="17" fillId="0" borderId="44" xfId="0" applyNumberFormat="1" applyFont="1" applyFill="1" applyBorder="1" applyAlignment="1" applyProtection="1">
      <alignment vertical="center"/>
      <protection locked="0"/>
    </xf>
    <xf numFmtId="3" fontId="17" fillId="0" borderId="102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102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 wrapText="1"/>
    </xf>
    <xf numFmtId="164" fontId="13" fillId="0" borderId="57" xfId="21" applyNumberFormat="1" applyFont="1" applyFill="1" applyBorder="1" applyAlignment="1" applyProtection="1">
      <alignment horizontal="left" vertical="center" wrapText="1"/>
      <protection locked="0"/>
    </xf>
    <xf numFmtId="3" fontId="13" fillId="0" borderId="103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17" fillId="0" borderId="38" xfId="0" applyNumberFormat="1" applyFont="1" applyFill="1" applyBorder="1" applyAlignment="1" applyProtection="1">
      <alignment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95" xfId="21" applyNumberFormat="1" applyFont="1" applyFill="1" applyBorder="1" applyAlignment="1" applyProtection="1">
      <alignment horizontal="left" vertical="center" wrapText="1"/>
      <protection locked="0"/>
    </xf>
    <xf numFmtId="3" fontId="55" fillId="0" borderId="44" xfId="0" applyNumberFormat="1" applyFont="1" applyFill="1" applyBorder="1" applyAlignment="1" applyProtection="1">
      <alignment vertical="center"/>
      <protection locked="0"/>
    </xf>
    <xf numFmtId="3" fontId="55" fillId="0" borderId="102" xfId="0" applyNumberFormat="1" applyFont="1" applyFill="1" applyBorder="1" applyAlignment="1" applyProtection="1">
      <alignment vertical="center"/>
      <protection locked="0"/>
    </xf>
    <xf numFmtId="3" fontId="55" fillId="0" borderId="38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5" xfId="21" applyNumberFormat="1" applyFont="1" applyFill="1" applyBorder="1" applyAlignment="1" applyProtection="1">
      <alignment vertical="center" wrapText="1"/>
      <protection locked="0"/>
    </xf>
    <xf numFmtId="3" fontId="20" fillId="0" borderId="101" xfId="0" applyNumberFormat="1" applyFont="1" applyFill="1" applyBorder="1" applyAlignment="1" applyProtection="1">
      <alignment vertical="center"/>
      <protection locked="0"/>
    </xf>
    <xf numFmtId="3" fontId="20" fillId="0" borderId="43" xfId="0" applyNumberFormat="1" applyFont="1" applyFill="1" applyBorder="1" applyAlignment="1" applyProtection="1">
      <alignment vertical="center"/>
      <protection locked="0"/>
    </xf>
    <xf numFmtId="3" fontId="20" fillId="0" borderId="44" xfId="0" applyNumberFormat="1" applyFont="1" applyFill="1" applyBorder="1" applyAlignment="1" applyProtection="1">
      <alignment vertical="center"/>
      <protection locked="0"/>
    </xf>
    <xf numFmtId="3" fontId="20" fillId="0" borderId="102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3" fontId="13" fillId="0" borderId="91" xfId="21" applyNumberFormat="1" applyFont="1" applyFill="1" applyBorder="1" applyAlignment="1" applyProtection="1">
      <alignment vertical="center" wrapText="1"/>
      <protection locked="0"/>
    </xf>
    <xf numFmtId="3" fontId="4" fillId="0" borderId="82" xfId="0" applyNumberFormat="1" applyFont="1" applyFill="1" applyBorder="1" applyAlignment="1" applyProtection="1">
      <alignment vertical="center"/>
      <protection locked="0"/>
    </xf>
    <xf numFmtId="1" fontId="18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8" fillId="0" borderId="90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164" fontId="18" fillId="0" borderId="0" xfId="0" applyNumberFormat="1" applyFont="1" applyBorder="1" applyAlignment="1">
      <alignment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16" fillId="0" borderId="60" xfId="0" applyNumberFormat="1" applyFont="1" applyFill="1" applyBorder="1" applyAlignment="1" applyProtection="1">
      <alignment vertical="center"/>
      <protection locked="0"/>
    </xf>
    <xf numFmtId="3" fontId="16" fillId="0" borderId="90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7" fillId="0" borderId="104" xfId="21" applyNumberFormat="1" applyFont="1" applyFill="1" applyBorder="1" applyAlignment="1" applyProtection="1">
      <alignment horizontal="left" vertical="center" wrapText="1"/>
      <protection locked="0"/>
    </xf>
    <xf numFmtId="3" fontId="55" fillId="0" borderId="98" xfId="0" applyNumberFormat="1" applyFont="1" applyFill="1" applyBorder="1" applyAlignment="1" applyProtection="1">
      <alignment vertical="center"/>
      <protection locked="0"/>
    </xf>
    <xf numFmtId="3" fontId="55" fillId="0" borderId="30" xfId="0" applyNumberFormat="1" applyFont="1" applyFill="1" applyBorder="1" applyAlignment="1" applyProtection="1">
      <alignment vertical="center"/>
      <protection locked="0"/>
    </xf>
    <xf numFmtId="3" fontId="16" fillId="0" borderId="69" xfId="0" applyNumberFormat="1" applyFont="1" applyFill="1" applyBorder="1" applyAlignment="1" applyProtection="1">
      <alignment vertical="center"/>
      <protection locked="0"/>
    </xf>
    <xf numFmtId="3" fontId="55" fillId="0" borderId="100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164" fontId="13" fillId="0" borderId="95" xfId="21" applyNumberFormat="1" applyFont="1" applyFill="1" applyBorder="1" applyAlignment="1" applyProtection="1">
      <alignment vertical="center" wrapText="1"/>
      <protection locked="0"/>
    </xf>
    <xf numFmtId="3" fontId="13" fillId="0" borderId="101" xfId="0" applyNumberFormat="1" applyFont="1" applyFill="1" applyBorder="1" applyAlignment="1" applyProtection="1">
      <alignment vertical="center"/>
      <protection locked="0"/>
    </xf>
    <xf numFmtId="3" fontId="13" fillId="0" borderId="43" xfId="0" applyNumberFormat="1" applyFont="1" applyFill="1" applyBorder="1" applyAlignment="1" applyProtection="1">
      <alignment vertical="center"/>
      <protection locked="0"/>
    </xf>
    <xf numFmtId="3" fontId="13" fillId="0" borderId="44" xfId="0" applyNumberFormat="1" applyFont="1" applyFill="1" applyBorder="1" applyAlignment="1" applyProtection="1">
      <alignment vertical="center"/>
      <protection locked="0"/>
    </xf>
    <xf numFmtId="3" fontId="13" fillId="0" borderId="102" xfId="0" applyNumberFormat="1" applyFont="1" applyFill="1" applyBorder="1" applyAlignment="1" applyProtection="1">
      <alignment vertical="center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164" fontId="13" fillId="0" borderId="91" xfId="21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>
      <alignment/>
    </xf>
    <xf numFmtId="3" fontId="55" fillId="0" borderId="105" xfId="0" applyNumberFormat="1" applyFont="1" applyFill="1" applyBorder="1" applyAlignment="1" applyProtection="1">
      <alignment vertical="center"/>
      <protection locked="0"/>
    </xf>
    <xf numFmtId="3" fontId="55" fillId="0" borderId="0" xfId="0" applyNumberFormat="1" applyFont="1" applyFill="1" applyBorder="1" applyAlignment="1" applyProtection="1">
      <alignment vertical="center"/>
      <protection locked="0"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104" xfId="21" applyNumberFormat="1" applyFont="1" applyFill="1" applyBorder="1" applyAlignment="1" applyProtection="1">
      <alignment vertical="center" wrapText="1"/>
      <protection locked="0"/>
    </xf>
    <xf numFmtId="3" fontId="55" fillId="0" borderId="69" xfId="0" applyNumberFormat="1" applyFont="1" applyFill="1" applyBorder="1" applyAlignment="1" applyProtection="1">
      <alignment vertical="center"/>
      <protection locked="0"/>
    </xf>
    <xf numFmtId="3" fontId="12" fillId="0" borderId="101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1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6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3" fontId="3" fillId="0" borderId="107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17" fillId="0" borderId="82" xfId="0" applyNumberFormat="1" applyFont="1" applyFill="1" applyBorder="1" applyAlignment="1" applyProtection="1">
      <alignment vertical="center"/>
      <protection locked="0"/>
    </xf>
    <xf numFmtId="1" fontId="4" fillId="0" borderId="26" xfId="0" applyNumberFormat="1" applyFont="1" applyFill="1" applyBorder="1" applyAlignment="1" applyProtection="1">
      <alignment horizontal="centerContinuous"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13" fillId="0" borderId="91" xfId="0" applyNumberFormat="1" applyFont="1" applyFill="1" applyBorder="1" applyAlignment="1" applyProtection="1">
      <alignment vertical="center"/>
      <protection locked="0"/>
    </xf>
    <xf numFmtId="3" fontId="3" fillId="0" borderId="66" xfId="0" applyNumberFormat="1" applyFont="1" applyFill="1" applyBorder="1" applyAlignment="1" applyProtection="1">
      <alignment vertical="center"/>
      <protection locked="0"/>
    </xf>
    <xf numFmtId="3" fontId="3" fillId="0" borderId="106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2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25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Border="1" applyAlignment="1">
      <alignment/>
    </xf>
    <xf numFmtId="1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21" applyNumberFormat="1" applyFont="1" applyFill="1" applyBorder="1" applyAlignment="1" applyProtection="1">
      <alignment vertical="center" wrapText="1"/>
      <protection locked="0"/>
    </xf>
    <xf numFmtId="3" fontId="5" fillId="0" borderId="108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109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55" fillId="0" borderId="59" xfId="0" applyNumberFormat="1" applyFont="1" applyFill="1" applyBorder="1" applyAlignment="1" applyProtection="1">
      <alignment vertical="center"/>
      <protection locked="0"/>
    </xf>
    <xf numFmtId="3" fontId="55" fillId="0" borderId="20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55" fillId="0" borderId="101" xfId="0" applyNumberFormat="1" applyFont="1" applyFill="1" applyBorder="1" applyAlignment="1" applyProtection="1">
      <alignment vertical="center"/>
      <protection locked="0"/>
    </xf>
    <xf numFmtId="3" fontId="55" fillId="0" borderId="43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164" fontId="13" fillId="0" borderId="91" xfId="0" applyNumberFormat="1" applyFont="1" applyBorder="1" applyAlignment="1">
      <alignment vertical="center" wrapText="1"/>
    </xf>
    <xf numFmtId="3" fontId="17" fillId="0" borderId="105" xfId="0" applyNumberFormat="1" applyFont="1" applyFill="1" applyBorder="1" applyAlignment="1" applyProtection="1">
      <alignment vertical="center"/>
      <protection locked="0"/>
    </xf>
    <xf numFmtId="1" fontId="1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32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110" xfId="0" applyNumberFormat="1" applyFont="1" applyFill="1" applyBorder="1" applyAlignment="1" applyProtection="1">
      <alignment vertical="center"/>
      <protection locked="0"/>
    </xf>
    <xf numFmtId="1" fontId="17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17" fillId="0" borderId="111" xfId="0" applyNumberFormat="1" applyFont="1" applyFill="1" applyBorder="1" applyAlignment="1" applyProtection="1">
      <alignment vertical="center"/>
      <protection locked="0"/>
    </xf>
    <xf numFmtId="1" fontId="13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04" xfId="21" applyNumberFormat="1" applyFont="1" applyFill="1" applyBorder="1" applyAlignment="1" applyProtection="1">
      <alignment horizontal="left" vertical="center" wrapText="1"/>
      <protection locked="0"/>
    </xf>
    <xf numFmtId="3" fontId="5" fillId="0" borderId="98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3" fontId="5" fillId="0" borderId="100" xfId="0" applyNumberFormat="1" applyFont="1" applyFill="1" applyBorder="1" applyAlignment="1" applyProtection="1">
      <alignment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" fontId="13" fillId="0" borderId="111" xfId="0" applyNumberFormat="1" applyFont="1" applyFill="1" applyBorder="1" applyAlignment="1" applyProtection="1">
      <alignment vertical="center"/>
      <protection locked="0"/>
    </xf>
    <xf numFmtId="3" fontId="17" fillId="0" borderId="62" xfId="0" applyNumberFormat="1" applyFont="1" applyFill="1" applyBorder="1" applyAlignment="1" applyProtection="1">
      <alignment vertical="center"/>
      <protection locked="0"/>
    </xf>
    <xf numFmtId="1" fontId="5" fillId="0" borderId="11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13" xfId="21" applyNumberFormat="1" applyFont="1" applyFill="1" applyBorder="1" applyAlignment="1" applyProtection="1">
      <alignment vertical="center" wrapText="1"/>
      <protection locked="0"/>
    </xf>
    <xf numFmtId="3" fontId="5" fillId="0" borderId="114" xfId="0" applyNumberFormat="1" applyFont="1" applyFill="1" applyBorder="1" applyAlignment="1" applyProtection="1">
      <alignment vertical="center"/>
      <protection locked="0"/>
    </xf>
    <xf numFmtId="3" fontId="5" fillId="0" borderId="83" xfId="0" applyNumberFormat="1" applyFont="1" applyFill="1" applyBorder="1" applyAlignment="1" applyProtection="1">
      <alignment vertical="center"/>
      <protection locked="0"/>
    </xf>
    <xf numFmtId="3" fontId="5" fillId="0" borderId="84" xfId="0" applyNumberFormat="1" applyFont="1" applyFill="1" applyBorder="1" applyAlignment="1" applyProtection="1">
      <alignment vertical="center"/>
      <protection locked="0"/>
    </xf>
    <xf numFmtId="3" fontId="5" fillId="0" borderId="115" xfId="0" applyNumberFormat="1" applyFont="1" applyFill="1" applyBorder="1" applyAlignment="1" applyProtection="1">
      <alignment vertical="center"/>
      <protection locked="0"/>
    </xf>
    <xf numFmtId="3" fontId="5" fillId="0" borderId="85" xfId="0" applyNumberFormat="1" applyFont="1" applyFill="1" applyBorder="1" applyAlignment="1" applyProtection="1">
      <alignment vertical="center"/>
      <protection locked="0"/>
    </xf>
    <xf numFmtId="3" fontId="5" fillId="0" borderId="86" xfId="0" applyNumberFormat="1" applyFont="1" applyFill="1" applyBorder="1" applyAlignment="1" applyProtection="1">
      <alignment vertical="center"/>
      <protection locked="0"/>
    </xf>
    <xf numFmtId="164" fontId="5" fillId="0" borderId="106" xfId="0" applyNumberFormat="1" applyFont="1" applyBorder="1" applyAlignment="1">
      <alignment/>
    </xf>
    <xf numFmtId="164" fontId="4" fillId="0" borderId="104" xfId="21" applyNumberFormat="1" applyFont="1" applyFill="1" applyBorder="1" applyAlignment="1" applyProtection="1">
      <alignment vertical="center" wrapText="1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3" fillId="0" borderId="90" xfId="0" applyNumberFormat="1" applyFont="1" applyFill="1" applyBorder="1" applyAlignment="1" applyProtection="1">
      <alignment vertical="center"/>
      <protection locked="0"/>
    </xf>
    <xf numFmtId="164" fontId="4" fillId="0" borderId="106" xfId="21" applyNumberFormat="1" applyFont="1" applyFill="1" applyBorder="1" applyAlignment="1" applyProtection="1">
      <alignment vertical="center" wrapText="1"/>
      <protection locked="0"/>
    </xf>
    <xf numFmtId="3" fontId="4" fillId="0" borderId="107" xfId="0" applyNumberFormat="1" applyFont="1" applyFill="1" applyBorder="1" applyAlignment="1" applyProtection="1">
      <alignment vertical="center"/>
      <protection locked="0"/>
    </xf>
    <xf numFmtId="164" fontId="4" fillId="0" borderId="95" xfId="21" applyNumberFormat="1" applyFont="1" applyFill="1" applyBorder="1" applyAlignment="1" applyProtection="1">
      <alignment vertical="center" wrapText="1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13" fillId="0" borderId="103" xfId="0" applyNumberFormat="1" applyFont="1" applyFill="1" applyBorder="1" applyAlignment="1" applyProtection="1">
      <alignment vertical="center"/>
      <protection locked="0"/>
    </xf>
    <xf numFmtId="3" fontId="4" fillId="0" borderId="82" xfId="0" applyNumberFormat="1" applyFont="1" applyFill="1" applyBorder="1" applyAlignment="1" applyProtection="1">
      <alignment horizontal="right" vertical="center"/>
      <protection locked="0"/>
    </xf>
    <xf numFmtId="3" fontId="4" fillId="0" borderId="106" xfId="0" applyNumberFormat="1" applyFont="1" applyFill="1" applyBorder="1" applyAlignment="1" applyProtection="1">
      <alignment vertical="center"/>
      <protection locked="0"/>
    </xf>
    <xf numFmtId="3" fontId="3" fillId="0" borderId="116" xfId="0" applyNumberFormat="1" applyFont="1" applyFill="1" applyBorder="1" applyAlignment="1" applyProtection="1">
      <alignment horizontal="right" vertical="center"/>
      <protection locked="0"/>
    </xf>
    <xf numFmtId="3" fontId="17" fillId="0" borderId="95" xfId="0" applyNumberFormat="1" applyFont="1" applyFill="1" applyBorder="1" applyAlignment="1" applyProtection="1">
      <alignment vertical="center"/>
      <protection locked="0"/>
    </xf>
    <xf numFmtId="3" fontId="17" fillId="0" borderId="117" xfId="0" applyNumberFormat="1" applyFont="1" applyFill="1" applyBorder="1" applyAlignment="1" applyProtection="1">
      <alignment vertical="center"/>
      <protection locked="0"/>
    </xf>
    <xf numFmtId="164" fontId="13" fillId="0" borderId="32" xfId="21" applyNumberFormat="1" applyFont="1" applyFill="1" applyBorder="1" applyAlignment="1" applyProtection="1">
      <alignment vertical="center" wrapText="1"/>
      <protection locked="0"/>
    </xf>
    <xf numFmtId="3" fontId="13" fillId="0" borderId="66" xfId="0" applyNumberFormat="1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04" xfId="21" applyNumberFormat="1" applyFont="1" applyFill="1" applyBorder="1" applyAlignment="1" applyProtection="1">
      <alignment vertical="center" wrapText="1"/>
      <protection locked="0"/>
    </xf>
    <xf numFmtId="164" fontId="17" fillId="0" borderId="20" xfId="21" applyNumberFormat="1" applyFont="1" applyFill="1" applyBorder="1" applyAlignment="1" applyProtection="1">
      <alignment vertical="center" wrapText="1"/>
      <protection locked="0"/>
    </xf>
    <xf numFmtId="1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5" fillId="0" borderId="104" xfId="0" applyNumberFormat="1" applyFont="1" applyFill="1" applyBorder="1" applyAlignment="1" applyProtection="1">
      <alignment vertical="center"/>
      <protection locked="0"/>
    </xf>
    <xf numFmtId="3" fontId="55" fillId="0" borderId="99" xfId="0" applyNumberFormat="1" applyFont="1" applyFill="1" applyBorder="1" applyAlignment="1" applyProtection="1">
      <alignment vertical="center"/>
      <protection locked="0"/>
    </xf>
    <xf numFmtId="1" fontId="18" fillId="0" borderId="37" xfId="0" applyNumberFormat="1" applyFont="1" applyFill="1" applyBorder="1" applyAlignment="1" applyProtection="1">
      <alignment horizontal="centerContinuous" vertical="center"/>
      <protection locked="0"/>
    </xf>
    <xf numFmtId="3" fontId="5" fillId="0" borderId="101" xfId="0" applyNumberFormat="1" applyFont="1" applyFill="1" applyBorder="1" applyAlignment="1" applyProtection="1">
      <alignment vertical="center"/>
      <protection locked="0"/>
    </xf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3" fontId="5" fillId="0" borderId="102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5" fillId="0" borderId="92" xfId="0" applyNumberFormat="1" applyFont="1" applyFill="1" applyBorder="1" applyAlignment="1" applyProtection="1">
      <alignment vertical="center"/>
      <protection locked="0"/>
    </xf>
    <xf numFmtId="3" fontId="5" fillId="0" borderId="54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93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1" fontId="13" fillId="0" borderId="67" xfId="0" applyNumberFormat="1" applyFont="1" applyFill="1" applyBorder="1" applyAlignment="1" applyProtection="1">
      <alignment horizontal="center" vertical="center"/>
      <protection locked="0"/>
    </xf>
    <xf numFmtId="164" fontId="17" fillId="0" borderId="2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3" fontId="17" fillId="0" borderId="107" xfId="0" applyNumberFormat="1" applyFont="1" applyFill="1" applyBorder="1" applyAlignment="1" applyProtection="1">
      <alignment vertical="center"/>
      <protection locked="0"/>
    </xf>
    <xf numFmtId="1" fontId="4" fillId="0" borderId="6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91" xfId="21" applyNumberFormat="1" applyFont="1" applyFill="1" applyBorder="1" applyAlignment="1" applyProtection="1">
      <alignment horizontal="left" vertical="center" wrapText="1"/>
      <protection locked="0"/>
    </xf>
    <xf numFmtId="3" fontId="4" fillId="0" borderId="92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/>
      <protection locked="0"/>
    </xf>
    <xf numFmtId="3" fontId="3" fillId="0" borderId="56" xfId="0" applyNumberFormat="1" applyFont="1" applyFill="1" applyBorder="1" applyAlignment="1" applyProtection="1">
      <alignment horizontal="right"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49" fontId="17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87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 locked="0"/>
    </xf>
    <xf numFmtId="3" fontId="13" fillId="0" borderId="36" xfId="0" applyNumberFormat="1" applyFont="1" applyFill="1" applyBorder="1" applyAlignment="1" applyProtection="1">
      <alignment vertical="center"/>
      <protection locked="0"/>
    </xf>
    <xf numFmtId="164" fontId="4" fillId="0" borderId="0" xfId="21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Fill="1" applyBorder="1" applyAlignment="1" applyProtection="1">
      <alignment vertical="center"/>
      <protection locked="0"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164" fontId="5" fillId="0" borderId="113" xfId="21" applyNumberFormat="1" applyFont="1" applyFill="1" applyBorder="1" applyAlignment="1" applyProtection="1">
      <alignment vertical="center" wrapText="1"/>
      <protection locked="0"/>
    </xf>
    <xf numFmtId="3" fontId="5" fillId="0" borderId="113" xfId="0" applyNumberFormat="1" applyFont="1" applyFill="1" applyBorder="1" applyAlignment="1" applyProtection="1">
      <alignment vertical="center"/>
      <protection locked="0"/>
    </xf>
    <xf numFmtId="3" fontId="5" fillId="0" borderId="119" xfId="0" applyNumberFormat="1" applyFont="1" applyFill="1" applyBorder="1" applyAlignment="1" applyProtection="1">
      <alignment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164" fontId="5" fillId="0" borderId="20" xfId="21" applyNumberFormat="1" applyFont="1" applyFill="1" applyBorder="1" applyAlignment="1" applyProtection="1">
      <alignment vertical="center" wrapText="1"/>
      <protection locked="0"/>
    </xf>
    <xf numFmtId="3" fontId="55" fillId="0" borderId="95" xfId="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Fill="1" applyBorder="1" applyAlignment="1" applyProtection="1">
      <alignment vertical="center"/>
      <protection locked="0"/>
    </xf>
    <xf numFmtId="1" fontId="13" fillId="0" borderId="12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21" xfId="21" applyNumberFormat="1" applyFont="1" applyFill="1" applyBorder="1" applyAlignment="1" applyProtection="1">
      <alignment vertical="center" wrapText="1"/>
      <protection locked="0"/>
    </xf>
    <xf numFmtId="3" fontId="13" fillId="0" borderId="122" xfId="0" applyNumberFormat="1" applyFont="1" applyFill="1" applyBorder="1" applyAlignment="1" applyProtection="1">
      <alignment vertical="center"/>
      <protection locked="0"/>
    </xf>
    <xf numFmtId="3" fontId="13" fillId="0" borderId="48" xfId="0" applyNumberFormat="1" applyFont="1" applyFill="1" applyBorder="1" applyAlignment="1" applyProtection="1">
      <alignment vertical="center"/>
      <protection locked="0"/>
    </xf>
    <xf numFmtId="3" fontId="13" fillId="0" borderId="81" xfId="0" applyNumberFormat="1" applyFont="1" applyFill="1" applyBorder="1" applyAlignment="1" applyProtection="1">
      <alignment vertical="center"/>
      <protection locked="0"/>
    </xf>
    <xf numFmtId="3" fontId="13" fillId="0" borderId="80" xfId="0" applyNumberFormat="1" applyFont="1" applyFill="1" applyBorder="1" applyAlignment="1" applyProtection="1">
      <alignment vertical="center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164" fontId="4" fillId="0" borderId="20" xfId="21" applyNumberFormat="1" applyFont="1" applyFill="1" applyBorder="1" applyAlignment="1" applyProtection="1">
      <alignment vertical="center" wrapText="1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54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3" fontId="3" fillId="0" borderId="56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13" fillId="0" borderId="95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3" fontId="13" fillId="0" borderId="117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59" xfId="0" applyNumberFormat="1" applyFont="1" applyFill="1" applyBorder="1" applyAlignment="1" applyProtection="1">
      <alignment vertical="center"/>
      <protection locked="0"/>
    </xf>
    <xf numFmtId="164" fontId="17" fillId="0" borderId="41" xfId="21" applyNumberFormat="1" applyFont="1" applyFill="1" applyBorder="1" applyAlignment="1" applyProtection="1">
      <alignment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21" applyNumberFormat="1" applyFont="1" applyFill="1" applyBorder="1" applyAlignment="1" applyProtection="1">
      <alignment vertical="center" wrapText="1"/>
      <protection locked="0"/>
    </xf>
    <xf numFmtId="3" fontId="13" fillId="0" borderId="123" xfId="0" applyNumberFormat="1" applyFont="1" applyFill="1" applyBorder="1" applyAlignment="1" applyProtection="1">
      <alignment vertical="center"/>
      <protection locked="0"/>
    </xf>
    <xf numFmtId="3" fontId="3" fillId="0" borderId="105" xfId="0" applyNumberFormat="1" applyFont="1" applyFill="1" applyBorder="1" applyAlignment="1" applyProtection="1">
      <alignment vertical="center"/>
      <protection locked="0"/>
    </xf>
    <xf numFmtId="164" fontId="4" fillId="0" borderId="91" xfId="21" applyNumberFormat="1" applyFont="1" applyFill="1" applyBorder="1" applyAlignment="1" applyProtection="1">
      <alignment vertical="center" wrapText="1"/>
      <protection locked="0"/>
    </xf>
    <xf numFmtId="3" fontId="4" fillId="0" borderId="56" xfId="0" applyNumberFormat="1" applyFont="1" applyFill="1" applyBorder="1" applyAlignment="1" applyProtection="1">
      <alignment vertical="center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3" fillId="0" borderId="116" xfId="0" applyNumberFormat="1" applyFont="1" applyFill="1" applyBorder="1" applyAlignment="1" applyProtection="1">
      <alignment vertical="center"/>
      <protection locked="0"/>
    </xf>
    <xf numFmtId="3" fontId="13" fillId="0" borderId="124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4" fillId="0" borderId="125" xfId="0" applyNumberFormat="1" applyFont="1" applyFill="1" applyBorder="1" applyAlignment="1" applyProtection="1">
      <alignment horizontal="right"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89" xfId="0" applyNumberFormat="1" applyFont="1" applyFill="1" applyBorder="1" applyAlignment="1" applyProtection="1">
      <alignment horizontal="right" vertical="center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55" fillId="0" borderId="90" xfId="0" applyNumberFormat="1" applyFont="1" applyFill="1" applyBorder="1" applyAlignment="1" applyProtection="1">
      <alignment horizontal="right" vertical="center"/>
      <protection locked="0"/>
    </xf>
    <xf numFmtId="3" fontId="55" fillId="0" borderId="105" xfId="0" applyNumberFormat="1" applyFont="1" applyFill="1" applyBorder="1" applyAlignment="1" applyProtection="1">
      <alignment horizontal="right" vertical="center"/>
      <protection locked="0"/>
    </xf>
    <xf numFmtId="3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89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164" fontId="5" fillId="0" borderId="106" xfId="21" applyNumberFormat="1" applyFont="1" applyFill="1" applyBorder="1" applyAlignment="1" applyProtection="1">
      <alignment vertical="center" wrapText="1"/>
      <protection locked="0"/>
    </xf>
    <xf numFmtId="1" fontId="17" fillId="0" borderId="21" xfId="0" applyNumberFormat="1" applyFont="1" applyFill="1" applyBorder="1" applyAlignment="1" applyProtection="1">
      <alignment horizontal="center" vertical="center"/>
      <protection locked="0"/>
    </xf>
    <xf numFmtId="164" fontId="17" fillId="0" borderId="60" xfId="21" applyNumberFormat="1" applyFont="1" applyFill="1" applyBorder="1" applyAlignment="1" applyProtection="1">
      <alignment vertical="center" wrapText="1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2" fillId="0" borderId="69" xfId="21" applyNumberFormat="1" applyFont="1" applyFill="1" applyBorder="1" applyAlignment="1" applyProtection="1">
      <alignment vertical="center" wrapText="1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" fontId="17" fillId="0" borderId="37" xfId="0" applyNumberFormat="1" applyFont="1" applyFill="1" applyBorder="1" applyAlignment="1" applyProtection="1">
      <alignment horizontal="center" vertical="center"/>
      <protection locked="0"/>
    </xf>
    <xf numFmtId="3" fontId="17" fillId="0" borderId="40" xfId="0" applyNumberFormat="1" applyFont="1" applyFill="1" applyBorder="1" applyAlignment="1" applyProtection="1">
      <alignment vertical="center"/>
      <protection locked="0"/>
    </xf>
    <xf numFmtId="164" fontId="12" fillId="0" borderId="44" xfId="21" applyNumberFormat="1" applyFont="1" applyFill="1" applyBorder="1" applyAlignment="1" applyProtection="1">
      <alignment vertical="center" wrapText="1"/>
      <protection locked="0"/>
    </xf>
    <xf numFmtId="3" fontId="55" fillId="0" borderId="94" xfId="0" applyNumberFormat="1" applyFont="1" applyFill="1" applyBorder="1" applyAlignment="1" applyProtection="1">
      <alignment horizontal="right" vertical="center"/>
      <protection locked="0"/>
    </xf>
    <xf numFmtId="3" fontId="55" fillId="0" borderId="60" xfId="0" applyNumberFormat="1" applyFont="1" applyFill="1" applyBorder="1" applyAlignment="1" applyProtection="1">
      <alignment horizontal="right" vertical="center"/>
      <protection locked="0"/>
    </xf>
    <xf numFmtId="3" fontId="55" fillId="0" borderId="90" xfId="0" applyNumberFormat="1" applyFont="1" applyFill="1" applyBorder="1" applyAlignment="1" applyProtection="1">
      <alignment horizontal="right" vertical="center"/>
      <protection locked="0"/>
    </xf>
    <xf numFmtId="3" fontId="55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1" fontId="17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92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164" fontId="5" fillId="0" borderId="8" xfId="21" applyNumberFormat="1" applyFont="1" applyFill="1" applyBorder="1" applyAlignment="1" applyProtection="1">
      <alignment vertical="center" wrapText="1"/>
      <protection locked="0"/>
    </xf>
    <xf numFmtId="3" fontId="55" fillId="0" borderId="117" xfId="0" applyNumberFormat="1" applyFont="1" applyFill="1" applyBorder="1" applyAlignment="1" applyProtection="1">
      <alignment vertical="center"/>
      <protection locked="0"/>
    </xf>
    <xf numFmtId="164" fontId="5" fillId="0" borderId="41" xfId="21" applyNumberFormat="1" applyFont="1" applyFill="1" applyBorder="1" applyAlignment="1" applyProtection="1">
      <alignment vertical="center" wrapText="1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164" fontId="5" fillId="0" borderId="106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89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94" xfId="0" applyNumberFormat="1" applyFont="1" applyFill="1" applyBorder="1" applyAlignment="1" applyProtection="1">
      <alignment vertical="center"/>
      <protection locked="0"/>
    </xf>
    <xf numFmtId="3" fontId="11" fillId="0" borderId="60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04" xfId="21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99" xfId="0" applyNumberFormat="1" applyFont="1" applyFill="1" applyBorder="1" applyAlignment="1" applyProtection="1">
      <alignment vertical="center"/>
      <protection locked="0"/>
    </xf>
    <xf numFmtId="3" fontId="11" fillId="0" borderId="69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3" fillId="0" borderId="57" xfId="21" applyNumberFormat="1" applyFont="1" applyFill="1" applyBorder="1" applyAlignment="1" applyProtection="1">
      <alignment vertical="center" wrapText="1"/>
      <protection locked="0"/>
    </xf>
    <xf numFmtId="164" fontId="12" fillId="0" borderId="20" xfId="21" applyNumberFormat="1" applyFont="1" applyFill="1" applyBorder="1" applyAlignment="1" applyProtection="1">
      <alignment vertical="center" wrapText="1"/>
      <protection locked="0"/>
    </xf>
    <xf numFmtId="0" fontId="5" fillId="0" borderId="113" xfId="0" applyFont="1" applyBorder="1" applyAlignment="1">
      <alignment vertical="center" wrapText="1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41" xfId="21" applyNumberFormat="1" applyFont="1" applyFill="1" applyBorder="1" applyAlignment="1" applyProtection="1">
      <alignment vertical="center" wrapText="1"/>
      <protection locked="0"/>
    </xf>
    <xf numFmtId="1" fontId="13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5" xfId="21" applyNumberFormat="1" applyFont="1" applyFill="1" applyBorder="1" applyAlignment="1" applyProtection="1">
      <alignment vertical="center" wrapText="1"/>
      <protection locked="0"/>
    </xf>
    <xf numFmtId="3" fontId="55" fillId="0" borderId="111" xfId="0" applyNumberFormat="1" applyFont="1" applyFill="1" applyBorder="1" applyAlignment="1" applyProtection="1">
      <alignment vertical="center"/>
      <protection locked="0"/>
    </xf>
    <xf numFmtId="164" fontId="21" fillId="0" borderId="32" xfId="21" applyNumberFormat="1" applyFont="1" applyFill="1" applyBorder="1" applyAlignment="1" applyProtection="1">
      <alignment vertical="center" wrapText="1"/>
      <protection locked="0"/>
    </xf>
    <xf numFmtId="4" fontId="5" fillId="0" borderId="110" xfId="0" applyNumberFormat="1" applyFont="1" applyFill="1" applyBorder="1" applyAlignment="1" applyProtection="1">
      <alignment vertical="center"/>
      <protection locked="0"/>
    </xf>
    <xf numFmtId="1" fontId="5" fillId="0" borderId="2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3" fontId="5" fillId="0" borderId="108" xfId="0" applyNumberFormat="1" applyFont="1" applyBorder="1" applyAlignment="1">
      <alignment vertical="center"/>
    </xf>
    <xf numFmtId="3" fontId="5" fillId="0" borderId="97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7" fillId="0" borderId="21" xfId="0" applyNumberFormat="1" applyFont="1" applyBorder="1" applyAlignment="1">
      <alignment vertical="center"/>
    </xf>
    <xf numFmtId="3" fontId="17" fillId="0" borderId="89" xfId="0" applyNumberFormat="1" applyFont="1" applyBorder="1" applyAlignment="1">
      <alignment vertical="center"/>
    </xf>
    <xf numFmtId="3" fontId="17" fillId="0" borderId="90" xfId="0" applyNumberFormat="1" applyFont="1" applyFill="1" applyBorder="1" applyAlignment="1">
      <alignment vertical="center"/>
    </xf>
    <xf numFmtId="3" fontId="17" fillId="0" borderId="60" xfId="0" applyNumberFormat="1" applyFont="1" applyFill="1" applyBorder="1" applyAlignment="1">
      <alignment vertical="center"/>
    </xf>
    <xf numFmtId="3" fontId="17" fillId="0" borderId="94" xfId="0" applyNumberFormat="1" applyFont="1" applyFill="1" applyBorder="1" applyAlignment="1">
      <alignment vertical="center"/>
    </xf>
    <xf numFmtId="3" fontId="17" fillId="0" borderId="25" xfId="0" applyNumberFormat="1" applyFont="1" applyFill="1" applyBorder="1" applyAlignment="1">
      <alignment vertical="center"/>
    </xf>
    <xf numFmtId="3" fontId="17" fillId="0" borderId="90" xfId="0" applyNumberFormat="1" applyFont="1" applyBorder="1" applyAlignment="1">
      <alignment vertical="center"/>
    </xf>
    <xf numFmtId="3" fontId="17" fillId="0" borderId="60" xfId="0" applyNumberFormat="1" applyFont="1" applyBorder="1" applyAlignment="1">
      <alignment vertical="center"/>
    </xf>
    <xf numFmtId="164" fontId="17" fillId="0" borderId="60" xfId="0" applyNumberFormat="1" applyFont="1" applyBorder="1" applyAlignment="1">
      <alignment vertical="center"/>
    </xf>
    <xf numFmtId="3" fontId="17" fillId="0" borderId="94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105" xfId="0" applyNumberFormat="1" applyFont="1" applyBorder="1" applyAlignment="1">
      <alignment vertical="center"/>
    </xf>
    <xf numFmtId="3" fontId="18" fillId="0" borderId="25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3" fontId="12" fillId="0" borderId="89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60" xfId="0" applyNumberFormat="1" applyFont="1" applyBorder="1" applyAlignment="1">
      <alignment vertical="center"/>
    </xf>
    <xf numFmtId="3" fontId="12" fillId="0" borderId="90" xfId="0" applyNumberFormat="1" applyFont="1" applyFill="1" applyBorder="1" applyAlignment="1">
      <alignment vertical="center"/>
    </xf>
    <xf numFmtId="3" fontId="12" fillId="0" borderId="105" xfId="0" applyNumberFormat="1" applyFont="1" applyBorder="1" applyAlignment="1">
      <alignment vertical="center"/>
    </xf>
    <xf numFmtId="3" fontId="12" fillId="0" borderId="94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90" xfId="0" applyNumberFormat="1" applyFont="1" applyFill="1" applyBorder="1" applyAlignment="1">
      <alignment vertical="center"/>
    </xf>
    <xf numFmtId="3" fontId="4" fillId="0" borderId="105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4" fontId="17" fillId="0" borderId="60" xfId="0" applyNumberFormat="1" applyFont="1" applyFill="1" applyBorder="1" applyAlignment="1">
      <alignment vertical="center"/>
    </xf>
    <xf numFmtId="164" fontId="17" fillId="0" borderId="90" xfId="0" applyNumberFormat="1" applyFont="1" applyBorder="1" applyAlignment="1">
      <alignment vertical="center"/>
    </xf>
    <xf numFmtId="1" fontId="56" fillId="0" borderId="21" xfId="0" applyNumberFormat="1" applyFont="1" applyBorder="1" applyAlignment="1">
      <alignment vertical="center"/>
    </xf>
    <xf numFmtId="164" fontId="11" fillId="0" borderId="0" xfId="21" applyNumberFormat="1" applyFont="1" applyFill="1" applyBorder="1" applyAlignment="1" applyProtection="1">
      <alignment vertical="center" wrapText="1"/>
      <protection locked="0"/>
    </xf>
    <xf numFmtId="3" fontId="11" fillId="0" borderId="8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0" borderId="90" xfId="0" applyNumberFormat="1" applyFont="1" applyFill="1" applyBorder="1" applyAlignment="1">
      <alignment vertical="center"/>
    </xf>
    <xf numFmtId="3" fontId="11" fillId="0" borderId="9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1" fontId="13" fillId="0" borderId="21" xfId="0" applyNumberFormat="1" applyFont="1" applyBorder="1" applyAlignment="1">
      <alignment vertical="center"/>
    </xf>
    <xf numFmtId="3" fontId="13" fillId="0" borderId="89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3" fontId="13" fillId="0" borderId="90" xfId="0" applyNumberFormat="1" applyFont="1" applyFill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3" fontId="5" fillId="0" borderId="89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9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" fontId="17" fillId="0" borderId="26" xfId="0" applyNumberFormat="1" applyFont="1" applyBorder="1" applyAlignment="1">
      <alignment vertical="center"/>
    </xf>
    <xf numFmtId="164" fontId="17" fillId="0" borderId="104" xfId="0" applyNumberFormat="1" applyFont="1" applyBorder="1" applyAlignment="1">
      <alignment vertical="center" wrapText="1"/>
    </xf>
    <xf numFmtId="3" fontId="17" fillId="0" borderId="98" xfId="0" applyNumberFormat="1" applyFont="1" applyBorder="1" applyAlignment="1">
      <alignment vertical="center"/>
    </xf>
    <xf numFmtId="3" fontId="17" fillId="0" borderId="104" xfId="0" applyNumberFormat="1" applyFont="1" applyBorder="1" applyAlignment="1">
      <alignment vertical="center"/>
    </xf>
    <xf numFmtId="3" fontId="17" fillId="0" borderId="69" xfId="0" applyNumberFormat="1" applyFont="1" applyBorder="1" applyAlignment="1">
      <alignment vertical="center"/>
    </xf>
    <xf numFmtId="3" fontId="17" fillId="0" borderId="104" xfId="0" applyNumberFormat="1" applyFont="1" applyFill="1" applyBorder="1" applyAlignment="1">
      <alignment vertical="center"/>
    </xf>
    <xf numFmtId="3" fontId="17" fillId="0" borderId="99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wrapText="1"/>
    </xf>
    <xf numFmtId="164" fontId="13" fillId="0" borderId="0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1" fillId="0" borderId="110" xfId="0" applyNumberFormat="1" applyFont="1" applyFill="1" applyBorder="1" applyAlignment="1" applyProtection="1">
      <alignment horizontal="centerContinuous" vertical="center"/>
      <protection/>
    </xf>
    <xf numFmtId="0" fontId="21" fillId="0" borderId="32" xfId="0" applyNumberFormat="1" applyFont="1" applyFill="1" applyBorder="1" applyAlignment="1" applyProtection="1">
      <alignment horizontal="centerContinuous" vertical="center"/>
      <protection/>
    </xf>
    <xf numFmtId="164" fontId="51" fillId="0" borderId="34" xfId="0" applyNumberFormat="1" applyFont="1" applyFill="1" applyBorder="1" applyAlignment="1" applyProtection="1">
      <alignment horizontal="centerContinuous" vertical="center"/>
      <protection/>
    </xf>
    <xf numFmtId="0" fontId="21" fillId="0" borderId="35" xfId="0" applyNumberFormat="1" applyFont="1" applyFill="1" applyBorder="1" applyAlignment="1" applyProtection="1">
      <alignment horizontal="centerContinuous" vertical="center"/>
      <protection/>
    </xf>
    <xf numFmtId="0" fontId="51" fillId="0" borderId="34" xfId="0" applyNumberFormat="1" applyFont="1" applyFill="1" applyBorder="1" applyAlignment="1" applyProtection="1">
      <alignment horizontal="centerContinuous" vertical="center"/>
      <protection/>
    </xf>
    <xf numFmtId="0" fontId="21" fillId="0" borderId="3" xfId="0" applyNumberFormat="1" applyFont="1" applyFill="1" applyBorder="1" applyAlignment="1" applyProtection="1">
      <alignment horizontal="centerContinuous" vertical="center"/>
      <protection/>
    </xf>
    <xf numFmtId="0" fontId="12" fillId="0" borderId="126" xfId="0" applyNumberFormat="1" applyFont="1" applyFill="1" applyBorder="1" applyAlignment="1" applyProtection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5" fillId="0" borderId="127" xfId="0" applyNumberFormat="1" applyFont="1" applyFill="1" applyBorder="1" applyAlignment="1" applyProtection="1">
      <alignment horizontal="center" vertical="center" wrapText="1"/>
      <protection/>
    </xf>
    <xf numFmtId="0" fontId="15" fillId="0" borderId="128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12" fillId="0" borderId="35" xfId="0" applyNumberFormat="1" applyFont="1" applyFill="1" applyBorder="1" applyAlignment="1" applyProtection="1">
      <alignment horizontal="center" vertical="center"/>
      <protection/>
    </xf>
    <xf numFmtId="0" fontId="12" fillId="0" borderId="75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29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3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0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49" fontId="11" fillId="0" borderId="53" xfId="0" applyNumberFormat="1" applyFont="1" applyFill="1" applyBorder="1" applyAlignment="1" applyProtection="1">
      <alignment horizontal="center" vertical="center"/>
      <protection/>
    </xf>
    <xf numFmtId="0" fontId="15" fillId="0" borderId="55" xfId="0" applyNumberFormat="1" applyFont="1" applyFill="1" applyBorder="1" applyAlignment="1" applyProtection="1">
      <alignment vertical="center"/>
      <protection/>
    </xf>
    <xf numFmtId="3" fontId="13" fillId="0" borderId="77" xfId="0" applyNumberFormat="1" applyFont="1" applyFill="1" applyBorder="1" applyAlignment="1" applyProtection="1">
      <alignment vertical="center"/>
      <protection/>
    </xf>
    <xf numFmtId="3" fontId="13" fillId="0" borderId="55" xfId="0" applyNumberFormat="1" applyFont="1" applyFill="1" applyBorder="1" applyAlignment="1" applyProtection="1">
      <alignment vertical="center"/>
      <protection/>
    </xf>
    <xf numFmtId="3" fontId="4" fillId="0" borderId="131" xfId="0" applyNumberFormat="1" applyFont="1" applyFill="1" applyBorder="1" applyAlignment="1" applyProtection="1">
      <alignment vertical="center"/>
      <protection/>
    </xf>
    <xf numFmtId="3" fontId="4" fillId="0" borderId="132" xfId="0" applyNumberFormat="1" applyFont="1" applyFill="1" applyBorder="1" applyAlignment="1" applyProtection="1">
      <alignment vertical="center"/>
      <protection/>
    </xf>
    <xf numFmtId="3" fontId="12" fillId="0" borderId="13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12" fillId="0" borderId="13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35" xfId="0" applyNumberFormat="1" applyFont="1" applyFill="1" applyBorder="1" applyAlignment="1" applyProtection="1">
      <alignment vertical="center"/>
      <protection/>
    </xf>
    <xf numFmtId="0" fontId="15" fillId="0" borderId="55" xfId="0" applyNumberFormat="1" applyFont="1" applyFill="1" applyBorder="1" applyAlignment="1" applyProtection="1">
      <alignment vertical="center" wrapText="1"/>
      <protection/>
    </xf>
    <xf numFmtId="49" fontId="11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59" xfId="0" applyNumberFormat="1" applyFont="1" applyFill="1" applyBorder="1" applyAlignment="1" applyProtection="1">
      <alignment horizontal="left" vertical="center" wrapText="1"/>
      <protection/>
    </xf>
    <xf numFmtId="3" fontId="13" fillId="0" borderId="74" xfId="0" applyNumberFormat="1" applyFont="1" applyFill="1" applyBorder="1" applyAlignment="1" applyProtection="1">
      <alignment vertical="center"/>
      <protection/>
    </xf>
    <xf numFmtId="3" fontId="4" fillId="0" borderId="22" xfId="0" applyNumberFormat="1" applyFont="1" applyFill="1" applyBorder="1" applyAlignment="1" applyProtection="1">
      <alignment vertical="center"/>
      <protection/>
    </xf>
    <xf numFmtId="3" fontId="4" fillId="0" borderId="136" xfId="0" applyNumberFormat="1" applyFont="1" applyFill="1" applyBorder="1" applyAlignment="1" applyProtection="1">
      <alignment vertical="center"/>
      <protection/>
    </xf>
    <xf numFmtId="3" fontId="4" fillId="0" borderId="24" xfId="0" applyNumberFormat="1" applyFont="1" applyFill="1" applyBorder="1" applyAlignment="1" applyProtection="1">
      <alignment vertical="center"/>
      <protection/>
    </xf>
    <xf numFmtId="3" fontId="4" fillId="0" borderId="25" xfId="0" applyNumberFormat="1" applyFont="1" applyFill="1" applyBorder="1" applyAlignment="1" applyProtection="1">
      <alignment vertical="center"/>
      <protection/>
    </xf>
    <xf numFmtId="3" fontId="12" fillId="0" borderId="137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0" fontId="15" fillId="0" borderId="55" xfId="0" applyNumberFormat="1" applyFont="1" applyFill="1" applyBorder="1" applyAlignment="1" applyProtection="1">
      <alignment horizontal="left" vertical="center" wrapText="1"/>
      <protection/>
    </xf>
    <xf numFmtId="3" fontId="13" fillId="0" borderId="76" xfId="0" applyNumberFormat="1" applyFont="1" applyFill="1" applyBorder="1" applyAlignment="1" applyProtection="1">
      <alignment vertical="center"/>
      <protection/>
    </xf>
    <xf numFmtId="49" fontId="11" fillId="0" borderId="67" xfId="0" applyNumberFormat="1" applyFont="1" applyFill="1" applyBorder="1" applyAlignment="1" applyProtection="1">
      <alignment horizontal="center" vertical="center"/>
      <protection/>
    </xf>
    <xf numFmtId="3" fontId="4" fillId="0" borderId="138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3" fontId="5" fillId="0" borderId="75" xfId="0" applyNumberFormat="1" applyFont="1" applyFill="1" applyBorder="1" applyAlignment="1" applyProtection="1">
      <alignment vertical="center"/>
      <protection/>
    </xf>
    <xf numFmtId="3" fontId="5" fillId="0" borderId="35" xfId="0" applyNumberFormat="1" applyFont="1" applyFill="1" applyBorder="1" applyAlignment="1" applyProtection="1">
      <alignment vertical="center"/>
      <protection/>
    </xf>
    <xf numFmtId="3" fontId="13" fillId="0" borderId="10" xfId="0" applyNumberFormat="1" applyFont="1" applyFill="1" applyBorder="1" applyAlignment="1" applyProtection="1">
      <alignment vertical="center"/>
      <protection/>
    </xf>
    <xf numFmtId="3" fontId="13" fillId="0" borderId="129" xfId="0" applyNumberFormat="1" applyFont="1" applyFill="1" applyBorder="1" applyAlignment="1" applyProtection="1">
      <alignment vertical="center"/>
      <protection/>
    </xf>
    <xf numFmtId="3" fontId="56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3" fontId="56" fillId="0" borderId="130" xfId="0" applyNumberFormat="1" applyFont="1" applyFill="1" applyBorder="1" applyAlignment="1" applyProtection="1">
      <alignment vertical="center"/>
      <protection/>
    </xf>
    <xf numFmtId="3" fontId="13" fillId="0" borderId="35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Continuous" wrapText="1"/>
    </xf>
    <xf numFmtId="0" fontId="2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3" fontId="12" fillId="0" borderId="63" xfId="0" applyNumberFormat="1" applyFont="1" applyBorder="1" applyAlignment="1">
      <alignment horizontal="center" vertical="center"/>
    </xf>
    <xf numFmtId="3" fontId="12" fillId="0" borderId="62" xfId="0" applyNumberFormat="1" applyFont="1" applyBorder="1" applyAlignment="1">
      <alignment horizontal="center" vertical="center"/>
    </xf>
    <xf numFmtId="3" fontId="12" fillId="0" borderId="12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2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3" fontId="3" fillId="0" borderId="50" xfId="0" applyNumberFormat="1" applyFont="1" applyBorder="1" applyAlignment="1">
      <alignment horizontal="right" vertical="center" wrapText="1"/>
    </xf>
    <xf numFmtId="1" fontId="3" fillId="0" borderId="50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vertical="center" wrapText="1"/>
    </xf>
    <xf numFmtId="3" fontId="3" fillId="0" borderId="139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55" fillId="0" borderId="21" xfId="0" applyNumberFormat="1" applyFont="1" applyBorder="1" applyAlignment="1">
      <alignment horizontal="center" vertical="center"/>
    </xf>
    <xf numFmtId="0" fontId="55" fillId="0" borderId="59" xfId="0" applyFont="1" applyBorder="1" applyAlignment="1">
      <alignment vertical="center" wrapText="1"/>
    </xf>
    <xf numFmtId="3" fontId="55" fillId="0" borderId="20" xfId="0" applyNumberFormat="1" applyFont="1" applyBorder="1" applyAlignment="1">
      <alignment horizontal="right" vertical="center" wrapText="1"/>
    </xf>
    <xf numFmtId="1" fontId="55" fillId="0" borderId="20" xfId="0" applyNumberFormat="1" applyFont="1" applyBorder="1" applyAlignment="1">
      <alignment horizontal="right" vertical="center" wrapText="1"/>
    </xf>
    <xf numFmtId="3" fontId="55" fillId="0" borderId="59" xfId="0" applyNumberFormat="1" applyFont="1" applyBorder="1" applyAlignment="1">
      <alignment vertical="center" wrapText="1"/>
    </xf>
    <xf numFmtId="3" fontId="55" fillId="0" borderId="70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3" fontId="9" fillId="0" borderId="55" xfId="0" applyNumberFormat="1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3" fontId="2" fillId="0" borderId="41" xfId="0" applyNumberFormat="1" applyFont="1" applyBorder="1" applyAlignment="1">
      <alignment horizontal="right" vertical="center" wrapText="1"/>
    </xf>
    <xf numFmtId="1" fontId="3" fillId="0" borderId="41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vertical="center" wrapText="1"/>
    </xf>
    <xf numFmtId="3" fontId="2" fillId="0" borderId="14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" fontId="3" fillId="0" borderId="20" xfId="0" applyNumberFormat="1" applyFont="1" applyBorder="1" applyAlignment="1">
      <alignment horizontal="right" vertical="center" wrapText="1"/>
    </xf>
    <xf numFmtId="3" fontId="2" fillId="0" borderId="59" xfId="0" applyNumberFormat="1" applyFont="1" applyBorder="1" applyAlignment="1">
      <alignment vertical="center" wrapText="1"/>
    </xf>
    <xf numFmtId="3" fontId="2" fillId="0" borderId="70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9" xfId="0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vertical="center" wrapText="1"/>
    </xf>
    <xf numFmtId="0" fontId="3" fillId="0" borderId="73" xfId="0" applyNumberFormat="1" applyFont="1" applyFill="1" applyBorder="1" applyAlignment="1" applyProtection="1">
      <alignment horizontal="center" vertical="center"/>
      <protection locked="0"/>
    </xf>
    <xf numFmtId="3" fontId="3" fillId="0" borderId="141" xfId="0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1" fontId="3" fillId="0" borderId="27" xfId="0" applyNumberFormat="1" applyFont="1" applyFill="1" applyBorder="1" applyAlignment="1" applyProtection="1">
      <alignment horizontal="right" vertical="center"/>
      <protection locked="0"/>
    </xf>
    <xf numFmtId="3" fontId="3" fillId="0" borderId="141" xfId="0" applyNumberFormat="1" applyFont="1" applyFill="1" applyBorder="1" applyAlignment="1" applyProtection="1">
      <alignment horizontal="right" vertical="center"/>
      <protection locked="0"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49" fontId="21" fillId="0" borderId="7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 wrapText="1"/>
    </xf>
    <xf numFmtId="3" fontId="21" fillId="0" borderId="32" xfId="0" applyNumberFormat="1" applyFont="1" applyBorder="1" applyAlignment="1">
      <alignment vertical="center"/>
    </xf>
    <xf numFmtId="1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3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Continuous" vertical="center" wrapText="1"/>
    </xf>
    <xf numFmtId="0" fontId="55" fillId="0" borderId="0" xfId="0" applyFont="1" applyAlignment="1">
      <alignment horizontal="center"/>
    </xf>
    <xf numFmtId="1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horizontal="right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" fontId="3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1" fontId="3" fillId="0" borderId="59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141" xfId="0" applyFont="1" applyBorder="1" applyAlignment="1">
      <alignment vertical="center" wrapText="1"/>
    </xf>
    <xf numFmtId="3" fontId="3" fillId="0" borderId="30" xfId="0" applyNumberFormat="1" applyFont="1" applyBorder="1" applyAlignment="1">
      <alignment horizontal="right" vertical="center" wrapText="1"/>
    </xf>
    <xf numFmtId="1" fontId="3" fillId="0" borderId="43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41" xfId="0" applyNumberFormat="1" applyFont="1" applyBorder="1" applyAlignment="1">
      <alignment horizontal="righ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3" fontId="9" fillId="0" borderId="35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vertical="center" wrapText="1"/>
    </xf>
    <xf numFmtId="3" fontId="3" fillId="0" borderId="63" xfId="0" applyNumberFormat="1" applyFont="1" applyBorder="1" applyAlignment="1">
      <alignment horizontal="right"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49" fontId="9" fillId="0" borderId="67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vertical="center" wrapText="1"/>
    </xf>
    <xf numFmtId="3" fontId="9" fillId="0" borderId="55" xfId="0" applyNumberFormat="1" applyFont="1" applyBorder="1" applyAlignment="1">
      <alignment horizontal="right" vertical="center" wrapText="1"/>
    </xf>
    <xf numFmtId="1" fontId="5" fillId="0" borderId="54" xfId="0" applyNumberFormat="1" applyFont="1" applyBorder="1" applyAlignment="1">
      <alignment horizontal="center" vertical="center" wrapText="1"/>
    </xf>
    <xf numFmtId="3" fontId="9" fillId="0" borderId="54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 wrapText="1"/>
    </xf>
    <xf numFmtId="3" fontId="9" fillId="0" borderId="59" xfId="0" applyNumberFormat="1" applyFont="1" applyBorder="1" applyAlignment="1">
      <alignment horizontal="right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vertical="center"/>
    </xf>
    <xf numFmtId="49" fontId="36" fillId="0" borderId="21" xfId="0" applyNumberFormat="1" applyFont="1" applyFill="1" applyBorder="1" applyAlignment="1" applyProtection="1">
      <alignment horizontal="centerContinuous" vertical="center"/>
      <protection locked="0"/>
    </xf>
    <xf numFmtId="0" fontId="36" fillId="0" borderId="20" xfId="0" applyNumberFormat="1" applyFont="1" applyFill="1" applyBorder="1" applyAlignment="1" applyProtection="1">
      <alignment vertical="center" wrapText="1"/>
      <protection locked="0"/>
    </xf>
    <xf numFmtId="3" fontId="2" fillId="0" borderId="59" xfId="0" applyNumberFormat="1" applyFont="1" applyBorder="1" applyAlignment="1">
      <alignment horizontal="right" vertical="center" wrapText="1"/>
    </xf>
    <xf numFmtId="49" fontId="3" fillId="0" borderId="37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22" fillId="0" borderId="67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5" xfId="0" applyNumberFormat="1" applyFont="1" applyFill="1" applyBorder="1" applyAlignment="1" applyProtection="1">
      <alignment vertical="center" wrapText="1"/>
      <protection locked="0"/>
    </xf>
    <xf numFmtId="3" fontId="3" fillId="0" borderId="57" xfId="0" applyNumberFormat="1" applyFont="1" applyBorder="1" applyAlignment="1">
      <alignment horizontal="right" vertical="center" wrapText="1"/>
    </xf>
    <xf numFmtId="1" fontId="3" fillId="0" borderId="57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vertical="center" wrapText="1"/>
    </xf>
    <xf numFmtId="3" fontId="3" fillId="0" borderId="56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vertical="center"/>
    </xf>
    <xf numFmtId="1" fontId="21" fillId="0" borderId="12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vertical="center"/>
    </xf>
    <xf numFmtId="1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166" fontId="0" fillId="0" borderId="0" xfId="0" applyNumberFormat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3" fontId="54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vertical="center"/>
    </xf>
    <xf numFmtId="166" fontId="5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Continuous" wrapText="1"/>
    </xf>
    <xf numFmtId="3" fontId="54" fillId="0" borderId="0" xfId="0" applyNumberFormat="1" applyFont="1" applyAlignment="1">
      <alignment horizontal="right" wrapText="1"/>
    </xf>
    <xf numFmtId="0" fontId="9" fillId="0" borderId="48" xfId="0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2" fillId="0" borderId="64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vertical="center"/>
    </xf>
    <xf numFmtId="16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" fontId="3" fillId="0" borderId="141" xfId="0" applyNumberFormat="1" applyFont="1" applyBorder="1" applyAlignment="1">
      <alignment horizontal="center" vertical="center" wrapText="1"/>
    </xf>
    <xf numFmtId="3" fontId="3" fillId="0" borderId="79" xfId="0" applyNumberFormat="1" applyFont="1" applyBorder="1" applyAlignment="1">
      <alignment vertical="center"/>
    </xf>
    <xf numFmtId="1" fontId="21" fillId="0" borderId="12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104" xfId="0" applyFont="1" applyBorder="1" applyAlignment="1">
      <alignment vertical="center" wrapText="1"/>
    </xf>
    <xf numFmtId="1" fontId="3" fillId="0" borderId="104" xfId="0" applyNumberFormat="1" applyFont="1" applyBorder="1" applyAlignment="1">
      <alignment horizontal="center" vertical="center" wrapText="1"/>
    </xf>
    <xf numFmtId="3" fontId="3" fillId="0" borderId="104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horizontal="center" vertical="center"/>
    </xf>
    <xf numFmtId="166" fontId="59" fillId="0" borderId="0" xfId="0" applyNumberFormat="1" applyFont="1" applyAlignment="1">
      <alignment/>
    </xf>
    <xf numFmtId="0" fontId="59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21" xfId="0" applyFont="1" applyBorder="1" applyAlignment="1">
      <alignment horizontal="centerContinuous" vertical="center" wrapText="1"/>
    </xf>
    <xf numFmtId="0" fontId="54" fillId="0" borderId="139" xfId="0" applyFont="1" applyBorder="1" applyAlignment="1">
      <alignment horizontal="centerContinuous" vertical="center" wrapText="1"/>
    </xf>
    <xf numFmtId="0" fontId="13" fillId="0" borderId="14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3" fontId="12" fillId="0" borderId="15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Border="1" applyAlignment="1">
      <alignment horizontal="center"/>
    </xf>
    <xf numFmtId="1" fontId="12" fillId="0" borderId="45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3" fontId="20" fillId="0" borderId="7" xfId="0" applyNumberFormat="1" applyFont="1" applyFill="1" applyBorder="1" applyAlignment="1" applyProtection="1">
      <alignment horizontal="center" vertical="center"/>
      <protection locked="0"/>
    </xf>
    <xf numFmtId="1" fontId="61" fillId="0" borderId="32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center"/>
    </xf>
    <xf numFmtId="3" fontId="61" fillId="0" borderId="12" xfId="0" applyNumberFormat="1" applyFont="1" applyBorder="1" applyAlignment="1">
      <alignment horizontal="right" vertical="center"/>
    </xf>
    <xf numFmtId="3" fontId="61" fillId="0" borderId="13" xfId="0" applyNumberFormat="1" applyFont="1" applyBorder="1" applyAlignment="1">
      <alignment vertical="center"/>
    </xf>
    <xf numFmtId="164" fontId="17" fillId="0" borderId="0" xfId="0" applyNumberFormat="1" applyFont="1" applyAlignment="1">
      <alignment/>
    </xf>
    <xf numFmtId="1" fontId="5" fillId="0" borderId="12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8" applyFont="1" applyBorder="1" applyAlignment="1">
      <alignment horizontal="left" vertical="center" wrapText="1"/>
      <protection/>
    </xf>
    <xf numFmtId="1" fontId="3" fillId="0" borderId="59" xfId="21" applyNumberFormat="1" applyFont="1" applyFill="1" applyBorder="1" applyAlignment="1" applyProtection="1">
      <alignment horizontal="center" vertical="center" wrapText="1"/>
      <protection locked="0"/>
    </xf>
    <xf numFmtId="164" fontId="61" fillId="0" borderId="0" xfId="0" applyNumberFormat="1" applyFont="1" applyBorder="1" applyAlignment="1">
      <alignment/>
    </xf>
    <xf numFmtId="0" fontId="61" fillId="0" borderId="7" xfId="18" applyFont="1" applyBorder="1" applyAlignment="1">
      <alignment horizontal="center" vertical="center"/>
      <protection/>
    </xf>
    <xf numFmtId="0" fontId="61" fillId="0" borderId="32" xfId="18" applyFont="1" applyBorder="1" applyAlignment="1">
      <alignment horizontal="left" vertical="center" wrapText="1"/>
      <protection/>
    </xf>
    <xf numFmtId="1" fontId="61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61" fillId="0" borderId="12" xfId="0" applyNumberFormat="1" applyFont="1" applyFill="1" applyBorder="1" applyAlignment="1" applyProtection="1">
      <alignment vertical="center"/>
      <protection locked="0"/>
    </xf>
    <xf numFmtId="164" fontId="61" fillId="0" borderId="0" xfId="0" applyNumberFormat="1" applyFont="1" applyAlignment="1">
      <alignment/>
    </xf>
    <xf numFmtId="1" fontId="3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1" xfId="21" applyNumberFormat="1" applyFont="1" applyFill="1" applyBorder="1" applyAlignment="1" applyProtection="1">
      <alignment vertical="center" wrapText="1"/>
      <protection locked="0"/>
    </xf>
    <xf numFmtId="1" fontId="3" fillId="0" borderId="35" xfId="21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3" fillId="0" borderId="20" xfId="21" applyNumberFormat="1" applyFont="1" applyFill="1" applyBorder="1" applyAlignment="1" applyProtection="1">
      <alignment vertical="center" wrapText="1"/>
      <protection locked="0"/>
    </xf>
    <xf numFmtId="1" fontId="21" fillId="0" borderId="7" xfId="0" applyNumberFormat="1" applyFont="1" applyFill="1" applyBorder="1" applyAlignment="1" applyProtection="1">
      <alignment horizontal="centerContinuous" vertical="center"/>
      <protection locked="0"/>
    </xf>
    <xf numFmtId="1" fontId="21" fillId="0" borderId="32" xfId="0" applyNumberFormat="1" applyFont="1" applyFill="1" applyBorder="1" applyAlignment="1" applyProtection="1">
      <alignment horizontal="left" vertical="center"/>
      <protection locked="0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164" fontId="17" fillId="0" borderId="0" xfId="0" applyNumberFormat="1" applyFont="1" applyAlignment="1">
      <alignment/>
    </xf>
    <xf numFmtId="0" fontId="63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59" xfId="0" applyFont="1" applyBorder="1" applyAlignment="1">
      <alignment vertical="center" wrapText="1"/>
    </xf>
    <xf numFmtId="3" fontId="9" fillId="0" borderId="59" xfId="0" applyNumberFormat="1" applyFont="1" applyBorder="1" applyAlignment="1">
      <alignment/>
    </xf>
    <xf numFmtId="3" fontId="2" fillId="0" borderId="7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59" xfId="0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70" xfId="0" applyNumberFormat="1" applyFont="1" applyBorder="1" applyAlignment="1">
      <alignment/>
    </xf>
    <xf numFmtId="0" fontId="16" fillId="0" borderId="59" xfId="0" applyFont="1" applyBorder="1" applyAlignment="1">
      <alignment/>
    </xf>
    <xf numFmtId="3" fontId="16" fillId="0" borderId="59" xfId="0" applyNumberFormat="1" applyFont="1" applyBorder="1" applyAlignment="1">
      <alignment/>
    </xf>
    <xf numFmtId="0" fontId="64" fillId="0" borderId="59" xfId="0" applyFont="1" applyBorder="1" applyAlignment="1">
      <alignment/>
    </xf>
    <xf numFmtId="3" fontId="64" fillId="0" borderId="59" xfId="0" applyNumberFormat="1" applyFont="1" applyBorder="1" applyAlignment="1">
      <alignment/>
    </xf>
    <xf numFmtId="3" fontId="51" fillId="0" borderId="70" xfId="0" applyNumberFormat="1" applyFont="1" applyBorder="1" applyAlignment="1">
      <alignment/>
    </xf>
    <xf numFmtId="3" fontId="64" fillId="0" borderId="5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59" xfId="0" applyFont="1" applyBorder="1" applyAlignment="1">
      <alignment horizontal="left" vertical="center"/>
    </xf>
    <xf numFmtId="3" fontId="9" fillId="0" borderId="59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19" fillId="0" borderId="59" xfId="0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/>
    </xf>
    <xf numFmtId="3" fontId="9" fillId="0" borderId="70" xfId="0" applyNumberFormat="1" applyFont="1" applyBorder="1" applyAlignment="1">
      <alignment/>
    </xf>
    <xf numFmtId="3" fontId="51" fillId="0" borderId="59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0" fontId="55" fillId="0" borderId="59" xfId="0" applyFont="1" applyBorder="1" applyAlignment="1">
      <alignment wrapText="1"/>
    </xf>
    <xf numFmtId="3" fontId="65" fillId="0" borderId="0" xfId="0" applyNumberFormat="1" applyFont="1" applyAlignment="1">
      <alignment/>
    </xf>
    <xf numFmtId="3" fontId="55" fillId="0" borderId="25" xfId="0" applyNumberFormat="1" applyFont="1" applyBorder="1" applyAlignment="1">
      <alignment/>
    </xf>
    <xf numFmtId="3" fontId="65" fillId="0" borderId="59" xfId="0" applyNumberFormat="1" applyFont="1" applyBorder="1" applyAlignment="1">
      <alignment/>
    </xf>
    <xf numFmtId="3" fontId="55" fillId="0" borderId="70" xfId="0" applyNumberFormat="1" applyFont="1" applyBorder="1" applyAlignment="1">
      <alignment/>
    </xf>
    <xf numFmtId="0" fontId="55" fillId="0" borderId="59" xfId="0" applyFont="1" applyBorder="1" applyAlignment="1">
      <alignment/>
    </xf>
    <xf numFmtId="3" fontId="55" fillId="0" borderId="59" xfId="0" applyNumberFormat="1" applyFont="1" applyBorder="1" applyAlignment="1">
      <alignment/>
    </xf>
    <xf numFmtId="0" fontId="3" fillId="0" borderId="73" xfId="0" applyFont="1" applyBorder="1" applyAlignment="1">
      <alignment/>
    </xf>
    <xf numFmtId="0" fontId="51" fillId="0" borderId="141" xfId="0" applyFont="1" applyBorder="1" applyAlignment="1">
      <alignment/>
    </xf>
    <xf numFmtId="3" fontId="51" fillId="0" borderId="141" xfId="0" applyNumberFormat="1" applyFont="1" applyBorder="1" applyAlignment="1">
      <alignment/>
    </xf>
    <xf numFmtId="3" fontId="51" fillId="0" borderId="79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9" fillId="0" borderId="32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horizontal="centerContinuous" vertical="center"/>
    </xf>
    <xf numFmtId="4" fontId="9" fillId="0" borderId="34" xfId="0" applyNumberFormat="1" applyFont="1" applyBorder="1" applyAlignment="1">
      <alignment horizontal="centerContinuous"/>
    </xf>
    <xf numFmtId="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6" fillId="0" borderId="0" xfId="0" applyFont="1" applyAlignment="1">
      <alignment horizontal="centerContinuous" vertical="center"/>
    </xf>
    <xf numFmtId="0" fontId="67" fillId="0" borderId="0" xfId="0" applyFont="1" applyAlignment="1">
      <alignment horizontal="centerContinuous" vertical="center"/>
    </xf>
    <xf numFmtId="0" fontId="55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21" xfId="0" applyFont="1" applyBorder="1" applyAlignment="1">
      <alignment vertical="center"/>
    </xf>
    <xf numFmtId="3" fontId="9" fillId="0" borderId="59" xfId="0" applyNumberFormat="1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3" fontId="55" fillId="0" borderId="59" xfId="0" applyNumberFormat="1" applyFont="1" applyBorder="1" applyAlignment="1">
      <alignment vertical="center"/>
    </xf>
    <xf numFmtId="3" fontId="55" fillId="0" borderId="7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3" fontId="9" fillId="0" borderId="125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3" fontId="16" fillId="0" borderId="7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55" fillId="0" borderId="21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3" fontId="21" fillId="0" borderId="35" xfId="0" applyNumberFormat="1" applyFont="1" applyBorder="1" applyAlignment="1">
      <alignment vertical="center"/>
    </xf>
    <xf numFmtId="3" fontId="21" fillId="0" borderId="35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5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15" xfId="0" applyFont="1" applyBorder="1" applyAlignment="1">
      <alignment horizontal="centerContinuous"/>
    </xf>
    <xf numFmtId="0" fontId="21" fillId="0" borderId="14" xfId="0" applyFont="1" applyBorder="1" applyAlignment="1">
      <alignment horizontal="center"/>
    </xf>
    <xf numFmtId="0" fontId="63" fillId="0" borderId="26" xfId="0" applyFont="1" applyBorder="1" applyAlignment="1">
      <alignment horizontal="centerContinuous" vertical="center"/>
    </xf>
    <xf numFmtId="0" fontId="63" fillId="0" borderId="27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 vertical="center"/>
    </xf>
    <xf numFmtId="0" fontId="21" fillId="0" borderId="141" xfId="0" applyFont="1" applyBorder="1" applyAlignment="1">
      <alignment horizontal="centerContinuous" vertical="center"/>
    </xf>
    <xf numFmtId="0" fontId="21" fillId="0" borderId="142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Continuous" vertical="center"/>
    </xf>
    <xf numFmtId="0" fontId="51" fillId="0" borderId="79" xfId="0" applyFont="1" applyBorder="1" applyAlignment="1">
      <alignment vertical="center"/>
    </xf>
    <xf numFmtId="0" fontId="51" fillId="0" borderId="12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0" fontId="51" fillId="0" borderId="67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vertical="center"/>
    </xf>
    <xf numFmtId="0" fontId="51" fillId="0" borderId="68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59" fillId="0" borderId="0" xfId="0" applyFont="1" applyAlignment="1">
      <alignment/>
    </xf>
    <xf numFmtId="0" fontId="51" fillId="0" borderId="0" xfId="18" applyFont="1" applyAlignment="1">
      <alignment horizontal="center"/>
      <protection/>
    </xf>
    <xf numFmtId="0" fontId="51" fillId="0" borderId="0" xfId="18" applyFont="1" applyAlignment="1">
      <alignment wrapText="1"/>
      <protection/>
    </xf>
    <xf numFmtId="0" fontId="51" fillId="0" borderId="0" xfId="18" applyFont="1">
      <alignment/>
      <protection/>
    </xf>
    <xf numFmtId="0" fontId="3" fillId="0" borderId="0" xfId="18" applyFont="1" applyAlignment="1">
      <alignment horizontal="left" vertical="center"/>
      <protection/>
    </xf>
    <xf numFmtId="0" fontId="3" fillId="0" borderId="0" xfId="18" applyFont="1">
      <alignment/>
      <protection/>
    </xf>
    <xf numFmtId="0" fontId="6" fillId="0" borderId="0" xfId="18" applyFont="1" applyAlignment="1">
      <alignment horizontal="centerContinuous" vertical="center"/>
      <protection/>
    </xf>
    <xf numFmtId="0" fontId="54" fillId="0" borderId="0" xfId="18" applyFont="1" applyAlignment="1">
      <alignment horizontal="centerContinuous" vertical="center" wrapText="1"/>
      <protection/>
    </xf>
    <xf numFmtId="0" fontId="54" fillId="0" borderId="0" xfId="18" applyFont="1" applyAlignment="1">
      <alignment horizontal="centerContinuous" vertical="center"/>
      <protection/>
    </xf>
    <xf numFmtId="0" fontId="68" fillId="0" borderId="0" xfId="0" applyFont="1" applyAlignment="1">
      <alignment horizontal="centerContinuous" vertical="center"/>
    </xf>
    <xf numFmtId="0" fontId="7" fillId="0" borderId="0" xfId="18" applyFont="1" applyAlignment="1">
      <alignment vertical="center"/>
      <protection/>
    </xf>
    <xf numFmtId="0" fontId="6" fillId="0" borderId="0" xfId="18" applyFont="1" applyAlignment="1">
      <alignment horizontal="centerContinuous" vertical="center" wrapText="1"/>
      <protection/>
    </xf>
    <xf numFmtId="0" fontId="54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vertical="center"/>
      <protection/>
    </xf>
    <xf numFmtId="0" fontId="21" fillId="0" borderId="0" xfId="18" applyFont="1" applyAlignment="1">
      <alignment horizontal="centerContinuous" vertical="center" wrapText="1"/>
      <protection/>
    </xf>
    <xf numFmtId="0" fontId="21" fillId="0" borderId="0" xfId="18" applyFont="1" applyAlignment="1">
      <alignment horizontal="centerContinuous" vertical="center"/>
      <protection/>
    </xf>
    <xf numFmtId="0" fontId="3" fillId="0" borderId="0" xfId="18" applyFont="1" applyAlignment="1">
      <alignment horizontal="centerContinuous"/>
      <protection/>
    </xf>
    <xf numFmtId="0" fontId="21" fillId="0" borderId="0" xfId="18" applyFont="1">
      <alignment/>
      <protection/>
    </xf>
    <xf numFmtId="0" fontId="5" fillId="0" borderId="0" xfId="18" applyFont="1">
      <alignment/>
      <protection/>
    </xf>
    <xf numFmtId="0" fontId="11" fillId="0" borderId="120" xfId="18" applyFont="1" applyBorder="1" applyAlignment="1">
      <alignment horizontal="center" vertical="center" wrapText="1"/>
      <protection/>
    </xf>
    <xf numFmtId="0" fontId="54" fillId="0" borderId="50" xfId="18" applyFont="1" applyBorder="1" applyAlignment="1">
      <alignment horizontal="center" vertical="center" wrapText="1"/>
      <protection/>
    </xf>
    <xf numFmtId="0" fontId="9" fillId="0" borderId="143" xfId="18" applyFont="1" applyBorder="1" applyAlignment="1">
      <alignment horizontal="center" vertical="center" wrapText="1"/>
      <protection/>
    </xf>
    <xf numFmtId="0" fontId="9" fillId="0" borderId="48" xfId="18" applyFont="1" applyBorder="1" applyAlignment="1">
      <alignment horizontal="center" vertical="center" wrapText="1"/>
      <protection/>
    </xf>
    <xf numFmtId="0" fontId="9" fillId="0" borderId="42" xfId="18" applyFont="1" applyBorder="1" applyAlignment="1">
      <alignment horizontal="center" vertical="center" wrapText="1"/>
      <protection/>
    </xf>
    <xf numFmtId="1" fontId="15" fillId="0" borderId="15" xfId="18" applyNumberFormat="1" applyFont="1" applyBorder="1" applyAlignment="1">
      <alignment horizontal="center" vertical="center" wrapText="1"/>
      <protection/>
    </xf>
    <xf numFmtId="1" fontId="15" fillId="0" borderId="14" xfId="18" applyNumberFormat="1" applyFont="1" applyBorder="1" applyAlignment="1">
      <alignment horizontal="center" vertical="center" wrapText="1"/>
      <protection/>
    </xf>
    <xf numFmtId="1" fontId="15" fillId="0" borderId="71" xfId="18" applyNumberFormat="1" applyFont="1" applyBorder="1" applyAlignment="1">
      <alignment horizontal="center" vertical="center" wrapText="1"/>
      <protection/>
    </xf>
    <xf numFmtId="1" fontId="15" fillId="0" borderId="5" xfId="18" applyNumberFormat="1" applyFont="1" applyBorder="1" applyAlignment="1">
      <alignment horizontal="center" vertical="center" wrapText="1"/>
      <protection/>
    </xf>
    <xf numFmtId="1" fontId="15" fillId="0" borderId="18" xfId="18" applyNumberFormat="1" applyFont="1" applyBorder="1" applyAlignment="1">
      <alignment horizontal="center" vertical="center" wrapText="1"/>
      <protection/>
    </xf>
    <xf numFmtId="0" fontId="12" fillId="0" borderId="0" xfId="18" applyFont="1">
      <alignment/>
      <protection/>
    </xf>
    <xf numFmtId="0" fontId="5" fillId="0" borderId="9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left" vertical="center" wrapText="1"/>
      <protection/>
    </xf>
    <xf numFmtId="3" fontId="5" fillId="0" borderId="75" xfId="18" applyNumberFormat="1" applyFont="1" applyBorder="1" applyAlignment="1">
      <alignment horizontal="right" vertical="center"/>
      <protection/>
    </xf>
    <xf numFmtId="3" fontId="5" fillId="0" borderId="12" xfId="18" applyNumberFormat="1" applyFont="1" applyBorder="1" applyAlignment="1">
      <alignment horizontal="right" vertical="center"/>
      <protection/>
    </xf>
    <xf numFmtId="3" fontId="5" fillId="0" borderId="13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vertical="center"/>
      <protection/>
    </xf>
    <xf numFmtId="0" fontId="5" fillId="0" borderId="15" xfId="18" applyFont="1" applyBorder="1" applyAlignment="1">
      <alignment horizontal="center" vertical="center"/>
      <protection/>
    </xf>
    <xf numFmtId="0" fontId="5" fillId="0" borderId="14" xfId="18" applyFont="1" applyBorder="1" applyAlignment="1">
      <alignment horizontal="left" vertical="center" wrapText="1"/>
      <protection/>
    </xf>
    <xf numFmtId="3" fontId="5" fillId="0" borderId="71" xfId="18" applyNumberFormat="1" applyFont="1" applyBorder="1" applyAlignment="1">
      <alignment horizontal="right" vertical="center"/>
      <protection/>
    </xf>
    <xf numFmtId="3" fontId="5" fillId="0" borderId="5" xfId="18" applyNumberFormat="1" applyFont="1" applyBorder="1" applyAlignment="1">
      <alignment horizontal="right" vertical="center"/>
      <protection/>
    </xf>
    <xf numFmtId="3" fontId="5" fillId="0" borderId="18" xfId="18" applyNumberFormat="1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left" vertical="center" wrapText="1"/>
      <protection/>
    </xf>
    <xf numFmtId="3" fontId="4" fillId="0" borderId="71" xfId="18" applyNumberFormat="1" applyFont="1" applyBorder="1" applyAlignment="1">
      <alignment horizontal="right" vertical="center"/>
      <protection/>
    </xf>
    <xf numFmtId="3" fontId="4" fillId="0" borderId="5" xfId="18" applyNumberFormat="1" applyFont="1" applyBorder="1" applyAlignment="1">
      <alignment horizontal="right" vertical="center"/>
      <protection/>
    </xf>
    <xf numFmtId="3" fontId="3" fillId="0" borderId="18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5" fillId="0" borderId="120" xfId="18" applyFont="1" applyBorder="1" applyAlignment="1">
      <alignment horizontal="center" vertical="center"/>
      <protection/>
    </xf>
    <xf numFmtId="0" fontId="5" fillId="0" borderId="50" xfId="18" applyFont="1" applyBorder="1" applyAlignment="1">
      <alignment horizontal="left" vertical="center" wrapText="1"/>
      <protection/>
    </xf>
    <xf numFmtId="3" fontId="5" fillId="0" borderId="143" xfId="18" applyNumberFormat="1" applyFont="1" applyBorder="1" applyAlignment="1">
      <alignment horizontal="right" vertical="center"/>
      <protection/>
    </xf>
    <xf numFmtId="3" fontId="5" fillId="0" borderId="48" xfId="18" applyNumberFormat="1" applyFont="1" applyBorder="1" applyAlignment="1">
      <alignment horizontal="right" vertical="center"/>
      <protection/>
    </xf>
    <xf numFmtId="3" fontId="5" fillId="0" borderId="42" xfId="18" applyNumberFormat="1" applyFont="1" applyBorder="1" applyAlignment="1">
      <alignment horizontal="center" vertical="center"/>
      <protection/>
    </xf>
    <xf numFmtId="0" fontId="4" fillId="0" borderId="21" xfId="18" applyFont="1" applyBorder="1" applyAlignment="1">
      <alignment horizontal="center" vertical="center"/>
      <protection/>
    </xf>
    <xf numFmtId="0" fontId="4" fillId="0" borderId="20" xfId="18" applyFont="1" applyBorder="1" applyAlignment="1">
      <alignment horizontal="left" vertical="center" wrapText="1"/>
      <protection/>
    </xf>
    <xf numFmtId="3" fontId="4" fillId="0" borderId="74" xfId="18" applyNumberFormat="1" applyFont="1" applyBorder="1" applyAlignment="1">
      <alignment horizontal="right" vertical="center"/>
      <protection/>
    </xf>
    <xf numFmtId="3" fontId="4" fillId="0" borderId="24" xfId="18" applyNumberFormat="1" applyFont="1" applyBorder="1" applyAlignment="1">
      <alignment horizontal="right" vertical="center"/>
      <protection/>
    </xf>
    <xf numFmtId="3" fontId="2" fillId="0" borderId="25" xfId="18" applyNumberFormat="1" applyFont="1" applyBorder="1" applyAlignment="1">
      <alignment horizontal="center" vertical="center"/>
      <protection/>
    </xf>
    <xf numFmtId="0" fontId="12" fillId="0" borderId="0" xfId="18" applyFont="1" applyAlignment="1">
      <alignment vertical="center"/>
      <protection/>
    </xf>
    <xf numFmtId="3" fontId="5" fillId="0" borderId="9" xfId="18" applyNumberFormat="1" applyFont="1" applyBorder="1" applyAlignment="1">
      <alignment horizontal="right" vertical="center"/>
      <protection/>
    </xf>
    <xf numFmtId="3" fontId="5" fillId="0" borderId="34" xfId="18" applyNumberFormat="1" applyFont="1" applyBorder="1" applyAlignment="1">
      <alignment horizontal="center" vertical="center"/>
      <protection/>
    </xf>
    <xf numFmtId="3" fontId="5" fillId="0" borderId="120" xfId="18" applyNumberFormat="1" applyFont="1" applyBorder="1" applyAlignment="1">
      <alignment horizontal="right" vertical="center"/>
      <protection/>
    </xf>
    <xf numFmtId="3" fontId="5" fillId="0" borderId="139" xfId="18" applyNumberFormat="1" applyFont="1" applyBorder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3" fontId="4" fillId="0" borderId="21" xfId="18" applyNumberFormat="1" applyFont="1" applyBorder="1" applyAlignment="1">
      <alignment horizontal="right" vertical="center"/>
      <protection/>
    </xf>
    <xf numFmtId="3" fontId="2" fillId="0" borderId="70" xfId="18" applyNumberFormat="1" applyFont="1" applyBorder="1" applyAlignment="1">
      <alignment horizontal="center" vertical="center"/>
      <protection/>
    </xf>
    <xf numFmtId="0" fontId="5" fillId="0" borderId="8" xfId="18" applyFont="1" applyBorder="1" applyAlignment="1">
      <alignment vertical="center" wrapText="1"/>
      <protection/>
    </xf>
    <xf numFmtId="3" fontId="5" fillId="0" borderId="75" xfId="18" applyNumberFormat="1" applyFont="1" applyBorder="1" applyAlignment="1">
      <alignment vertical="center"/>
      <protection/>
    </xf>
    <xf numFmtId="3" fontId="5" fillId="0" borderId="9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0" fontId="5" fillId="0" borderId="21" xfId="18" applyFont="1" applyBorder="1" applyAlignment="1">
      <alignment horizontal="center" vertical="center"/>
      <protection/>
    </xf>
    <xf numFmtId="0" fontId="5" fillId="0" borderId="20" xfId="18" applyFont="1" applyBorder="1" applyAlignment="1">
      <alignment vertical="center" wrapText="1"/>
      <protection/>
    </xf>
    <xf numFmtId="3" fontId="5" fillId="0" borderId="74" xfId="18" applyNumberFormat="1" applyFont="1" applyBorder="1" applyAlignment="1">
      <alignment vertical="center"/>
      <protection/>
    </xf>
    <xf numFmtId="3" fontId="5" fillId="0" borderId="24" xfId="18" applyNumberFormat="1" applyFont="1" applyBorder="1" applyAlignment="1">
      <alignment vertical="center"/>
      <protection/>
    </xf>
    <xf numFmtId="3" fontId="5" fillId="0" borderId="25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77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4" fillId="0" borderId="56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5" fillId="0" borderId="57" xfId="18" applyFont="1" applyBorder="1" applyAlignment="1">
      <alignment vertical="center" wrapText="1"/>
      <protection/>
    </xf>
    <xf numFmtId="3" fontId="5" fillId="0" borderId="77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20" xfId="18" applyFont="1" applyBorder="1" applyAlignment="1">
      <alignment vertical="center" wrapText="1"/>
      <protection/>
    </xf>
    <xf numFmtId="3" fontId="4" fillId="0" borderId="76" xfId="18" applyNumberFormat="1" applyFont="1" applyBorder="1" applyAlignment="1">
      <alignment vertical="center"/>
      <protection/>
    </xf>
    <xf numFmtId="3" fontId="4" fillId="0" borderId="24" xfId="18" applyNumberFormat="1" applyFont="1" applyBorder="1" applyAlignment="1">
      <alignment vertical="center"/>
      <protection/>
    </xf>
    <xf numFmtId="3" fontId="2" fillId="0" borderId="25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3" fontId="10" fillId="0" borderId="70" xfId="0" applyNumberFormat="1" applyFont="1" applyBorder="1" applyAlignment="1">
      <alignment vertical="center"/>
    </xf>
    <xf numFmtId="0" fontId="5" fillId="0" borderId="37" xfId="18" applyFont="1" applyBorder="1" applyAlignment="1">
      <alignment horizontal="center" vertical="center"/>
      <protection/>
    </xf>
    <xf numFmtId="0" fontId="5" fillId="0" borderId="41" xfId="18" applyFont="1" applyBorder="1" applyAlignment="1">
      <alignment vertical="center" wrapText="1"/>
      <protection/>
    </xf>
    <xf numFmtId="3" fontId="5" fillId="0" borderId="78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38" xfId="18" applyNumberFormat="1" applyFont="1" applyBorder="1" applyAlignment="1">
      <alignment vertical="center"/>
      <protection/>
    </xf>
    <xf numFmtId="0" fontId="4" fillId="0" borderId="68" xfId="18" applyFont="1" applyBorder="1" applyAlignment="1">
      <alignment horizontal="center" vertical="center"/>
      <protection/>
    </xf>
    <xf numFmtId="0" fontId="4" fillId="0" borderId="65" xfId="18" applyFont="1" applyBorder="1" applyAlignment="1">
      <alignment vertical="center" wrapText="1"/>
      <protection/>
    </xf>
    <xf numFmtId="3" fontId="5" fillId="0" borderId="67" xfId="18" applyNumberFormat="1" applyFont="1" applyBorder="1" applyAlignment="1">
      <alignment vertical="center"/>
      <protection/>
    </xf>
    <xf numFmtId="3" fontId="5" fillId="0" borderId="124" xfId="18" applyNumberFormat="1" applyFont="1" applyBorder="1" applyAlignment="1">
      <alignment vertical="center"/>
      <protection/>
    </xf>
    <xf numFmtId="0" fontId="4" fillId="0" borderId="41" xfId="18" applyFont="1" applyBorder="1" applyAlignment="1">
      <alignment vertical="center" wrapText="1"/>
      <protection/>
    </xf>
    <xf numFmtId="3" fontId="4" fillId="0" borderId="77" xfId="18" applyNumberFormat="1" applyFont="1" applyBorder="1" applyAlignment="1">
      <alignment horizontal="right" vertical="center"/>
      <protection/>
    </xf>
    <xf numFmtId="3" fontId="4" fillId="0" borderId="43" xfId="18" applyNumberFormat="1" applyFont="1" applyBorder="1" applyAlignment="1">
      <alignment vertical="center"/>
      <protection/>
    </xf>
    <xf numFmtId="0" fontId="5" fillId="0" borderId="68" xfId="18" applyFont="1" applyBorder="1" applyAlignment="1">
      <alignment horizontal="center" vertical="center"/>
      <protection/>
    </xf>
    <xf numFmtId="0" fontId="4" fillId="0" borderId="68" xfId="18" applyFont="1" applyBorder="1" applyAlignment="1">
      <alignment horizontal="center" vertical="center"/>
      <protection/>
    </xf>
    <xf numFmtId="0" fontId="4" fillId="0" borderId="37" xfId="18" applyFont="1" applyBorder="1" applyAlignment="1">
      <alignment horizontal="center" vertical="center"/>
      <protection/>
    </xf>
    <xf numFmtId="0" fontId="4" fillId="0" borderId="41" xfId="18" applyFont="1" applyBorder="1" applyAlignment="1">
      <alignment horizontal="left" vertical="center" wrapText="1"/>
      <protection/>
    </xf>
    <xf numFmtId="3" fontId="4" fillId="0" borderId="78" xfId="18" applyNumberFormat="1" applyFont="1" applyBorder="1" applyAlignment="1">
      <alignment horizontal="right" vertical="center"/>
      <protection/>
    </xf>
    <xf numFmtId="3" fontId="2" fillId="0" borderId="38" xfId="18" applyNumberFormat="1" applyFont="1" applyBorder="1" applyAlignment="1">
      <alignment vertical="center"/>
      <protection/>
    </xf>
    <xf numFmtId="3" fontId="2" fillId="0" borderId="56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56" xfId="18" applyNumberFormat="1" applyFont="1" applyBorder="1" applyAlignment="1">
      <alignment vertical="center"/>
      <protection/>
    </xf>
    <xf numFmtId="0" fontId="4" fillId="0" borderId="65" xfId="18" applyFont="1" applyBorder="1" applyAlignment="1">
      <alignment vertical="center" wrapText="1"/>
      <protection/>
    </xf>
    <xf numFmtId="3" fontId="4" fillId="0" borderId="76" xfId="18" applyNumberFormat="1" applyFont="1" applyBorder="1" applyAlignment="1">
      <alignment horizontal="right" vertical="center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4" xfId="18" applyNumberFormat="1" applyFont="1" applyBorder="1" applyAlignment="1">
      <alignment vertical="center"/>
      <protection/>
    </xf>
    <xf numFmtId="0" fontId="5" fillId="0" borderId="0" xfId="18" applyFont="1" applyAlignment="1">
      <alignment vertical="center"/>
      <protection/>
    </xf>
    <xf numFmtId="3" fontId="4" fillId="0" borderId="38" xfId="18" applyNumberFormat="1" applyFont="1" applyBorder="1" applyAlignment="1">
      <alignment vertical="center"/>
      <protection/>
    </xf>
    <xf numFmtId="0" fontId="4" fillId="0" borderId="26" xfId="18" applyFont="1" applyBorder="1" applyAlignment="1">
      <alignment horizontal="center" vertical="center"/>
      <protection/>
    </xf>
    <xf numFmtId="0" fontId="4" fillId="0" borderId="27" xfId="18" applyFont="1" applyBorder="1" applyAlignment="1">
      <alignment horizontal="left" vertical="center" wrapText="1"/>
      <protection/>
    </xf>
    <xf numFmtId="3" fontId="4" fillId="0" borderId="72" xfId="18" applyNumberFormat="1" applyFont="1" applyBorder="1" applyAlignment="1">
      <alignment horizontal="right" vertical="center"/>
      <protection/>
    </xf>
    <xf numFmtId="3" fontId="4" fillId="0" borderId="30" xfId="18" applyNumberFormat="1" applyFont="1" applyBorder="1" applyAlignment="1">
      <alignment vertical="center"/>
      <protection/>
    </xf>
    <xf numFmtId="3" fontId="2" fillId="0" borderId="31" xfId="18" applyNumberFormat="1" applyFont="1" applyBorder="1" applyAlignment="1">
      <alignment vertical="center"/>
      <protection/>
    </xf>
    <xf numFmtId="0" fontId="9" fillId="0" borderId="120" xfId="18" applyFont="1" applyBorder="1" applyAlignment="1">
      <alignment horizontal="center" vertical="center"/>
      <protection/>
    </xf>
    <xf numFmtId="0" fontId="9" fillId="0" borderId="50" xfId="18" applyFont="1" applyBorder="1" applyAlignment="1">
      <alignment vertical="center" wrapText="1"/>
      <protection/>
    </xf>
    <xf numFmtId="3" fontId="9" fillId="0" borderId="143" xfId="18" applyNumberFormat="1" applyFont="1" applyBorder="1" applyAlignment="1">
      <alignment vertical="center"/>
      <protection/>
    </xf>
    <xf numFmtId="3" fontId="9" fillId="0" borderId="48" xfId="18" applyNumberFormat="1" applyFont="1" applyBorder="1" applyAlignment="1">
      <alignment vertical="center"/>
      <protection/>
    </xf>
    <xf numFmtId="3" fontId="9" fillId="0" borderId="42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3" fontId="2" fillId="0" borderId="78" xfId="18" applyNumberFormat="1" applyFont="1" applyBorder="1" applyAlignment="1">
      <alignment horizontal="right" vertical="center"/>
      <protection/>
    </xf>
    <xf numFmtId="3" fontId="2" fillId="0" borderId="43" xfId="18" applyNumberFormat="1" applyFont="1" applyBorder="1" applyAlignment="1">
      <alignment vertical="center"/>
      <protection/>
    </xf>
    <xf numFmtId="3" fontId="2" fillId="0" borderId="38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0" fontId="5" fillId="0" borderId="57" xfId="18" applyFont="1" applyBorder="1" applyAlignment="1">
      <alignment vertical="center" wrapText="1"/>
      <protection/>
    </xf>
    <xf numFmtId="3" fontId="5" fillId="0" borderId="77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3" fontId="2" fillId="0" borderId="56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3" fontId="5" fillId="0" borderId="56" xfId="18" applyNumberFormat="1" applyFont="1" applyBorder="1" applyAlignment="1">
      <alignment vertical="center"/>
      <protection/>
    </xf>
    <xf numFmtId="3" fontId="4" fillId="0" borderId="144" xfId="18" applyNumberFormat="1" applyFont="1" applyBorder="1" applyAlignment="1">
      <alignment horizontal="right" vertical="center"/>
      <protection/>
    </xf>
    <xf numFmtId="3" fontId="4" fillId="0" borderId="113" xfId="0" applyNumberFormat="1" applyFont="1" applyBorder="1" applyAlignment="1">
      <alignment vertical="center"/>
    </xf>
    <xf numFmtId="3" fontId="4" fillId="0" borderId="64" xfId="0" applyNumberFormat="1" applyFont="1" applyBorder="1" applyAlignment="1">
      <alignment vertical="center"/>
    </xf>
    <xf numFmtId="3" fontId="5" fillId="0" borderId="75" xfId="18" applyNumberFormat="1" applyFont="1" applyBorder="1" applyAlignment="1">
      <alignment vertical="center"/>
      <protection/>
    </xf>
    <xf numFmtId="3" fontId="5" fillId="0" borderId="9" xfId="18" applyNumberFormat="1" applyFont="1" applyBorder="1" applyAlignment="1">
      <alignment vertical="center"/>
      <protection/>
    </xf>
    <xf numFmtId="3" fontId="5" fillId="0" borderId="34" xfId="18" applyNumberFormat="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3" fontId="5" fillId="0" borderId="124" xfId="18" applyNumberFormat="1" applyFont="1" applyBorder="1" applyAlignment="1">
      <alignment vertical="center"/>
      <protection/>
    </xf>
    <xf numFmtId="3" fontId="4" fillId="0" borderId="125" xfId="18" applyNumberFormat="1" applyFont="1" applyBorder="1" applyAlignment="1">
      <alignment vertical="center"/>
      <protection/>
    </xf>
    <xf numFmtId="3" fontId="4" fillId="0" borderId="140" xfId="18" applyNumberFormat="1" applyFont="1" applyBorder="1" applyAlignment="1">
      <alignment vertical="center"/>
      <protection/>
    </xf>
    <xf numFmtId="0" fontId="13" fillId="0" borderId="37" xfId="18" applyFont="1" applyBorder="1" applyAlignment="1">
      <alignment horizontal="center" vertical="center"/>
      <protection/>
    </xf>
    <xf numFmtId="0" fontId="13" fillId="0" borderId="41" xfId="18" applyFont="1" applyBorder="1" applyAlignment="1">
      <alignment vertical="center" wrapText="1"/>
      <protection/>
    </xf>
    <xf numFmtId="3" fontId="13" fillId="0" borderId="78" xfId="18" applyNumberFormat="1" applyFont="1" applyBorder="1" applyAlignment="1">
      <alignment horizontal="right" vertical="center"/>
      <protection/>
    </xf>
    <xf numFmtId="3" fontId="13" fillId="0" borderId="43" xfId="18" applyNumberFormat="1" applyFont="1" applyBorder="1" applyAlignment="1">
      <alignment vertical="center"/>
      <protection/>
    </xf>
    <xf numFmtId="3" fontId="13" fillId="0" borderId="140" xfId="18" applyNumberFormat="1" applyFont="1" applyBorder="1" applyAlignment="1">
      <alignment vertical="center"/>
      <protection/>
    </xf>
    <xf numFmtId="3" fontId="5" fillId="0" borderId="43" xfId="18" applyNumberFormat="1" applyFont="1" applyBorder="1" applyAlignment="1">
      <alignment vertical="center"/>
      <protection/>
    </xf>
    <xf numFmtId="3" fontId="5" fillId="0" borderId="140" xfId="18" applyNumberFormat="1" applyFont="1" applyBorder="1" applyAlignment="1">
      <alignment vertical="center"/>
      <protection/>
    </xf>
    <xf numFmtId="3" fontId="4" fillId="0" borderId="124" xfId="18" applyNumberFormat="1" applyFont="1" applyBorder="1" applyAlignment="1">
      <alignment vertical="center"/>
      <protection/>
    </xf>
    <xf numFmtId="0" fontId="5" fillId="0" borderId="67" xfId="0" applyFont="1" applyBorder="1" applyAlignment="1">
      <alignment vertical="center"/>
    </xf>
    <xf numFmtId="0" fontId="5" fillId="0" borderId="54" xfId="18" applyFont="1" applyBorder="1" applyAlignment="1">
      <alignment horizontal="left" vertical="center" wrapText="1"/>
      <protection/>
    </xf>
    <xf numFmtId="0" fontId="5" fillId="0" borderId="67" xfId="18" applyFont="1" applyBorder="1" applyAlignment="1">
      <alignment horizontal="center"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5" fillId="0" borderId="67" xfId="18" applyFont="1" applyBorder="1" applyAlignment="1">
      <alignment horizontal="center" vertical="center"/>
      <protection/>
    </xf>
    <xf numFmtId="3" fontId="5" fillId="0" borderId="124" xfId="0" applyNumberFormat="1" applyFont="1" applyBorder="1" applyAlignment="1">
      <alignment vertical="center"/>
    </xf>
    <xf numFmtId="3" fontId="2" fillId="0" borderId="64" xfId="18" applyNumberFormat="1" applyFont="1" applyBorder="1" applyAlignment="1">
      <alignment vertical="center"/>
      <protection/>
    </xf>
    <xf numFmtId="3" fontId="4" fillId="0" borderId="25" xfId="18" applyNumberFormat="1" applyFont="1" applyBorder="1" applyAlignment="1">
      <alignment vertical="center"/>
      <protection/>
    </xf>
    <xf numFmtId="0" fontId="13" fillId="0" borderId="67" xfId="18" applyFont="1" applyBorder="1" applyAlignment="1">
      <alignment horizontal="center" vertical="center"/>
      <protection/>
    </xf>
    <xf numFmtId="0" fontId="13" fillId="0" borderId="57" xfId="18" applyFont="1" applyBorder="1" applyAlignment="1">
      <alignment horizontal="left" vertical="center" wrapText="1"/>
      <protection/>
    </xf>
    <xf numFmtId="3" fontId="5" fillId="0" borderId="77" xfId="18" applyNumberFormat="1" applyFont="1" applyBorder="1" applyAlignment="1">
      <alignment horizontal="right" vertical="center"/>
      <protection/>
    </xf>
    <xf numFmtId="3" fontId="4" fillId="0" borderId="31" xfId="18" applyNumberFormat="1" applyFont="1" applyBorder="1" applyAlignment="1">
      <alignment vertical="center"/>
      <protection/>
    </xf>
    <xf numFmtId="0" fontId="5" fillId="0" borderId="50" xfId="18" applyFont="1" applyBorder="1" applyAlignment="1">
      <alignment vertical="center" wrapText="1"/>
      <protection/>
    </xf>
    <xf numFmtId="3" fontId="5" fillId="0" borderId="143" xfId="18" applyNumberFormat="1" applyFont="1" applyBorder="1" applyAlignment="1">
      <alignment vertical="center"/>
      <protection/>
    </xf>
    <xf numFmtId="3" fontId="5" fillId="0" borderId="48" xfId="18" applyNumberFormat="1" applyFont="1" applyBorder="1" applyAlignment="1">
      <alignment vertical="center"/>
      <protection/>
    </xf>
    <xf numFmtId="3" fontId="5" fillId="0" borderId="42" xfId="18" applyNumberFormat="1" applyFont="1" applyBorder="1" applyAlignment="1">
      <alignment vertical="center"/>
      <protection/>
    </xf>
    <xf numFmtId="0" fontId="4" fillId="0" borderId="67" xfId="18" applyFont="1" applyBorder="1" applyAlignment="1">
      <alignment horizontal="center"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77" xfId="18" applyNumberFormat="1" applyFont="1" applyBorder="1" applyAlignment="1">
      <alignment vertical="center"/>
      <protection/>
    </xf>
    <xf numFmtId="3" fontId="4" fillId="0" borderId="54" xfId="18" applyNumberFormat="1" applyFont="1" applyBorder="1" applyAlignment="1">
      <alignment vertical="center"/>
      <protection/>
    </xf>
    <xf numFmtId="3" fontId="4" fillId="0" borderId="56" xfId="18" applyNumberFormat="1" applyFont="1" applyBorder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5" fillId="0" borderId="0" xfId="18" applyFont="1" applyBorder="1" applyAlignment="1">
      <alignment vertical="center"/>
      <protection/>
    </xf>
    <xf numFmtId="3" fontId="4" fillId="0" borderId="74" xfId="18" applyNumberFormat="1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3" fontId="4" fillId="0" borderId="24" xfId="18" applyNumberFormat="1" applyFont="1" applyBorder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5" fillId="0" borderId="57" xfId="18" applyFont="1" applyBorder="1" applyAlignment="1">
      <alignment vertical="center" wrapText="1"/>
      <protection/>
    </xf>
    <xf numFmtId="3" fontId="5" fillId="0" borderId="77" xfId="18" applyNumberFormat="1" applyFont="1" applyBorder="1" applyAlignment="1">
      <alignment vertical="center"/>
      <protection/>
    </xf>
    <xf numFmtId="3" fontId="5" fillId="0" borderId="54" xfId="18" applyNumberFormat="1" applyFont="1" applyBorder="1" applyAlignment="1">
      <alignment vertical="center"/>
      <protection/>
    </xf>
    <xf numFmtId="3" fontId="5" fillId="0" borderId="56" xfId="18" applyNumberFormat="1" applyFont="1" applyBorder="1" applyAlignment="1">
      <alignment vertical="center"/>
      <protection/>
    </xf>
    <xf numFmtId="0" fontId="4" fillId="0" borderId="57" xfId="18" applyFont="1" applyBorder="1" applyAlignment="1">
      <alignment vertical="center" wrapText="1"/>
      <protection/>
    </xf>
    <xf numFmtId="3" fontId="4" fillId="0" borderId="54" xfId="18" applyNumberFormat="1" applyFont="1" applyBorder="1" applyAlignment="1">
      <alignment vertical="center"/>
      <protection/>
    </xf>
    <xf numFmtId="3" fontId="4" fillId="0" borderId="56" xfId="18" applyNumberFormat="1" applyFont="1" applyBorder="1" applyAlignment="1">
      <alignment vertical="center"/>
      <protection/>
    </xf>
    <xf numFmtId="3" fontId="4" fillId="0" borderId="62" xfId="18" applyNumberFormat="1" applyFont="1" applyBorder="1" applyAlignment="1">
      <alignment vertical="center"/>
      <protection/>
    </xf>
    <xf numFmtId="3" fontId="4" fillId="0" borderId="64" xfId="18" applyNumberFormat="1" applyFont="1" applyBorder="1" applyAlignment="1">
      <alignment vertical="center"/>
      <protection/>
    </xf>
    <xf numFmtId="0" fontId="5" fillId="0" borderId="56" xfId="18" applyFont="1" applyBorder="1" applyAlignment="1">
      <alignment vertical="center" wrapText="1"/>
      <protection/>
    </xf>
    <xf numFmtId="3" fontId="69" fillId="0" borderId="0" xfId="0" applyNumberFormat="1" applyFont="1" applyBorder="1" applyAlignment="1">
      <alignment vertical="center"/>
    </xf>
    <xf numFmtId="0" fontId="43" fillId="0" borderId="21" xfId="18" applyFont="1" applyBorder="1" applyAlignment="1">
      <alignment horizontal="center" vertical="center"/>
      <protection/>
    </xf>
    <xf numFmtId="0" fontId="43" fillId="0" borderId="20" xfId="18" applyFont="1" applyBorder="1" applyAlignment="1">
      <alignment vertical="center" wrapText="1"/>
      <protection/>
    </xf>
    <xf numFmtId="3" fontId="43" fillId="0" borderId="74" xfId="18" applyNumberFormat="1" applyFont="1" applyBorder="1" applyAlignment="1">
      <alignment horizontal="right" vertical="center"/>
      <protection/>
    </xf>
    <xf numFmtId="3" fontId="39" fillId="0" borderId="0" xfId="0" applyNumberFormat="1" applyFont="1" applyBorder="1" applyAlignment="1">
      <alignment vertical="center"/>
    </xf>
    <xf numFmtId="3" fontId="43" fillId="0" borderId="25" xfId="18" applyNumberFormat="1" applyFont="1" applyBorder="1" applyAlignment="1">
      <alignment vertical="center"/>
      <protection/>
    </xf>
    <xf numFmtId="0" fontId="24" fillId="0" borderId="0" xfId="18" applyFont="1" applyAlignment="1">
      <alignment vertical="center"/>
      <protection/>
    </xf>
    <xf numFmtId="0" fontId="24" fillId="0" borderId="67" xfId="18" applyFont="1" applyBorder="1" applyAlignment="1">
      <alignment horizontal="center" vertical="center"/>
      <protection/>
    </xf>
    <xf numFmtId="0" fontId="24" fillId="0" borderId="57" xfId="18" applyFont="1" applyBorder="1" applyAlignment="1">
      <alignment vertical="center" wrapText="1"/>
      <protection/>
    </xf>
    <xf numFmtId="3" fontId="24" fillId="0" borderId="77" xfId="18" applyNumberFormat="1" applyFont="1" applyBorder="1" applyAlignment="1">
      <alignment horizontal="right" vertical="center"/>
      <protection/>
    </xf>
    <xf numFmtId="3" fontId="24" fillId="0" borderId="91" xfId="0" applyNumberFormat="1" applyFont="1" applyBorder="1" applyAlignment="1">
      <alignment vertical="center"/>
    </xf>
    <xf numFmtId="3" fontId="24" fillId="0" borderId="56" xfId="18" applyNumberFormat="1" applyFont="1" applyBorder="1" applyAlignment="1">
      <alignment vertical="center"/>
      <protection/>
    </xf>
    <xf numFmtId="0" fontId="43" fillId="0" borderId="65" xfId="18" applyFont="1" applyBorder="1" applyAlignment="1">
      <alignment vertical="center" wrapText="1"/>
      <protection/>
    </xf>
    <xf numFmtId="3" fontId="43" fillId="0" borderId="0" xfId="0" applyNumberFormat="1" applyFont="1" applyBorder="1" applyAlignment="1">
      <alignment vertical="center"/>
    </xf>
    <xf numFmtId="0" fontId="5" fillId="0" borderId="68" xfId="18" applyFont="1" applyBorder="1" applyAlignment="1">
      <alignment horizontal="center" vertical="center"/>
      <protection/>
    </xf>
    <xf numFmtId="0" fontId="5" fillId="0" borderId="65" xfId="18" applyFont="1" applyBorder="1" applyAlignment="1">
      <alignment vertical="center" wrapText="1"/>
      <protection/>
    </xf>
    <xf numFmtId="3" fontId="5" fillId="0" borderId="62" xfId="18" applyNumberFormat="1" applyFont="1" applyBorder="1" applyAlignment="1">
      <alignment vertical="center"/>
      <protection/>
    </xf>
    <xf numFmtId="3" fontId="5" fillId="0" borderId="64" xfId="18" applyNumberFormat="1" applyFont="1" applyBorder="1" applyAlignment="1">
      <alignment vertical="center"/>
      <protection/>
    </xf>
    <xf numFmtId="3" fontId="4" fillId="0" borderId="62" xfId="18" applyNumberFormat="1" applyFont="1" applyBorder="1" applyAlignment="1">
      <alignment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vertical="center" wrapText="1"/>
      <protection/>
    </xf>
    <xf numFmtId="3" fontId="9" fillId="0" borderId="71" xfId="18" applyNumberFormat="1" applyFont="1" applyBorder="1" applyAlignment="1">
      <alignment vertical="center"/>
      <protection/>
    </xf>
    <xf numFmtId="3" fontId="9" fillId="0" borderId="5" xfId="18" applyNumberFormat="1" applyFont="1" applyBorder="1" applyAlignment="1">
      <alignment vertical="center"/>
      <protection/>
    </xf>
    <xf numFmtId="3" fontId="9" fillId="0" borderId="18" xfId="18" applyNumberFormat="1" applyFont="1" applyBorder="1" applyAlignment="1">
      <alignment vertical="center"/>
      <protection/>
    </xf>
    <xf numFmtId="0" fontId="1" fillId="0" borderId="19" xfId="0" applyFont="1" applyBorder="1" applyAlignment="1">
      <alignment/>
    </xf>
    <xf numFmtId="0" fontId="17" fillId="0" borderId="70" xfId="0" applyNumberFormat="1" applyFont="1" applyFill="1" applyBorder="1" applyAlignment="1" applyProtection="1">
      <alignment/>
      <protection/>
    </xf>
    <xf numFmtId="0" fontId="17" fillId="0" borderId="74" xfId="18" applyFont="1" applyBorder="1">
      <alignment/>
      <protection/>
    </xf>
    <xf numFmtId="0" fontId="17" fillId="0" borderId="24" xfId="18" applyFont="1" applyBorder="1">
      <alignment/>
      <protection/>
    </xf>
    <xf numFmtId="0" fontId="17" fillId="0" borderId="25" xfId="18" applyFont="1" applyBorder="1">
      <alignment/>
      <protection/>
    </xf>
    <xf numFmtId="3" fontId="17" fillId="0" borderId="74" xfId="18" applyNumberFormat="1" applyFont="1" applyBorder="1">
      <alignment/>
      <protection/>
    </xf>
    <xf numFmtId="3" fontId="17" fillId="0" borderId="24" xfId="18" applyNumberFormat="1" applyFont="1" applyBorder="1">
      <alignment/>
      <protection/>
    </xf>
    <xf numFmtId="3" fontId="17" fillId="0" borderId="25" xfId="18" applyNumberFormat="1" applyFont="1" applyBorder="1">
      <alignment/>
      <protection/>
    </xf>
    <xf numFmtId="0" fontId="51" fillId="0" borderId="73" xfId="18" applyFont="1" applyBorder="1" applyAlignment="1">
      <alignment horizontal="center"/>
      <protection/>
    </xf>
    <xf numFmtId="3" fontId="17" fillId="0" borderId="79" xfId="18" applyNumberFormat="1" applyFont="1" applyBorder="1" applyAlignment="1">
      <alignment wrapText="1"/>
      <protection/>
    </xf>
    <xf numFmtId="3" fontId="17" fillId="0" borderId="72" xfId="18" applyNumberFormat="1" applyFont="1" applyBorder="1">
      <alignment/>
      <protection/>
    </xf>
    <xf numFmtId="3" fontId="17" fillId="0" borderId="30" xfId="18" applyNumberFormat="1" applyFont="1" applyBorder="1">
      <alignment/>
      <protection/>
    </xf>
    <xf numFmtId="3" fontId="17" fillId="0" borderId="31" xfId="18" applyNumberFormat="1" applyFont="1" applyBorder="1">
      <alignment/>
      <protection/>
    </xf>
    <xf numFmtId="0" fontId="70" fillId="0" borderId="0" xfId="18" applyFont="1" applyBorder="1" applyAlignment="1">
      <alignment horizontal="center" wrapText="1"/>
      <protection/>
    </xf>
    <xf numFmtId="0" fontId="51" fillId="0" borderId="0" xfId="18" applyFont="1" applyBorder="1">
      <alignment/>
      <protection/>
    </xf>
    <xf numFmtId="0" fontId="51" fillId="0" borderId="0" xfId="18" applyFont="1" applyBorder="1" applyAlignment="1">
      <alignment wrapText="1"/>
      <protection/>
    </xf>
    <xf numFmtId="0" fontId="5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11" fillId="0" borderId="3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Continuous" vertical="top" wrapText="1"/>
    </xf>
    <xf numFmtId="0" fontId="15" fillId="0" borderId="4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12" fillId="0" borderId="3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vertical="center"/>
    </xf>
    <xf numFmtId="3" fontId="3" fillId="0" borderId="5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67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3" fontId="3" fillId="0" borderId="56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8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2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164" fontId="5" fillId="0" borderId="142" xfId="0" applyNumberFormat="1" applyFont="1" applyBorder="1" applyAlignment="1">
      <alignment vertical="center"/>
    </xf>
    <xf numFmtId="3" fontId="3" fillId="0" borderId="142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9" fontId="11" fillId="0" borderId="37" xfId="0" applyNumberFormat="1" applyFont="1" applyFill="1" applyBorder="1" applyAlignment="1" applyProtection="1">
      <alignment horizontal="center" vertical="top" wrapText="1"/>
      <protection/>
    </xf>
    <xf numFmtId="0" fontId="12" fillId="0" borderId="68" xfId="0" applyNumberFormat="1" applyFont="1" applyFill="1" applyBorder="1" applyAlignment="1" applyProtection="1">
      <alignment horizontal="center" vertical="center"/>
      <protection/>
    </xf>
    <xf numFmtId="0" fontId="12" fillId="0" borderId="63" xfId="0" applyNumberFormat="1" applyFont="1" applyFill="1" applyBorder="1" applyAlignment="1" applyProtection="1">
      <alignment horizontal="center" vertical="center"/>
      <protection/>
    </xf>
    <xf numFmtId="3" fontId="12" fillId="0" borderId="63" xfId="0" applyNumberFormat="1" applyFont="1" applyFill="1" applyBorder="1" applyAlignment="1" applyProtection="1">
      <alignment horizontal="center" vertical="center"/>
      <protection/>
    </xf>
    <xf numFmtId="3" fontId="12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vertical="center"/>
      <protection/>
    </xf>
    <xf numFmtId="3" fontId="6" fillId="0" borderId="35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vertical="center"/>
      <protection/>
    </xf>
    <xf numFmtId="3" fontId="9" fillId="0" borderId="40" xfId="0" applyNumberFormat="1" applyFont="1" applyFill="1" applyBorder="1" applyAlignment="1" applyProtection="1">
      <alignment horizontal="center" vertical="center"/>
      <protection/>
    </xf>
    <xf numFmtId="3" fontId="9" fillId="0" borderId="38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2" fontId="55" fillId="0" borderId="68" xfId="0" applyNumberFormat="1" applyFont="1" applyFill="1" applyBorder="1" applyAlignment="1" applyProtection="1">
      <alignment vertical="center" wrapText="1"/>
      <protection/>
    </xf>
    <xf numFmtId="0" fontId="16" fillId="0" borderId="63" xfId="0" applyNumberFormat="1" applyFont="1" applyFill="1" applyBorder="1" applyAlignment="1" applyProtection="1">
      <alignment vertical="center" wrapText="1"/>
      <protection/>
    </xf>
    <xf numFmtId="3" fontId="55" fillId="0" borderId="63" xfId="0" applyNumberFormat="1" applyFont="1" applyFill="1" applyBorder="1" applyAlignment="1" applyProtection="1">
      <alignment horizontal="center" vertical="center"/>
      <protection/>
    </xf>
    <xf numFmtId="3" fontId="55" fillId="0" borderId="64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center" vertical="center"/>
      <protection/>
    </xf>
    <xf numFmtId="3" fontId="3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5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vertical="center" wrapText="1"/>
      <protection/>
    </xf>
    <xf numFmtId="3" fontId="9" fillId="0" borderId="40" xfId="0" applyNumberFormat="1" applyFont="1" applyFill="1" applyBorder="1" applyAlignment="1" applyProtection="1">
      <alignment horizontal="right" vertical="center"/>
      <protection/>
    </xf>
    <xf numFmtId="3" fontId="9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3" fillId="0" borderId="59" xfId="0" applyNumberFormat="1" applyFont="1" applyFill="1" applyBorder="1" applyAlignment="1" applyProtection="1">
      <alignment horizontal="right" vertical="center"/>
      <protection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vertical="center" wrapText="1"/>
      <protection/>
    </xf>
    <xf numFmtId="3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vertical="center"/>
      <protection/>
    </xf>
    <xf numFmtId="3" fontId="9" fillId="0" borderId="55" xfId="0" applyNumberFormat="1" applyFont="1" applyFill="1" applyBorder="1" applyAlignment="1" applyProtection="1">
      <alignment horizontal="center" vertical="center"/>
      <protection/>
    </xf>
    <xf numFmtId="3" fontId="9" fillId="0" borderId="56" xfId="0" applyNumberFormat="1" applyFont="1" applyFill="1" applyBorder="1" applyAlignment="1" applyProtection="1">
      <alignment horizontal="right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22" fillId="0" borderId="141" xfId="0" applyNumberFormat="1" applyFont="1" applyFill="1" applyBorder="1" applyAlignment="1" applyProtection="1">
      <alignment vertical="center" wrapText="1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17" fillId="0" borderId="59" xfId="0" applyFont="1" applyBorder="1" applyAlignment="1">
      <alignment vertical="center" wrapText="1"/>
    </xf>
    <xf numFmtId="3" fontId="3" fillId="0" borderId="59" xfId="0" applyNumberFormat="1" applyFont="1" applyBorder="1" applyAlignment="1">
      <alignment vertical="center"/>
    </xf>
    <xf numFmtId="3" fontId="17" fillId="0" borderId="59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64" fillId="0" borderId="15" xfId="0" applyFont="1" applyBorder="1" applyAlignment="1">
      <alignment/>
    </xf>
    <xf numFmtId="0" fontId="64" fillId="0" borderId="3" xfId="0" applyFont="1" applyBorder="1" applyAlignment="1">
      <alignment/>
    </xf>
    <xf numFmtId="0" fontId="21" fillId="0" borderId="50" xfId="0" applyFont="1" applyBorder="1" applyAlignment="1">
      <alignment horizontal="centerContinuous" vertical="center"/>
    </xf>
    <xf numFmtId="0" fontId="64" fillId="0" borderId="121" xfId="0" applyFont="1" applyBorder="1" applyAlignment="1">
      <alignment horizontal="centerContinuous" vertical="center"/>
    </xf>
    <xf numFmtId="0" fontId="64" fillId="0" borderId="139" xfId="0" applyFont="1" applyBorder="1" applyAlignment="1">
      <alignment horizontal="centerContinuous" vertical="center"/>
    </xf>
    <xf numFmtId="0" fontId="64" fillId="0" borderId="0" xfId="0" applyFont="1" applyAlignment="1">
      <alignment/>
    </xf>
    <xf numFmtId="0" fontId="9" fillId="0" borderId="26" xfId="0" applyFont="1" applyBorder="1" applyAlignment="1">
      <alignment horizontal="centerContinuous" vertical="center"/>
    </xf>
    <xf numFmtId="0" fontId="63" fillId="0" borderId="24" xfId="0" applyFont="1" applyBorder="1" applyAlignment="1">
      <alignment horizontal="centerContinuous" vertical="center"/>
    </xf>
    <xf numFmtId="0" fontId="5" fillId="0" borderId="55" xfId="0" applyFont="1" applyBorder="1" applyAlignment="1">
      <alignment horizontal="centerContinuous" vertical="center" wrapText="1"/>
    </xf>
    <xf numFmtId="0" fontId="9" fillId="0" borderId="55" xfId="0" applyFont="1" applyBorder="1" applyAlignment="1">
      <alignment horizontal="centerContinuous" vertical="center" wrapText="1"/>
    </xf>
    <xf numFmtId="0" fontId="5" fillId="0" borderId="56" xfId="0" applyFont="1" applyBorder="1" applyAlignment="1">
      <alignment horizontal="centerContinuous" vertical="center" wrapText="1"/>
    </xf>
    <xf numFmtId="0" fontId="21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3" fontId="3" fillId="0" borderId="63" xfId="0" applyNumberFormat="1" applyFont="1" applyBorder="1" applyAlignment="1">
      <alignment vertical="center"/>
    </xf>
    <xf numFmtId="3" fontId="3" fillId="0" borderId="64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55" xfId="0" applyFont="1" applyBorder="1" applyAlignment="1">
      <alignment vertical="center" wrapText="1"/>
    </xf>
    <xf numFmtId="0" fontId="54" fillId="0" borderId="9" xfId="0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3" fontId="6" fillId="0" borderId="34" xfId="0" applyNumberFormat="1" applyFont="1" applyBorder="1" applyAlignment="1">
      <alignment vertical="center"/>
    </xf>
    <xf numFmtId="0" fontId="72" fillId="0" borderId="0" xfId="0" applyFont="1" applyAlignment="1">
      <alignment horizontal="centerContinuous" vertical="center"/>
    </xf>
    <xf numFmtId="0" fontId="6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4" fillId="0" borderId="145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3" fontId="3" fillId="0" borderId="70" xfId="0" applyNumberFormat="1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3" fontId="3" fillId="0" borderId="124" xfId="0" applyNumberFormat="1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145" xfId="0" applyFont="1" applyBorder="1" applyAlignment="1">
      <alignment horizontal="center" vertical="center"/>
    </xf>
    <xf numFmtId="0" fontId="3" fillId="0" borderId="142" xfId="0" applyFont="1" applyBorder="1" applyAlignment="1">
      <alignment vertical="center" wrapText="1"/>
    </xf>
    <xf numFmtId="3" fontId="3" fillId="0" borderId="146" xfId="0" applyNumberFormat="1" applyFont="1" applyBorder="1" applyAlignment="1">
      <alignment vertical="center"/>
    </xf>
    <xf numFmtId="0" fontId="6" fillId="0" borderId="35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4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4" fontId="3" fillId="0" borderId="59" xfId="21" applyNumberFormat="1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5" fillId="0" borderId="0" xfId="0" applyFont="1" applyFill="1" applyAlignment="1">
      <alignment horizontal="right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6" fillId="0" borderId="95" xfId="0" applyFont="1" applyFill="1" applyBorder="1" applyAlignment="1">
      <alignment horizontal="center" vertical="center" wrapText="1"/>
    </xf>
    <xf numFmtId="0" fontId="0" fillId="0" borderId="13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66" fillId="0" borderId="91" xfId="0" applyFont="1" applyFill="1" applyBorder="1" applyAlignment="1">
      <alignment horizontal="center" vertical="center"/>
    </xf>
    <xf numFmtId="164" fontId="66" fillId="0" borderId="91" xfId="0" applyNumberFormat="1" applyFont="1" applyFill="1" applyBorder="1" applyAlignment="1">
      <alignment horizontal="center"/>
    </xf>
    <xf numFmtId="164" fontId="66" fillId="0" borderId="91" xfId="0" applyNumberFormat="1" applyFont="1" applyFill="1" applyBorder="1" applyAlignment="1">
      <alignment horizontal="centerContinuous"/>
    </xf>
    <xf numFmtId="164" fontId="66" fillId="0" borderId="54" xfId="0" applyNumberFormat="1" applyFont="1" applyFill="1" applyBorder="1" applyAlignment="1">
      <alignment horizontal="centerContinuous"/>
    </xf>
    <xf numFmtId="164" fontId="66" fillId="0" borderId="55" xfId="0" applyNumberFormat="1" applyFont="1" applyFill="1" applyBorder="1" applyAlignment="1">
      <alignment vertical="center"/>
    </xf>
    <xf numFmtId="164" fontId="66" fillId="0" borderId="56" xfId="0" applyNumberFormat="1" applyFont="1" applyFill="1" applyBorder="1" applyAlignment="1">
      <alignment vertical="center"/>
    </xf>
    <xf numFmtId="164" fontId="66" fillId="0" borderId="53" xfId="0" applyNumberFormat="1" applyFont="1" applyFill="1" applyBorder="1" applyAlignment="1">
      <alignment vertical="center"/>
    </xf>
    <xf numFmtId="164" fontId="66" fillId="0" borderId="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55" fillId="0" borderId="67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vertical="center" wrapText="1"/>
    </xf>
    <xf numFmtId="0" fontId="55" fillId="0" borderId="55" xfId="0" applyNumberFormat="1" applyFont="1" applyFill="1" applyBorder="1" applyAlignment="1">
      <alignment horizontal="center" vertical="center"/>
    </xf>
    <xf numFmtId="164" fontId="55" fillId="0" borderId="55" xfId="0" applyNumberFormat="1" applyFont="1" applyFill="1" applyBorder="1" applyAlignment="1">
      <alignment horizontal="right" vertical="center"/>
    </xf>
    <xf numFmtId="164" fontId="55" fillId="0" borderId="55" xfId="0" applyNumberFormat="1" applyFont="1" applyFill="1" applyBorder="1" applyAlignment="1">
      <alignment vertical="center"/>
    </xf>
    <xf numFmtId="164" fontId="55" fillId="0" borderId="56" xfId="0" applyNumberFormat="1" applyFont="1" applyFill="1" applyBorder="1" applyAlignment="1">
      <alignment vertical="center"/>
    </xf>
    <xf numFmtId="164" fontId="55" fillId="0" borderId="53" xfId="0" applyNumberFormat="1" applyFont="1" applyFill="1" applyBorder="1" applyAlignment="1">
      <alignment vertical="center"/>
    </xf>
    <xf numFmtId="164" fontId="5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5" fillId="0" borderId="91" xfId="0" applyFont="1" applyFill="1" applyBorder="1" applyAlignment="1">
      <alignment horizontal="center" vertical="center"/>
    </xf>
    <xf numFmtId="164" fontId="55" fillId="0" borderId="55" xfId="21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Fill="1" applyAlignment="1">
      <alignment vertical="center"/>
    </xf>
    <xf numFmtId="0" fontId="55" fillId="0" borderId="57" xfId="0" applyNumberFormat="1" applyFont="1" applyFill="1" applyBorder="1" applyAlignment="1">
      <alignment horizontal="center" vertical="center"/>
    </xf>
    <xf numFmtId="49" fontId="55" fillId="0" borderId="55" xfId="0" applyNumberFormat="1" applyFont="1" applyFill="1" applyBorder="1" applyAlignment="1">
      <alignment horizontal="center" vertical="center"/>
    </xf>
    <xf numFmtId="164" fontId="55" fillId="0" borderId="56" xfId="0" applyNumberFormat="1" applyFont="1" applyFill="1" applyBorder="1" applyAlignment="1">
      <alignment horizontal="right" vertical="center"/>
    </xf>
    <xf numFmtId="164" fontId="55" fillId="0" borderId="53" xfId="0" applyNumberFormat="1" applyFont="1" applyFill="1" applyBorder="1" applyAlignment="1">
      <alignment horizontal="right" vertical="center"/>
    </xf>
    <xf numFmtId="164" fontId="55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55" fillId="0" borderId="55" xfId="0" applyFont="1" applyFill="1" applyBorder="1" applyAlignment="1">
      <alignment vertical="center"/>
    </xf>
    <xf numFmtId="0" fontId="55" fillId="0" borderId="55" xfId="0" applyNumberFormat="1" applyFont="1" applyFill="1" applyBorder="1" applyAlignment="1">
      <alignment horizontal="center" vertical="center"/>
    </xf>
    <xf numFmtId="1" fontId="55" fillId="0" borderId="55" xfId="0" applyNumberFormat="1" applyFont="1" applyFill="1" applyBorder="1" applyAlignment="1">
      <alignment horizontal="center" vertical="center"/>
    </xf>
    <xf numFmtId="1" fontId="55" fillId="0" borderId="9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65" fillId="0" borderId="0" xfId="0" applyFont="1" applyFill="1" applyAlignment="1">
      <alignment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left" vertical="center" wrapText="1"/>
    </xf>
    <xf numFmtId="0" fontId="55" fillId="0" borderId="55" xfId="0" applyFont="1" applyFill="1" applyBorder="1" applyAlignment="1">
      <alignment vertical="center"/>
    </xf>
    <xf numFmtId="164" fontId="55" fillId="0" borderId="55" xfId="0" applyNumberFormat="1" applyFont="1" applyFill="1" applyBorder="1" applyAlignment="1">
      <alignment horizontal="right" vertical="center"/>
    </xf>
    <xf numFmtId="164" fontId="55" fillId="0" borderId="55" xfId="0" applyNumberFormat="1" applyFont="1" applyFill="1" applyBorder="1" applyAlignment="1">
      <alignment vertical="center"/>
    </xf>
    <xf numFmtId="164" fontId="55" fillId="0" borderId="56" xfId="0" applyNumberFormat="1" applyFont="1" applyFill="1" applyBorder="1" applyAlignment="1">
      <alignment vertical="center"/>
    </xf>
    <xf numFmtId="164" fontId="55" fillId="0" borderId="53" xfId="0" applyNumberFormat="1" applyFont="1" applyFill="1" applyBorder="1" applyAlignment="1">
      <alignment vertical="center"/>
    </xf>
    <xf numFmtId="164" fontId="55" fillId="0" borderId="19" xfId="0" applyNumberFormat="1" applyFont="1" applyFill="1" applyBorder="1" applyAlignment="1">
      <alignment vertical="center"/>
    </xf>
    <xf numFmtId="164" fontId="55" fillId="0" borderId="25" xfId="0" applyNumberFormat="1" applyFont="1" applyFill="1" applyBorder="1" applyAlignment="1">
      <alignment vertical="center"/>
    </xf>
    <xf numFmtId="0" fontId="55" fillId="0" borderId="55" xfId="0" applyFont="1" applyBorder="1" applyAlignment="1">
      <alignment vertical="center"/>
    </xf>
    <xf numFmtId="0" fontId="55" fillId="0" borderId="55" xfId="0" applyFont="1" applyBorder="1" applyAlignment="1">
      <alignment horizontal="center" vertical="center"/>
    </xf>
    <xf numFmtId="0" fontId="55" fillId="0" borderId="55" xfId="0" applyNumberFormat="1" applyFont="1" applyBorder="1" applyAlignment="1">
      <alignment horizontal="center" vertical="center"/>
    </xf>
    <xf numFmtId="164" fontId="55" fillId="0" borderId="55" xfId="0" applyNumberFormat="1" applyFont="1" applyBorder="1" applyAlignment="1">
      <alignment horizontal="right" vertical="center"/>
    </xf>
    <xf numFmtId="164" fontId="55" fillId="0" borderId="55" xfId="0" applyNumberFormat="1" applyFont="1" applyBorder="1" applyAlignment="1">
      <alignment vertical="center"/>
    </xf>
    <xf numFmtId="164" fontId="55" fillId="0" borderId="56" xfId="0" applyNumberFormat="1" applyFont="1" applyBorder="1" applyAlignment="1">
      <alignment vertical="center"/>
    </xf>
    <xf numFmtId="166" fontId="55" fillId="0" borderId="56" xfId="0" applyNumberFormat="1" applyFont="1" applyFill="1" applyBorder="1" applyAlignment="1">
      <alignment vertical="center"/>
    </xf>
    <xf numFmtId="166" fontId="55" fillId="0" borderId="0" xfId="0" applyNumberFormat="1" applyFont="1" applyFill="1" applyBorder="1" applyAlignment="1">
      <alignment vertical="center"/>
    </xf>
    <xf numFmtId="0" fontId="55" fillId="0" borderId="5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5" fillId="0" borderId="6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vertical="center" wrapText="1"/>
    </xf>
    <xf numFmtId="0" fontId="55" fillId="0" borderId="63" xfId="0" applyNumberFormat="1" applyFont="1" applyFill="1" applyBorder="1" applyAlignment="1">
      <alignment horizontal="center" vertical="center"/>
    </xf>
    <xf numFmtId="0" fontId="55" fillId="0" borderId="63" xfId="0" applyNumberFormat="1" applyFont="1" applyFill="1" applyBorder="1" applyAlignment="1">
      <alignment horizontal="center" vertical="center"/>
    </xf>
    <xf numFmtId="164" fontId="55" fillId="0" borderId="63" xfId="0" applyNumberFormat="1" applyFont="1" applyFill="1" applyBorder="1" applyAlignment="1">
      <alignment horizontal="right" vertical="center"/>
    </xf>
    <xf numFmtId="164" fontId="55" fillId="0" borderId="63" xfId="0" applyNumberFormat="1" applyFont="1" applyFill="1" applyBorder="1" applyAlignment="1">
      <alignment vertical="center"/>
    </xf>
    <xf numFmtId="164" fontId="55" fillId="0" borderId="64" xfId="0" applyNumberFormat="1" applyFont="1" applyFill="1" applyBorder="1" applyAlignment="1">
      <alignment vertical="center"/>
    </xf>
    <xf numFmtId="164" fontId="55" fillId="0" borderId="19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2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55" fillId="0" borderId="55" xfId="0" applyNumberFormat="1" applyFont="1" applyFill="1" applyBorder="1" applyAlignment="1">
      <alignment horizontal="center" vertical="center" wrapText="1"/>
    </xf>
    <xf numFmtId="164" fontId="55" fillId="0" borderId="64" xfId="0" applyNumberFormat="1" applyFont="1" applyFill="1" applyBorder="1" applyAlignment="1">
      <alignment vertical="center"/>
    </xf>
    <xf numFmtId="164" fontId="55" fillId="0" borderId="61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164" fontId="55" fillId="0" borderId="25" xfId="0" applyNumberFormat="1" applyFont="1" applyFill="1" applyBorder="1" applyAlignment="1">
      <alignment vertical="center"/>
    </xf>
    <xf numFmtId="164" fontId="55" fillId="0" borderId="38" xfId="0" applyNumberFormat="1" applyFont="1" applyFill="1" applyBorder="1" applyAlignment="1">
      <alignment vertical="center"/>
    </xf>
    <xf numFmtId="164" fontId="55" fillId="0" borderId="52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horizontal="center" vertical="center"/>
    </xf>
    <xf numFmtId="0" fontId="66" fillId="0" borderId="91" xfId="0" applyNumberFormat="1" applyFont="1" applyFill="1" applyBorder="1" applyAlignment="1">
      <alignment horizontal="center" vertical="center"/>
    </xf>
    <xf numFmtId="164" fontId="66" fillId="0" borderId="91" xfId="0" applyNumberFormat="1" applyFont="1" applyFill="1" applyBorder="1" applyAlignment="1">
      <alignment horizontal="centerContinuous" vertical="center"/>
    </xf>
    <xf numFmtId="164" fontId="66" fillId="0" borderId="55" xfId="0" applyNumberFormat="1" applyFont="1" applyFill="1" applyBorder="1" applyAlignment="1">
      <alignment vertical="center"/>
    </xf>
    <xf numFmtId="164" fontId="66" fillId="0" borderId="56" xfId="0" applyNumberFormat="1" applyFont="1" applyFill="1" applyBorder="1" applyAlignment="1">
      <alignment vertical="center"/>
    </xf>
    <xf numFmtId="164" fontId="66" fillId="0" borderId="53" xfId="0" applyNumberFormat="1" applyFont="1" applyFill="1" applyBorder="1" applyAlignment="1">
      <alignment vertical="center"/>
    </xf>
    <xf numFmtId="164" fontId="66" fillId="0" borderId="0" xfId="0" applyNumberFormat="1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2" fillId="0" borderId="6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66" fillId="0" borderId="57" xfId="0" applyFont="1" applyFill="1" applyBorder="1" applyAlignment="1">
      <alignment horizontal="center" vertical="center"/>
    </xf>
    <xf numFmtId="164" fontId="66" fillId="0" borderId="19" xfId="0" applyNumberFormat="1" applyFont="1" applyFill="1" applyBorder="1" applyAlignment="1">
      <alignment vertical="center"/>
    </xf>
    <xf numFmtId="164" fontId="66" fillId="0" borderId="25" xfId="0" applyNumberFormat="1" applyFont="1" applyFill="1" applyBorder="1" applyAlignment="1">
      <alignment vertical="center"/>
    </xf>
    <xf numFmtId="164" fontId="73" fillId="0" borderId="0" xfId="0" applyNumberFormat="1" applyFont="1" applyFill="1" applyAlignment="1">
      <alignment vertical="center"/>
    </xf>
    <xf numFmtId="164" fontId="66" fillId="0" borderId="0" xfId="0" applyNumberFormat="1" applyFont="1" applyFill="1" applyAlignment="1">
      <alignment/>
    </xf>
    <xf numFmtId="0" fontId="55" fillId="0" borderId="0" xfId="0" applyFont="1" applyFill="1" applyAlignment="1">
      <alignment vertical="center" wrapText="1"/>
    </xf>
    <xf numFmtId="0" fontId="55" fillId="0" borderId="54" xfId="0" applyFont="1" applyFill="1" applyBorder="1" applyAlignment="1">
      <alignment horizontal="center" vertical="center"/>
    </xf>
    <xf numFmtId="164" fontId="55" fillId="0" borderId="91" xfId="0" applyNumberFormat="1" applyFont="1" applyFill="1" applyBorder="1" applyAlignment="1">
      <alignment horizontal="right" vertical="center"/>
    </xf>
    <xf numFmtId="0" fontId="8" fillId="0" borderId="67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/>
    </xf>
    <xf numFmtId="0" fontId="7" fillId="0" borderId="9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left" vertical="center"/>
    </xf>
    <xf numFmtId="164" fontId="6" fillId="0" borderId="91" xfId="0" applyNumberFormat="1" applyFont="1" applyFill="1" applyBorder="1" applyAlignment="1">
      <alignment horizontal="center" vertical="center"/>
    </xf>
    <xf numFmtId="164" fontId="6" fillId="0" borderId="91" xfId="0" applyNumberFormat="1" applyFont="1" applyFill="1" applyBorder="1" applyAlignment="1">
      <alignment horizontal="right" vertical="center"/>
    </xf>
    <xf numFmtId="164" fontId="6" fillId="0" borderId="55" xfId="0" applyNumberFormat="1" applyFont="1" applyFill="1" applyBorder="1" applyAlignment="1">
      <alignment vertical="center"/>
    </xf>
    <xf numFmtId="164" fontId="6" fillId="0" borderId="56" xfId="0" applyNumberFormat="1" applyFont="1" applyFill="1" applyBorder="1" applyAlignment="1">
      <alignment vertical="center"/>
    </xf>
    <xf numFmtId="164" fontId="6" fillId="0" borderId="7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66" fillId="0" borderId="95" xfId="0" applyFont="1" applyFill="1" applyBorder="1" applyAlignment="1">
      <alignment horizontal="center" vertical="center" wrapText="1"/>
    </xf>
    <xf numFmtId="0" fontId="66" fillId="0" borderId="95" xfId="0" applyFont="1" applyFill="1" applyBorder="1" applyAlignment="1">
      <alignment horizontal="center" vertical="center"/>
    </xf>
    <xf numFmtId="0" fontId="66" fillId="0" borderId="95" xfId="0" applyNumberFormat="1" applyFont="1" applyFill="1" applyBorder="1" applyAlignment="1">
      <alignment horizontal="center" vertical="center"/>
    </xf>
    <xf numFmtId="164" fontId="66" fillId="0" borderId="95" xfId="0" applyNumberFormat="1" applyFont="1" applyFill="1" applyBorder="1" applyAlignment="1">
      <alignment horizontal="centerContinuous" vertical="center"/>
    </xf>
    <xf numFmtId="164" fontId="66" fillId="0" borderId="40" xfId="0" applyNumberFormat="1" applyFont="1" applyFill="1" applyBorder="1" applyAlignment="1">
      <alignment vertical="center"/>
    </xf>
    <xf numFmtId="164" fontId="55" fillId="0" borderId="0" xfId="0" applyNumberFormat="1" applyFont="1" applyFill="1" applyAlignment="1">
      <alignment vertical="center"/>
    </xf>
    <xf numFmtId="49" fontId="55" fillId="0" borderId="91" xfId="0" applyNumberFormat="1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9" xfId="0" applyNumberFormat="1" applyFont="1" applyFill="1" applyBorder="1" applyAlignment="1">
      <alignment horizontal="center" vertical="center"/>
    </xf>
    <xf numFmtId="0" fontId="55" fillId="0" borderId="59" xfId="0" applyNumberFormat="1" applyFont="1" applyFill="1" applyBorder="1" applyAlignment="1">
      <alignment horizontal="center" vertical="center"/>
    </xf>
    <xf numFmtId="164" fontId="55" fillId="0" borderId="59" xfId="0" applyNumberFormat="1" applyFont="1" applyFill="1" applyBorder="1" applyAlignment="1">
      <alignment horizontal="right" vertical="center"/>
    </xf>
    <xf numFmtId="164" fontId="55" fillId="0" borderId="59" xfId="0" applyNumberFormat="1" applyFont="1" applyFill="1" applyBorder="1" applyAlignment="1">
      <alignment vertical="center"/>
    </xf>
    <xf numFmtId="166" fontId="55" fillId="0" borderId="25" xfId="0" applyNumberFormat="1" applyFont="1" applyFill="1" applyBorder="1" applyAlignment="1">
      <alignment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right" vertical="center"/>
    </xf>
    <xf numFmtId="164" fontId="6" fillId="0" borderId="3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left" vertical="center"/>
    </xf>
    <xf numFmtId="3" fontId="55" fillId="0" borderId="0" xfId="0" applyNumberFormat="1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7" fillId="0" borderId="0" xfId="0" applyFont="1" applyAlignment="1">
      <alignment horizontal="centerContinuous" vertical="center" wrapText="1"/>
    </xf>
    <xf numFmtId="0" fontId="4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55" fillId="0" borderId="0" xfId="0" applyFont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4" fillId="0" borderId="140" xfId="0" applyFont="1" applyBorder="1" applyAlignment="1">
      <alignment wrapText="1"/>
    </xf>
    <xf numFmtId="0" fontId="12" fillId="0" borderId="63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75" fillId="0" borderId="124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0" fontId="10" fillId="0" borderId="1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9" fillId="0" borderId="35" xfId="0" applyNumberFormat="1" applyFont="1" applyBorder="1" applyAlignment="1">
      <alignment horizontal="right" vertical="center"/>
    </xf>
    <xf numFmtId="164" fontId="33" fillId="0" borderId="124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164" fontId="36" fillId="0" borderId="124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right" vertical="center"/>
    </xf>
    <xf numFmtId="3" fontId="2" fillId="0" borderId="56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 wrapText="1"/>
    </xf>
    <xf numFmtId="3" fontId="2" fillId="0" borderId="14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1" fontId="76" fillId="0" borderId="35" xfId="0" applyNumberFormat="1" applyFont="1" applyFill="1" applyBorder="1" applyAlignment="1" applyProtection="1">
      <alignment horizontal="centerContinuous" vertical="center"/>
      <protection locked="0"/>
    </xf>
    <xf numFmtId="164" fontId="33" fillId="0" borderId="8" xfId="21" applyNumberFormat="1" applyFont="1" applyFill="1" applyBorder="1" applyAlignment="1" applyProtection="1">
      <alignment vertical="center" wrapText="1"/>
      <protection locked="0"/>
    </xf>
    <xf numFmtId="3" fontId="9" fillId="0" borderId="35" xfId="0" applyNumberFormat="1" applyFont="1" applyBorder="1" applyAlignment="1">
      <alignment horizontal="center" vertical="center"/>
    </xf>
    <xf numFmtId="164" fontId="24" fillId="0" borderId="124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6" fillId="0" borderId="63" xfId="0" applyNumberFormat="1" applyFont="1" applyFill="1" applyBorder="1" applyAlignment="1" applyProtection="1">
      <alignment horizontal="centerContinuous" vertical="center"/>
      <protection locked="0"/>
    </xf>
    <xf numFmtId="0" fontId="36" fillId="0" borderId="63" xfId="0" applyNumberFormat="1" applyFont="1" applyFill="1" applyBorder="1" applyAlignment="1" applyProtection="1">
      <alignment vertical="center" wrapText="1"/>
      <protection locked="0"/>
    </xf>
    <xf numFmtId="0" fontId="3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6" fillId="0" borderId="55" xfId="0" applyNumberFormat="1" applyFont="1" applyFill="1" applyBorder="1" applyAlignment="1" applyProtection="1">
      <alignment horizontal="centerContinuous" vertical="center"/>
      <protection locked="0"/>
    </xf>
    <xf numFmtId="0" fontId="36" fillId="0" borderId="55" xfId="0" applyNumberFormat="1" applyFont="1" applyFill="1" applyBorder="1" applyAlignment="1" applyProtection="1">
      <alignment vertical="center" wrapText="1"/>
      <protection locked="0"/>
    </xf>
    <xf numFmtId="0" fontId="3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49" fontId="36" fillId="0" borderId="55" xfId="0" applyNumberFormat="1" applyFont="1" applyFill="1" applyBorder="1" applyAlignment="1" applyProtection="1">
      <alignment horizontal="center" vertical="center"/>
      <protection locked="0"/>
    </xf>
    <xf numFmtId="164" fontId="36" fillId="0" borderId="55" xfId="21" applyNumberFormat="1" applyFont="1" applyFill="1" applyBorder="1" applyAlignment="1" applyProtection="1">
      <alignment vertical="center" wrapText="1"/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164" fontId="22" fillId="0" borderId="12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49" fontId="36" fillId="0" borderId="40" xfId="0" applyNumberFormat="1" applyFont="1" applyFill="1" applyBorder="1" applyAlignment="1" applyProtection="1">
      <alignment horizontal="center" vertical="center"/>
      <protection locked="0"/>
    </xf>
    <xf numFmtId="3" fontId="36" fillId="0" borderId="40" xfId="0" applyNumberFormat="1" applyFont="1" applyFill="1" applyBorder="1" applyAlignment="1" applyProtection="1">
      <alignment vertical="center" wrapText="1"/>
      <protection locked="0"/>
    </xf>
    <xf numFmtId="3" fontId="36" fillId="0" borderId="55" xfId="0" applyNumberFormat="1" applyFont="1" applyFill="1" applyBorder="1" applyAlignment="1" applyProtection="1">
      <alignment vertical="center" wrapText="1"/>
      <protection locked="0"/>
    </xf>
    <xf numFmtId="0" fontId="3" fillId="0" borderId="5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/>
    </xf>
    <xf numFmtId="3" fontId="2" fillId="0" borderId="64" xfId="0" applyNumberFormat="1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12" xfId="0" applyFont="1" applyBorder="1" applyAlignment="1">
      <alignment vertical="center" wrapText="1"/>
    </xf>
    <xf numFmtId="0" fontId="36" fillId="0" borderId="35" xfId="0" applyFont="1" applyBorder="1" applyAlignment="1">
      <alignment horizontal="center" vertical="center"/>
    </xf>
    <xf numFmtId="3" fontId="33" fillId="0" borderId="35" xfId="0" applyNumberFormat="1" applyFont="1" applyBorder="1" applyAlignment="1">
      <alignment vertical="center"/>
    </xf>
    <xf numFmtId="3" fontId="33" fillId="0" borderId="13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0" fontId="24" fillId="0" borderId="59" xfId="0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3" fontId="3" fillId="0" borderId="0" xfId="0" applyNumberFormat="1" applyFont="1" applyAlignment="1">
      <alignment/>
    </xf>
    <xf numFmtId="1" fontId="41" fillId="0" borderId="9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1" fontId="41" fillId="0" borderId="35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1" fontId="41" fillId="0" borderId="8" xfId="0" applyNumberFormat="1" applyFont="1" applyBorder="1" applyAlignment="1">
      <alignment horizontal="center" vertical="center" wrapText="1"/>
    </xf>
    <xf numFmtId="3" fontId="41" fillId="0" borderId="13" xfId="0" applyNumberFormat="1" applyFont="1" applyBorder="1" applyAlignment="1">
      <alignment horizontal="center" vertical="center" wrapText="1"/>
    </xf>
    <xf numFmtId="1" fontId="41" fillId="0" borderId="36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vertical="center"/>
    </xf>
    <xf numFmtId="165" fontId="29" fillId="0" borderId="0" xfId="0" applyNumberFormat="1" applyFont="1" applyBorder="1" applyAlignment="1">
      <alignment vertical="center"/>
    </xf>
    <xf numFmtId="165" fontId="29" fillId="0" borderId="19" xfId="0" applyNumberFormat="1" applyFont="1" applyBorder="1" applyAlignment="1">
      <alignment horizontal="center" vertical="center" wrapText="1"/>
    </xf>
    <xf numFmtId="165" fontId="45" fillId="0" borderId="59" xfId="0" applyNumberFormat="1" applyFont="1" applyBorder="1" applyAlignment="1">
      <alignment horizontal="right" vertical="center" wrapText="1"/>
    </xf>
    <xf numFmtId="165" fontId="41" fillId="0" borderId="25" xfId="0" applyNumberFormat="1" applyFont="1" applyBorder="1" applyAlignment="1">
      <alignment horizontal="right" vertical="center" wrapText="1"/>
    </xf>
    <xf numFmtId="165" fontId="45" fillId="0" borderId="25" xfId="0" applyNumberFormat="1" applyFont="1" applyBorder="1" applyAlignment="1">
      <alignment horizontal="right" vertical="center" wrapText="1"/>
    </xf>
    <xf numFmtId="165" fontId="45" fillId="0" borderId="20" xfId="0" applyNumberFormat="1" applyFont="1" applyBorder="1" applyAlignment="1">
      <alignment horizontal="right" vertical="center" wrapText="1"/>
    </xf>
    <xf numFmtId="165" fontId="41" fillId="0" borderId="24" xfId="0" applyNumberFormat="1" applyFont="1" applyBorder="1" applyAlignment="1">
      <alignment horizontal="right" vertical="center" wrapText="1"/>
    </xf>
    <xf numFmtId="165" fontId="27" fillId="0" borderId="105" xfId="0" applyNumberFormat="1" applyFont="1" applyBorder="1" applyAlignment="1">
      <alignment vertical="center" wrapText="1"/>
    </xf>
    <xf numFmtId="165" fontId="29" fillId="0" borderId="0" xfId="0" applyNumberFormat="1" applyFont="1" applyAlignment="1">
      <alignment vertical="center"/>
    </xf>
    <xf numFmtId="0" fontId="28" fillId="0" borderId="42" xfId="0" applyFont="1" applyBorder="1" applyAlignment="1">
      <alignment vertical="center" wrapText="1"/>
    </xf>
    <xf numFmtId="0" fontId="28" fillId="0" borderId="56" xfId="0" applyFont="1" applyBorder="1" applyAlignment="1">
      <alignment vertical="center" wrapText="1"/>
    </xf>
    <xf numFmtId="0" fontId="28" fillId="0" borderId="64" xfId="0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5" fontId="45" fillId="0" borderId="59" xfId="0" applyNumberFormat="1" applyFont="1" applyBorder="1" applyAlignment="1">
      <alignment horizontal="center" vertical="center" wrapText="1"/>
    </xf>
    <xf numFmtId="165" fontId="41" fillId="0" borderId="25" xfId="0" applyNumberFormat="1" applyFont="1" applyBorder="1" applyAlignment="1">
      <alignment horizontal="center" vertical="center" wrapText="1"/>
    </xf>
    <xf numFmtId="164" fontId="45" fillId="0" borderId="25" xfId="0" applyNumberFormat="1" applyFont="1" applyBorder="1" applyAlignment="1">
      <alignment vertical="center" wrapText="1"/>
    </xf>
    <xf numFmtId="164" fontId="45" fillId="0" borderId="20" xfId="0" applyNumberFormat="1" applyFont="1" applyBorder="1" applyAlignment="1">
      <alignment vertical="center" wrapText="1"/>
    </xf>
    <xf numFmtId="164" fontId="41" fillId="0" borderId="24" xfId="0" applyNumberFormat="1" applyFont="1" applyBorder="1" applyAlignment="1">
      <alignment vertical="center" wrapText="1"/>
    </xf>
    <xf numFmtId="3" fontId="41" fillId="0" borderId="59" xfId="0" applyNumberFormat="1" applyFont="1" applyBorder="1" applyAlignment="1">
      <alignment horizontal="right" vertical="center" wrapText="1"/>
    </xf>
    <xf numFmtId="164" fontId="45" fillId="0" borderId="60" xfId="0" applyNumberFormat="1" applyFont="1" applyBorder="1" applyAlignment="1">
      <alignment horizontal="center" vertical="center" wrapText="1"/>
    </xf>
    <xf numFmtId="165" fontId="29" fillId="0" borderId="38" xfId="0" applyNumberFormat="1" applyFont="1" applyBorder="1" applyAlignment="1">
      <alignment vertical="center" wrapText="1"/>
    </xf>
    <xf numFmtId="165" fontId="45" fillId="0" borderId="40" xfId="0" applyNumberFormat="1" applyFont="1" applyBorder="1" applyAlignment="1">
      <alignment horizontal="center" vertical="center" wrapText="1"/>
    </xf>
    <xf numFmtId="165" fontId="41" fillId="0" borderId="41" xfId="0" applyNumberFormat="1" applyFont="1" applyBorder="1" applyAlignment="1">
      <alignment horizontal="center" vertical="center" wrapText="1"/>
    </xf>
    <xf numFmtId="164" fontId="45" fillId="0" borderId="38" xfId="0" applyNumberFormat="1" applyFont="1" applyBorder="1" applyAlignment="1">
      <alignment vertical="center" wrapText="1"/>
    </xf>
    <xf numFmtId="164" fontId="45" fillId="0" borderId="41" xfId="0" applyNumberFormat="1" applyFont="1" applyBorder="1" applyAlignment="1">
      <alignment vertical="center" wrapText="1"/>
    </xf>
    <xf numFmtId="164" fontId="41" fillId="0" borderId="43" xfId="0" applyNumberFormat="1" applyFont="1" applyBorder="1" applyAlignment="1">
      <alignment vertical="center" wrapText="1"/>
    </xf>
    <xf numFmtId="3" fontId="41" fillId="0" borderId="40" xfId="0" applyNumberFormat="1" applyFont="1" applyBorder="1" applyAlignment="1">
      <alignment horizontal="right" vertical="center" wrapText="1"/>
    </xf>
    <xf numFmtId="164" fontId="45" fillId="0" borderId="44" xfId="0" applyNumberFormat="1" applyFont="1" applyBorder="1" applyAlignment="1">
      <alignment horizontal="center" vertical="center" wrapText="1"/>
    </xf>
    <xf numFmtId="0" fontId="79" fillId="0" borderId="56" xfId="0" applyFont="1" applyBorder="1" applyAlignment="1">
      <alignment vertical="center" wrapText="1"/>
    </xf>
    <xf numFmtId="164" fontId="28" fillId="0" borderId="38" xfId="0" applyNumberFormat="1" applyFont="1" applyBorder="1" applyAlignment="1">
      <alignment horizontal="center" vertical="center" wrapText="1"/>
    </xf>
    <xf numFmtId="165" fontId="28" fillId="0" borderId="64" xfId="0" applyNumberFormat="1" applyFont="1" applyBorder="1" applyAlignment="1">
      <alignment vertical="center" wrapText="1"/>
    </xf>
    <xf numFmtId="165" fontId="39" fillId="0" borderId="19" xfId="0" applyNumberFormat="1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vertical="center" wrapText="1"/>
    </xf>
    <xf numFmtId="165" fontId="40" fillId="0" borderId="59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65" fontId="40" fillId="0" borderId="25" xfId="0" applyNumberFormat="1" applyFont="1" applyBorder="1" applyAlignment="1">
      <alignment horizontal="center" vertical="center" wrapText="1"/>
    </xf>
    <xf numFmtId="165" fontId="40" fillId="0" borderId="20" xfId="0" applyNumberFormat="1" applyFont="1" applyBorder="1" applyAlignment="1">
      <alignment horizontal="center" vertical="center" wrapText="1"/>
    </xf>
    <xf numFmtId="164" fontId="28" fillId="0" borderId="31" xfId="0" applyNumberFormat="1" applyFont="1" applyBorder="1" applyAlignment="1">
      <alignment horizontal="center" vertical="center" wrapText="1"/>
    </xf>
    <xf numFmtId="165" fontId="39" fillId="0" borderId="24" xfId="0" applyNumberFormat="1" applyFont="1" applyBorder="1" applyAlignment="1">
      <alignment horizontal="center" vertical="center" wrapText="1"/>
    </xf>
    <xf numFmtId="164" fontId="40" fillId="0" borderId="60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3" fontId="29" fillId="0" borderId="59" xfId="0" applyNumberFormat="1" applyFont="1" applyBorder="1" applyAlignment="1">
      <alignment vertical="center" wrapText="1"/>
    </xf>
    <xf numFmtId="3" fontId="29" fillId="0" borderId="30" xfId="0" applyNumberFormat="1" applyFont="1" applyBorder="1" applyAlignment="1">
      <alignment vertical="center" wrapText="1"/>
    </xf>
    <xf numFmtId="164" fontId="27" fillId="0" borderId="69" xfId="0" applyNumberFormat="1" applyFont="1" applyBorder="1" applyAlignment="1">
      <alignment vertical="center" wrapText="1"/>
    </xf>
    <xf numFmtId="164" fontId="27" fillId="0" borderId="27" xfId="0" applyNumberFormat="1" applyFont="1" applyBorder="1" applyAlignment="1">
      <alignment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165" fontId="28" fillId="0" borderId="59" xfId="0" applyNumberFormat="1" applyFont="1" applyBorder="1" applyAlignment="1">
      <alignment vertical="center" wrapText="1"/>
    </xf>
    <xf numFmtId="165" fontId="28" fillId="0" borderId="25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165" fontId="29" fillId="0" borderId="20" xfId="0" applyNumberFormat="1" applyFont="1" applyBorder="1" applyAlignment="1">
      <alignment vertical="center" wrapText="1"/>
    </xf>
    <xf numFmtId="165" fontId="29" fillId="0" borderId="141" xfId="0" applyNumberFormat="1" applyFont="1" applyBorder="1" applyAlignment="1">
      <alignment vertical="center" wrapText="1"/>
    </xf>
    <xf numFmtId="165" fontId="29" fillId="0" borderId="31" xfId="0" applyNumberFormat="1" applyFont="1" applyBorder="1" applyAlignment="1">
      <alignment vertical="center" wrapText="1"/>
    </xf>
    <xf numFmtId="164" fontId="29" fillId="0" borderId="30" xfId="0" applyNumberFormat="1" applyFont="1" applyBorder="1" applyAlignment="1">
      <alignment horizontal="right" vertical="center" wrapText="1"/>
    </xf>
    <xf numFmtId="165" fontId="29" fillId="0" borderId="27" xfId="0" applyNumberFormat="1" applyFont="1" applyBorder="1" applyAlignment="1">
      <alignment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4" fontId="29" fillId="0" borderId="31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4" fontId="24" fillId="0" borderId="9" xfId="0" applyNumberFormat="1" applyFont="1" applyBorder="1" applyAlignment="1">
      <alignment vertical="center" wrapText="1"/>
    </xf>
    <xf numFmtId="4" fontId="34" fillId="0" borderId="35" xfId="0" applyNumberFormat="1" applyFont="1" applyBorder="1" applyAlignment="1">
      <alignment vertical="center" wrapText="1"/>
    </xf>
    <xf numFmtId="4" fontId="24" fillId="0" borderId="13" xfId="0" applyNumberFormat="1" applyFont="1" applyBorder="1" applyAlignment="1">
      <alignment vertical="center" wrapText="1"/>
    </xf>
    <xf numFmtId="4" fontId="24" fillId="0" borderId="12" xfId="0" applyNumberFormat="1" applyFont="1" applyBorder="1" applyAlignment="1">
      <alignment vertical="center" wrapText="1"/>
    </xf>
    <xf numFmtId="165" fontId="34" fillId="0" borderId="13" xfId="0" applyNumberFormat="1" applyFont="1" applyBorder="1" applyAlignment="1">
      <alignment vertical="center" wrapText="1"/>
    </xf>
    <xf numFmtId="165" fontId="34" fillId="0" borderId="8" xfId="0" applyNumberFormat="1" applyFont="1" applyBorder="1" applyAlignment="1">
      <alignment vertical="center" wrapText="1"/>
    </xf>
    <xf numFmtId="165" fontId="24" fillId="0" borderId="12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64" fontId="34" fillId="0" borderId="36" xfId="0" applyNumberFormat="1" applyFont="1" applyBorder="1" applyAlignment="1">
      <alignment vertical="center" wrapText="1"/>
    </xf>
    <xf numFmtId="164" fontId="34" fillId="0" borderId="8" xfId="0" applyNumberFormat="1" applyFont="1" applyBorder="1" applyAlignment="1">
      <alignment vertical="center" wrapText="1"/>
    </xf>
    <xf numFmtId="0" fontId="41" fillId="0" borderId="21" xfId="0" applyFont="1" applyBorder="1" applyAlignment="1">
      <alignment horizontal="center" vertical="center" wrapText="1"/>
    </xf>
    <xf numFmtId="4" fontId="29" fillId="0" borderId="25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 wrapText="1"/>
    </xf>
    <xf numFmtId="164" fontId="45" fillId="0" borderId="60" xfId="0" applyNumberFormat="1" applyFont="1" applyBorder="1" applyAlignment="1">
      <alignment vertical="center" wrapText="1"/>
    </xf>
    <xf numFmtId="164" fontId="45" fillId="0" borderId="25" xfId="0" applyNumberFormat="1" applyFont="1" applyBorder="1" applyAlignment="1">
      <alignment horizontal="center" vertical="center" wrapText="1"/>
    </xf>
    <xf numFmtId="165" fontId="29" fillId="0" borderId="59" xfId="0" applyNumberFormat="1" applyFont="1" applyBorder="1" applyAlignment="1">
      <alignment vertical="center" wrapText="1"/>
    </xf>
    <xf numFmtId="4" fontId="29" fillId="0" borderId="21" xfId="0" applyNumberFormat="1" applyFont="1" applyBorder="1" applyAlignment="1">
      <alignment vertical="center" wrapText="1"/>
    </xf>
    <xf numFmtId="4" fontId="29" fillId="0" borderId="24" xfId="0" applyNumberFormat="1" applyFont="1" applyBorder="1" applyAlignment="1">
      <alignment horizontal="right" vertical="center" wrapText="1"/>
    </xf>
    <xf numFmtId="3" fontId="27" fillId="0" borderId="59" xfId="0" applyNumberFormat="1" applyFont="1" applyBorder="1" applyAlignment="1">
      <alignment vertical="center" wrapText="1"/>
    </xf>
    <xf numFmtId="3" fontId="27" fillId="0" borderId="25" xfId="0" applyNumberFormat="1" applyFont="1" applyBorder="1" applyAlignment="1">
      <alignment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0" borderId="2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 wrapText="1"/>
    </xf>
    <xf numFmtId="3" fontId="27" fillId="0" borderId="21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0" fontId="41" fillId="0" borderId="19" xfId="0" applyFont="1" applyBorder="1" applyAlignment="1">
      <alignment horizontal="centerContinuous" vertical="center" wrapText="1"/>
    </xf>
    <xf numFmtId="165" fontId="79" fillId="0" borderId="70" xfId="0" applyNumberFormat="1" applyFont="1" applyBorder="1" applyAlignment="1">
      <alignment vertical="center" wrapText="1"/>
    </xf>
    <xf numFmtId="4" fontId="41" fillId="0" borderId="21" xfId="0" applyNumberFormat="1" applyFont="1" applyBorder="1" applyAlignment="1">
      <alignment vertical="center" wrapText="1"/>
    </xf>
    <xf numFmtId="165" fontId="41" fillId="0" borderId="70" xfId="0" applyNumberFormat="1" applyFont="1" applyBorder="1" applyAlignment="1">
      <alignment vertical="center" wrapText="1"/>
    </xf>
    <xf numFmtId="4" fontId="41" fillId="0" borderId="24" xfId="0" applyNumberFormat="1" applyFont="1" applyBorder="1" applyAlignment="1">
      <alignment horizontal="right" vertical="center" wrapText="1"/>
    </xf>
    <xf numFmtId="0" fontId="41" fillId="0" borderId="73" xfId="0" applyFont="1" applyBorder="1" applyAlignment="1">
      <alignment horizontal="centerContinuous" vertical="center" wrapText="1"/>
    </xf>
    <xf numFmtId="165" fontId="79" fillId="0" borderId="79" xfId="0" applyNumberFormat="1" applyFont="1" applyBorder="1" applyAlignment="1">
      <alignment vertical="center" wrapText="1"/>
    </xf>
    <xf numFmtId="4" fontId="41" fillId="0" borderId="26" xfId="0" applyNumberFormat="1" applyFont="1" applyBorder="1" applyAlignment="1">
      <alignment vertical="center" wrapText="1"/>
    </xf>
    <xf numFmtId="165" fontId="45" fillId="0" borderId="72" xfId="0" applyNumberFormat="1" applyFont="1" applyBorder="1" applyAlignment="1">
      <alignment horizontal="center" vertical="center" wrapText="1"/>
    </xf>
    <xf numFmtId="165" fontId="41" fillId="0" borderId="72" xfId="0" applyNumberFormat="1" applyFont="1" applyBorder="1" applyAlignment="1">
      <alignment horizontal="center" vertical="center" wrapText="1"/>
    </xf>
    <xf numFmtId="164" fontId="41" fillId="0" borderId="31" xfId="0" applyNumberFormat="1" applyFont="1" applyBorder="1" applyAlignment="1">
      <alignment horizontal="center" vertical="center" wrapText="1"/>
    </xf>
    <xf numFmtId="4" fontId="41" fillId="0" borderId="26" xfId="0" applyNumberFormat="1" applyFont="1" applyBorder="1" applyAlignment="1">
      <alignment horizontal="right" vertical="center" wrapText="1"/>
    </xf>
    <xf numFmtId="165" fontId="45" fillId="0" borderId="73" xfId="0" applyNumberFormat="1" applyFont="1" applyBorder="1" applyAlignment="1">
      <alignment horizontal="center" vertical="center" wrapText="1"/>
    </xf>
    <xf numFmtId="164" fontId="41" fillId="0" borderId="31" xfId="0" applyNumberFormat="1" applyFont="1" applyBorder="1" applyAlignment="1">
      <alignment horizontal="right" vertical="center" wrapText="1"/>
    </xf>
    <xf numFmtId="165" fontId="41" fillId="0" borderId="104" xfId="0" applyNumberFormat="1" applyFont="1" applyBorder="1" applyAlignment="1">
      <alignment horizontal="center" vertical="center" wrapText="1"/>
    </xf>
    <xf numFmtId="3" fontId="41" fillId="0" borderId="26" xfId="0" applyNumberFormat="1" applyFont="1" applyBorder="1" applyAlignment="1">
      <alignment horizontal="right" vertical="center" wrapText="1"/>
    </xf>
    <xf numFmtId="49" fontId="4" fillId="0" borderId="74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4" xfId="0" applyNumberFormat="1" applyFont="1" applyFill="1" applyBorder="1" applyAlignment="1" applyProtection="1">
      <alignment vertical="center" wrapText="1"/>
      <protection locked="0"/>
    </xf>
    <xf numFmtId="3" fontId="15" fillId="0" borderId="68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0" borderId="59" xfId="0" applyNumberFormat="1" applyFont="1" applyFill="1" applyBorder="1" applyAlignment="1" applyProtection="1">
      <alignment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3" fontId="15" fillId="0" borderId="21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15" fillId="0" borderId="64" xfId="0" applyNumberFormat="1" applyFont="1" applyFill="1" applyBorder="1" applyAlignment="1" applyProtection="1">
      <alignment vertical="center"/>
      <protection locked="0"/>
    </xf>
    <xf numFmtId="3" fontId="51" fillId="0" borderId="0" xfId="0" applyNumberFormat="1" applyFont="1" applyFill="1" applyBorder="1" applyAlignment="1" applyProtection="1">
      <alignment/>
      <protection locked="0"/>
    </xf>
    <xf numFmtId="0" fontId="51" fillId="0" borderId="0" xfId="0" applyNumberFormat="1" applyFont="1" applyFill="1" applyBorder="1" applyAlignment="1" applyProtection="1">
      <alignment/>
      <protection locked="0"/>
    </xf>
    <xf numFmtId="1" fontId="5" fillId="0" borderId="9" xfId="0" applyNumberFormat="1" applyFont="1" applyFill="1" applyBorder="1" applyAlignment="1" applyProtection="1">
      <alignment horizontal="centerContinuous" vertical="center"/>
      <protection locked="0"/>
    </xf>
    <xf numFmtId="1" fontId="5" fillId="0" borderId="12" xfId="21" applyNumberFormat="1" applyFont="1" applyFill="1" applyBorder="1" applyAlignment="1" applyProtection="1">
      <alignment horizontal="center" vertical="center" wrapText="1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" fontId="3" fillId="0" borderId="24" xfId="21" applyNumberFormat="1" applyFont="1" applyFill="1" applyBorder="1" applyAlignment="1" applyProtection="1">
      <alignment horizontal="center" vertical="center" wrapText="1"/>
      <protection locked="0"/>
    </xf>
    <xf numFmtId="1" fontId="3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41" xfId="21" applyNumberFormat="1" applyFont="1" applyFill="1" applyBorder="1" applyAlignment="1" applyProtection="1">
      <alignment vertical="center" wrapText="1"/>
      <protection locked="0"/>
    </xf>
    <xf numFmtId="4" fontId="9" fillId="0" borderId="59" xfId="0" applyNumberFormat="1" applyFont="1" applyBorder="1" applyAlignment="1">
      <alignment vertical="center"/>
    </xf>
    <xf numFmtId="4" fontId="9" fillId="0" borderId="70" xfId="0" applyNumberFormat="1" applyFont="1" applyBorder="1" applyAlignment="1">
      <alignment vertical="center"/>
    </xf>
    <xf numFmtId="4" fontId="55" fillId="0" borderId="70" xfId="0" applyNumberFormat="1" applyFont="1" applyBorder="1" applyAlignment="1">
      <alignment vertical="center"/>
    </xf>
    <xf numFmtId="4" fontId="4" fillId="0" borderId="70" xfId="0" applyNumberFormat="1" applyFont="1" applyBorder="1" applyAlignment="1">
      <alignment vertical="center"/>
    </xf>
    <xf numFmtId="4" fontId="9" fillId="0" borderId="65" xfId="0" applyNumberFormat="1" applyFont="1" applyBorder="1" applyAlignment="1">
      <alignment vertical="center"/>
    </xf>
    <xf numFmtId="4" fontId="9" fillId="0" borderId="125" xfId="0" applyNumberFormat="1" applyFont="1" applyBorder="1" applyAlignment="1">
      <alignment vertical="center"/>
    </xf>
    <xf numFmtId="4" fontId="21" fillId="0" borderId="35" xfId="0" applyNumberFormat="1" applyFont="1" applyBorder="1" applyAlignment="1">
      <alignment vertical="center"/>
    </xf>
    <xf numFmtId="4" fontId="21" fillId="0" borderId="34" xfId="0" applyNumberFormat="1" applyFont="1" applyBorder="1" applyAlignment="1">
      <alignment vertical="center"/>
    </xf>
    <xf numFmtId="0" fontId="54" fillId="0" borderId="0" xfId="0" applyFont="1" applyAlignment="1">
      <alignment horizontal="centerContinuous" vertical="center" wrapText="1"/>
    </xf>
    <xf numFmtId="0" fontId="21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1" fillId="0" borderId="40" xfId="0" applyFont="1" applyBorder="1" applyAlignment="1">
      <alignment horizontal="left" vertical="center"/>
    </xf>
    <xf numFmtId="3" fontId="21" fillId="0" borderId="140" xfId="0" applyNumberFormat="1" applyFont="1" applyBorder="1" applyAlignment="1">
      <alignment vertical="center"/>
    </xf>
    <xf numFmtId="0" fontId="61" fillId="0" borderId="55" xfId="0" applyFont="1" applyBorder="1" applyAlignment="1">
      <alignment horizontal="left" vertical="center"/>
    </xf>
    <xf numFmtId="0" fontId="61" fillId="0" borderId="63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" fillId="0" borderId="64" xfId="18" applyNumberFormat="1" applyFont="1" applyBorder="1" applyAlignment="1">
      <alignment vertical="center"/>
      <protection/>
    </xf>
    <xf numFmtId="3" fontId="5" fillId="0" borderId="12" xfId="18" applyNumberFormat="1" applyFont="1" applyBorder="1" applyAlignment="1">
      <alignment vertical="center"/>
      <protection/>
    </xf>
    <xf numFmtId="3" fontId="5" fillId="0" borderId="13" xfId="18" applyNumberFormat="1" applyFont="1" applyBorder="1" applyAlignment="1">
      <alignment vertical="center"/>
      <protection/>
    </xf>
    <xf numFmtId="0" fontId="5" fillId="0" borderId="57" xfId="18" applyFont="1" applyBorder="1" applyAlignment="1">
      <alignment horizontal="left" vertical="center" wrapText="1"/>
      <protection/>
    </xf>
    <xf numFmtId="164" fontId="43" fillId="0" borderId="64" xfId="21" applyNumberFormat="1" applyFont="1" applyFill="1" applyBorder="1" applyAlignment="1" applyProtection="1">
      <alignment vertical="center" wrapText="1"/>
      <protection locked="0"/>
    </xf>
    <xf numFmtId="3" fontId="4" fillId="0" borderId="64" xfId="18" applyNumberFormat="1" applyFont="1" applyBorder="1" applyAlignment="1">
      <alignment vertical="center"/>
      <protection/>
    </xf>
    <xf numFmtId="164" fontId="43" fillId="0" borderId="25" xfId="21" applyNumberFormat="1" applyFont="1" applyFill="1" applyBorder="1" applyAlignment="1" applyProtection="1">
      <alignment vertical="center" wrapText="1"/>
      <protection locked="0"/>
    </xf>
    <xf numFmtId="164" fontId="43" fillId="0" borderId="59" xfId="21" applyNumberFormat="1" applyFont="1" applyFill="1" applyBorder="1" applyAlignment="1" applyProtection="1">
      <alignment vertical="center" wrapText="1"/>
      <protection locked="0"/>
    </xf>
    <xf numFmtId="0" fontId="21" fillId="0" borderId="5" xfId="0" applyFont="1" applyBorder="1" applyAlignment="1">
      <alignment horizontal="center" vertical="center"/>
    </xf>
    <xf numFmtId="1" fontId="36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55" xfId="21" applyNumberFormat="1" applyFont="1" applyFill="1" applyBorder="1" applyAlignment="1" applyProtection="1">
      <alignment vertical="center" wrapText="1"/>
      <protection locked="0"/>
    </xf>
    <xf numFmtId="0" fontId="2" fillId="0" borderId="49" xfId="0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 wrapText="1"/>
    </xf>
    <xf numFmtId="3" fontId="9" fillId="0" borderId="55" xfId="0" applyNumberFormat="1" applyFont="1" applyBorder="1" applyAlignment="1">
      <alignment horizontal="right" vertical="center"/>
    </xf>
    <xf numFmtId="0" fontId="2" fillId="0" borderId="142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 vertical="center"/>
    </xf>
    <xf numFmtId="3" fontId="2" fillId="0" borderId="86" xfId="0" applyNumberFormat="1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3" fillId="0" borderId="20" xfId="0" applyNumberFormat="1" applyFont="1" applyFill="1" applyBorder="1" applyAlignment="1" applyProtection="1">
      <alignment vertical="center" wrapText="1"/>
      <protection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55" fillId="0" borderId="95" xfId="0" applyFont="1" applyFill="1" applyBorder="1" applyAlignment="1">
      <alignment horizontal="center" vertical="center"/>
    </xf>
    <xf numFmtId="0" fontId="13" fillId="0" borderId="26" xfId="18" applyFont="1" applyBorder="1" applyAlignment="1">
      <alignment horizontal="center" vertical="center"/>
      <protection/>
    </xf>
    <xf numFmtId="0" fontId="13" fillId="0" borderId="27" xfId="18" applyFont="1" applyBorder="1" applyAlignment="1">
      <alignment horizontal="left" vertical="center" wrapText="1"/>
      <protection/>
    </xf>
    <xf numFmtId="3" fontId="13" fillId="0" borderId="72" xfId="18" applyNumberFormat="1" applyFont="1" applyBorder="1" applyAlignment="1">
      <alignment horizontal="right" vertical="center"/>
      <protection/>
    </xf>
    <xf numFmtId="3" fontId="13" fillId="0" borderId="9" xfId="18" applyNumberFormat="1" applyFont="1" applyBorder="1" applyAlignment="1">
      <alignment vertical="center"/>
      <protection/>
    </xf>
    <xf numFmtId="3" fontId="9" fillId="0" borderId="13" xfId="18" applyNumberFormat="1" applyFont="1" applyBorder="1" applyAlignment="1">
      <alignment vertical="center"/>
      <protection/>
    </xf>
    <xf numFmtId="3" fontId="13" fillId="0" borderId="26" xfId="18" applyNumberFormat="1" applyFont="1" applyBorder="1" applyAlignment="1">
      <alignment vertical="center"/>
      <protection/>
    </xf>
    <xf numFmtId="3" fontId="9" fillId="0" borderId="31" xfId="18" applyNumberFormat="1" applyFont="1" applyBorder="1" applyAlignment="1">
      <alignment vertical="center"/>
      <protection/>
    </xf>
    <xf numFmtId="3" fontId="4" fillId="0" borderId="26" xfId="18" applyNumberFormat="1" applyFont="1" applyBorder="1" applyAlignment="1">
      <alignment vertical="center"/>
      <protection/>
    </xf>
    <xf numFmtId="3" fontId="2" fillId="0" borderId="31" xfId="18" applyNumberFormat="1" applyFont="1" applyBorder="1" applyAlignment="1">
      <alignment vertical="center"/>
      <protection/>
    </xf>
    <xf numFmtId="0" fontId="26" fillId="0" borderId="0" xfId="0" applyFont="1" applyAlignment="1">
      <alignment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vertical="center" wrapText="1"/>
    </xf>
    <xf numFmtId="0" fontId="55" fillId="0" borderId="43" xfId="0" applyFont="1" applyFill="1" applyBorder="1" applyAlignment="1">
      <alignment horizontal="center" vertical="center"/>
    </xf>
    <xf numFmtId="164" fontId="3" fillId="0" borderId="40" xfId="21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9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04" xfId="0" applyBorder="1" applyAlignment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Border="1" applyAlignment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04" xfId="0" applyNumberFormat="1" applyFont="1" applyFill="1" applyBorder="1" applyAlignment="1" applyProtection="1">
      <alignment horizontal="left" vertical="center" wrapText="1"/>
      <protection/>
    </xf>
    <xf numFmtId="0" fontId="60" fillId="0" borderId="104" xfId="0" applyFont="1" applyBorder="1" applyAlignment="1">
      <alignment vertical="center"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164" fontId="21" fillId="0" borderId="1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vertical="center"/>
    </xf>
    <xf numFmtId="1" fontId="13" fillId="0" borderId="45" xfId="0" applyNumberFormat="1" applyFont="1" applyBorder="1" applyAlignment="1">
      <alignment horizontal="center" vertical="center" wrapText="1"/>
    </xf>
    <xf numFmtId="0" fontId="60" fillId="0" borderId="141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4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4" fontId="5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5" fillId="0" borderId="63" xfId="0" applyNumberFormat="1" applyFont="1" applyFill="1" applyBorder="1" applyAlignment="1">
      <alignment horizontal="center" vertical="center"/>
    </xf>
    <xf numFmtId="0" fontId="55" fillId="0" borderId="10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164" fontId="55" fillId="0" borderId="63" xfId="0" applyNumberFormat="1" applyFont="1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10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55" fillId="0" borderId="63" xfId="0" applyNumberFormat="1" applyFont="1" applyFill="1" applyBorder="1" applyAlignment="1">
      <alignment vertical="center"/>
    </xf>
    <xf numFmtId="164" fontId="55" fillId="0" borderId="59" xfId="0" applyNumberFormat="1" applyFont="1" applyFill="1" applyBorder="1" applyAlignment="1">
      <alignment vertical="center"/>
    </xf>
    <xf numFmtId="164" fontId="55" fillId="0" borderId="40" xfId="0" applyNumberFormat="1" applyFont="1" applyFill="1" applyBorder="1" applyAlignment="1">
      <alignment vertical="center"/>
    </xf>
    <xf numFmtId="164" fontId="55" fillId="0" borderId="64" xfId="0" applyNumberFormat="1" applyFont="1" applyFill="1" applyBorder="1" applyAlignment="1">
      <alignment vertical="center"/>
    </xf>
    <xf numFmtId="164" fontId="55" fillId="0" borderId="25" xfId="0" applyNumberFormat="1" applyFont="1" applyFill="1" applyBorder="1" applyAlignment="1">
      <alignment vertical="center"/>
    </xf>
    <xf numFmtId="164" fontId="55" fillId="0" borderId="38" xfId="0" applyNumberFormat="1" applyFont="1" applyFill="1" applyBorder="1" applyAlignment="1">
      <alignment vertical="center"/>
    </xf>
    <xf numFmtId="0" fontId="21" fillId="0" borderId="5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121" xfId="0" applyFill="1" applyBorder="1" applyAlignment="1">
      <alignment horizontal="center" vertical="center" wrapText="1"/>
    </xf>
    <xf numFmtId="0" fontId="0" fillId="0" borderId="139" xfId="0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3" fontId="16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right" vertical="center"/>
      <protection/>
    </xf>
    <xf numFmtId="0" fontId="53" fillId="0" borderId="76" xfId="0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 wrapText="1"/>
      <protection locked="0"/>
    </xf>
    <xf numFmtId="3" fontId="13" fillId="0" borderId="68" xfId="0" applyNumberFormat="1" applyFont="1" applyFill="1" applyBorder="1" applyAlignment="1" applyProtection="1">
      <alignment vertical="center"/>
      <protection locked="0"/>
    </xf>
    <xf numFmtId="0" fontId="13" fillId="0" borderId="62" xfId="0" applyNumberFormat="1" applyFont="1" applyFill="1" applyBorder="1" applyAlignment="1" applyProtection="1">
      <alignment vertical="center"/>
      <protection locked="0"/>
    </xf>
    <xf numFmtId="0" fontId="13" fillId="0" borderId="63" xfId="0" applyNumberFormat="1" applyFont="1" applyFill="1" applyBorder="1" applyAlignment="1" applyProtection="1">
      <alignment vertical="center"/>
      <protection locked="0"/>
    </xf>
    <xf numFmtId="3" fontId="13" fillId="0" borderId="62" xfId="0" applyNumberFormat="1" applyFont="1" applyFill="1" applyBorder="1" applyAlignment="1" applyProtection="1">
      <alignment vertical="center"/>
      <protection locked="0"/>
    </xf>
    <xf numFmtId="49" fontId="15" fillId="0" borderId="74" xfId="0" applyNumberFormat="1" applyFont="1" applyFill="1" applyBorder="1" applyAlignment="1" applyProtection="1">
      <alignment horizontal="centerContinuous" vertical="center"/>
      <protection locked="0"/>
    </xf>
    <xf numFmtId="3" fontId="15" fillId="0" borderId="21" xfId="0" applyNumberFormat="1" applyFont="1" applyFill="1" applyBorder="1" applyAlignment="1" applyProtection="1">
      <alignment vertical="center" wrapText="1"/>
      <protection locked="0"/>
    </xf>
    <xf numFmtId="0" fontId="15" fillId="0" borderId="24" xfId="0" applyNumberFormat="1" applyFont="1" applyFill="1" applyBorder="1" applyAlignment="1" applyProtection="1">
      <alignment vertical="center"/>
      <protection locked="0"/>
    </xf>
    <xf numFmtId="0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59" xfId="0" applyNumberFormat="1" applyFont="1" applyFill="1" applyBorder="1" applyAlignment="1" applyProtection="1">
      <alignment vertical="center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49" fontId="53" fillId="0" borderId="72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8" xfId="0" applyNumberFormat="1" applyFont="1" applyFill="1" applyBorder="1" applyAlignment="1" applyProtection="1">
      <alignment vertical="center" wrapText="1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43" xfId="0" applyNumberFormat="1" applyFont="1" applyFill="1" applyBorder="1" applyAlignment="1" applyProtection="1">
      <alignment vertical="center"/>
      <protection locked="0"/>
    </xf>
    <xf numFmtId="3" fontId="15" fillId="0" borderId="40" xfId="0" applyNumberFormat="1" applyFont="1" applyFill="1" applyBorder="1" applyAlignment="1" applyProtection="1">
      <alignment vertical="center"/>
      <protection locked="0"/>
    </xf>
    <xf numFmtId="3" fontId="53" fillId="0" borderId="0" xfId="0" applyNumberFormat="1" applyFont="1" applyFill="1" applyBorder="1" applyAlignment="1" applyProtection="1">
      <alignment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164" fontId="5" fillId="0" borderId="8" xfId="21" applyNumberFormat="1" applyFont="1" applyFill="1" applyBorder="1" applyAlignment="1" applyProtection="1">
      <alignment vertical="center" wrapText="1"/>
      <protection locked="0"/>
    </xf>
    <xf numFmtId="0" fontId="4" fillId="0" borderId="21" xfId="18" applyFont="1" applyBorder="1" applyAlignment="1">
      <alignment horizontal="center" vertical="center"/>
      <protection/>
    </xf>
    <xf numFmtId="3" fontId="4" fillId="0" borderId="74" xfId="18" applyNumberFormat="1" applyFont="1" applyBorder="1" applyAlignment="1">
      <alignment horizontal="right" vertical="center"/>
      <protection/>
    </xf>
    <xf numFmtId="3" fontId="4" fillId="0" borderId="24" xfId="18" applyNumberFormat="1" applyFont="1" applyBorder="1" applyAlignment="1">
      <alignment horizontal="right" vertical="center"/>
      <protection/>
    </xf>
    <xf numFmtId="3" fontId="4" fillId="0" borderId="25" xfId="18" applyNumberFormat="1" applyFont="1" applyBorder="1" applyAlignment="1">
      <alignment horizontal="center" vertical="center"/>
      <protection/>
    </xf>
    <xf numFmtId="0" fontId="39" fillId="0" borderId="67" xfId="18" applyFont="1" applyBorder="1" applyAlignment="1">
      <alignment horizontal="center" vertical="center"/>
      <protection/>
    </xf>
    <xf numFmtId="0" fontId="39" fillId="0" borderId="57" xfId="18" applyFont="1" applyBorder="1" applyAlignment="1">
      <alignment vertical="center" wrapText="1"/>
      <protection/>
    </xf>
    <xf numFmtId="3" fontId="39" fillId="0" borderId="77" xfId="18" applyNumberFormat="1" applyFont="1" applyBorder="1" applyAlignment="1">
      <alignment horizontal="right" vertical="center"/>
      <protection/>
    </xf>
    <xf numFmtId="3" fontId="39" fillId="0" borderId="91" xfId="0" applyNumberFormat="1" applyFont="1" applyBorder="1" applyAlignment="1">
      <alignment vertical="center"/>
    </xf>
    <xf numFmtId="3" fontId="39" fillId="0" borderId="56" xfId="18" applyNumberFormat="1" applyFont="1" applyBorder="1" applyAlignment="1">
      <alignment vertical="center"/>
      <protection/>
    </xf>
    <xf numFmtId="0" fontId="13" fillId="0" borderId="67" xfId="18" applyFont="1" applyBorder="1" applyAlignment="1">
      <alignment horizontal="center" vertical="center"/>
      <protection/>
    </xf>
    <xf numFmtId="0" fontId="13" fillId="0" borderId="56" xfId="18" applyFont="1" applyBorder="1" applyAlignment="1">
      <alignment vertical="center" wrapText="1"/>
      <protection/>
    </xf>
    <xf numFmtId="3" fontId="13" fillId="0" borderId="77" xfId="18" applyNumberFormat="1" applyFont="1" applyBorder="1" applyAlignment="1">
      <alignment horizontal="right" vertical="center"/>
      <protection/>
    </xf>
    <xf numFmtId="3" fontId="13" fillId="0" borderId="67" xfId="18" applyNumberFormat="1" applyFont="1" applyBorder="1" applyAlignment="1">
      <alignment vertical="center"/>
      <protection/>
    </xf>
    <xf numFmtId="3" fontId="9" fillId="0" borderId="56" xfId="18" applyNumberFormat="1" applyFont="1" applyBorder="1" applyAlignment="1">
      <alignment vertical="center"/>
      <protection/>
    </xf>
    <xf numFmtId="0" fontId="4" fillId="0" borderId="26" xfId="18" applyFont="1" applyBorder="1" applyAlignment="1">
      <alignment horizontal="center" vertical="center"/>
      <protection/>
    </xf>
    <xf numFmtId="3" fontId="3" fillId="0" borderId="4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right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right" vertical="center"/>
    </xf>
    <xf numFmtId="0" fontId="22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40" xfId="0" applyNumberFormat="1" applyFont="1" applyBorder="1" applyAlignment="1">
      <alignment vertical="center"/>
    </xf>
    <xf numFmtId="0" fontId="3" fillId="0" borderId="59" xfId="0" applyFont="1" applyBorder="1" applyAlignment="1">
      <alignment horizontal="center" vertical="center" wrapText="1"/>
    </xf>
    <xf numFmtId="3" fontId="3" fillId="0" borderId="63" xfId="0" applyNumberFormat="1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3" fontId="3" fillId="0" borderId="63" xfId="0" applyNumberFormat="1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164" fontId="22" fillId="0" borderId="40" xfId="21" applyNumberFormat="1" applyFont="1" applyFill="1" applyBorder="1" applyAlignment="1" applyProtection="1">
      <alignment vertical="center" wrapText="1"/>
      <protection locked="0"/>
    </xf>
    <xf numFmtId="0" fontId="2" fillId="0" borderId="59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0" xfId="0" applyNumberFormat="1" applyFont="1" applyFill="1" applyBorder="1" applyAlignment="1" applyProtection="1">
      <alignment vertical="center" wrapText="1"/>
      <protection locked="0"/>
    </xf>
    <xf numFmtId="3" fontId="3" fillId="0" borderId="40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center" vertical="center"/>
    </xf>
    <xf numFmtId="0" fontId="22" fillId="0" borderId="63" xfId="0" applyNumberFormat="1" applyFont="1" applyFill="1" applyBorder="1" applyAlignment="1" applyProtection="1">
      <alignment horizontal="centerContinuous" vertical="center"/>
      <protection locked="0"/>
    </xf>
    <xf numFmtId="0" fontId="22" fillId="0" borderId="63" xfId="0" applyNumberFormat="1" applyFont="1" applyFill="1" applyBorder="1" applyAlignment="1" applyProtection="1">
      <alignment vertical="center" wrapText="1"/>
      <protection locked="0"/>
    </xf>
    <xf numFmtId="3" fontId="3" fillId="0" borderId="59" xfId="0" applyNumberFormat="1" applyFont="1" applyBorder="1" applyAlignment="1">
      <alignment horizontal="right" vertical="center"/>
    </xf>
    <xf numFmtId="3" fontId="5" fillId="0" borderId="59" xfId="0" applyNumberFormat="1" applyFont="1" applyBorder="1" applyAlignment="1">
      <alignment horizontal="center" vertical="center"/>
    </xf>
    <xf numFmtId="0" fontId="2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5" xfId="0" applyNumberFormat="1" applyFont="1" applyFill="1" applyBorder="1" applyAlignment="1" applyProtection="1">
      <alignment vertical="center" wrapText="1"/>
      <protection locked="0"/>
    </xf>
    <xf numFmtId="3" fontId="5" fillId="0" borderId="55" xfId="0" applyNumberFormat="1" applyFont="1" applyBorder="1" applyAlignment="1">
      <alignment horizontal="center" vertical="center"/>
    </xf>
    <xf numFmtId="49" fontId="22" fillId="0" borderId="55" xfId="0" applyNumberFormat="1" applyFont="1" applyFill="1" applyBorder="1" applyAlignment="1" applyProtection="1">
      <alignment horizontal="center" vertical="center"/>
      <protection locked="0"/>
    </xf>
    <xf numFmtId="49" fontId="22" fillId="0" borderId="40" xfId="0" applyNumberFormat="1" applyFont="1" applyFill="1" applyBorder="1" applyAlignment="1" applyProtection="1">
      <alignment horizontal="center" vertical="center"/>
      <protection locked="0"/>
    </xf>
    <xf numFmtId="3" fontId="22" fillId="0" borderId="40" xfId="0" applyNumberFormat="1" applyFont="1" applyFill="1" applyBorder="1" applyAlignment="1" applyProtection="1">
      <alignment vertical="center" wrapText="1"/>
      <protection locked="0"/>
    </xf>
    <xf numFmtId="3" fontId="22" fillId="0" borderId="55" xfId="0" applyNumberFormat="1" applyFont="1" applyFill="1" applyBorder="1" applyAlignment="1" applyProtection="1">
      <alignment vertical="center" wrapText="1"/>
      <protection locked="0"/>
    </xf>
    <xf numFmtId="49" fontId="22" fillId="0" borderId="63" xfId="0" applyNumberFormat="1" applyFont="1" applyFill="1" applyBorder="1" applyAlignment="1" applyProtection="1">
      <alignment horizontal="center" vertical="center"/>
      <protection locked="0"/>
    </xf>
    <xf numFmtId="3" fontId="22" fillId="0" borderId="63" xfId="0" applyNumberFormat="1" applyFont="1" applyFill="1" applyBorder="1" applyAlignment="1" applyProtection="1">
      <alignment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A16">
      <selection activeCell="A41" sqref="A41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9.75390625" style="1" customWidth="1"/>
    <col min="13" max="16384" width="10.00390625" style="1" customWidth="1"/>
  </cols>
  <sheetData>
    <row r="1" spans="9:12" ht="12" customHeight="1">
      <c r="I1" s="2"/>
      <c r="J1" s="3" t="s">
        <v>234</v>
      </c>
      <c r="K1" s="4"/>
      <c r="L1" s="5"/>
    </row>
    <row r="2" spans="9:12" ht="12" customHeight="1">
      <c r="I2" s="2"/>
      <c r="J2" s="473" t="s">
        <v>284</v>
      </c>
      <c r="K2" s="4"/>
      <c r="L2" s="5"/>
    </row>
    <row r="3" spans="9:12" ht="12" customHeight="1">
      <c r="I3" s="2"/>
      <c r="J3" s="4" t="s">
        <v>285</v>
      </c>
      <c r="K3" s="4"/>
      <c r="L3" s="5"/>
    </row>
    <row r="4" spans="9:225" ht="12" customHeight="1">
      <c r="I4" s="2"/>
      <c r="J4" s="118"/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11" customFormat="1" ht="15" customHeight="1">
      <c r="A5" s="7" t="s">
        <v>235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8" customFormat="1" ht="14.25" customHeight="1">
      <c r="A6" s="12" t="s">
        <v>236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6" t="s">
        <v>237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</row>
    <row r="7" spans="1:225" s="22" customFormat="1" ht="15.75" customHeight="1" thickBot="1">
      <c r="A7" s="2396" t="s">
        <v>777</v>
      </c>
      <c r="B7" s="2397"/>
      <c r="C7" s="19"/>
      <c r="D7" s="20"/>
      <c r="E7" s="20"/>
      <c r="F7" s="20"/>
      <c r="G7" s="20"/>
      <c r="H7" s="20"/>
      <c r="I7" s="20"/>
      <c r="J7" s="20"/>
      <c r="K7" s="20"/>
      <c r="L7" s="1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2400" t="s">
        <v>238</v>
      </c>
      <c r="B8" s="2403" t="s">
        <v>239</v>
      </c>
      <c r="C8" s="23" t="s">
        <v>240</v>
      </c>
      <c r="D8" s="24"/>
      <c r="E8" s="25"/>
      <c r="F8" s="25"/>
      <c r="G8" s="26"/>
      <c r="H8" s="27" t="s">
        <v>241</v>
      </c>
      <c r="I8" s="25"/>
      <c r="J8" s="25"/>
      <c r="K8" s="25"/>
      <c r="L8" s="28"/>
    </row>
    <row r="9" spans="1:12" s="22" customFormat="1" ht="12" customHeight="1" thickTop="1">
      <c r="A9" s="2401"/>
      <c r="B9" s="2404"/>
      <c r="C9" s="2406" t="s">
        <v>242</v>
      </c>
      <c r="D9" s="2392" t="s">
        <v>243</v>
      </c>
      <c r="E9" s="29" t="s">
        <v>244</v>
      </c>
      <c r="F9" s="2388" t="s">
        <v>245</v>
      </c>
      <c r="G9" s="2390" t="s">
        <v>246</v>
      </c>
      <c r="H9" s="2394" t="s">
        <v>242</v>
      </c>
      <c r="I9" s="2392" t="s">
        <v>243</v>
      </c>
      <c r="J9" s="29" t="s">
        <v>244</v>
      </c>
      <c r="K9" s="2388" t="s">
        <v>245</v>
      </c>
      <c r="L9" s="2390" t="s">
        <v>246</v>
      </c>
    </row>
    <row r="10" spans="1:12" s="22" customFormat="1" ht="40.5" customHeight="1" thickBot="1">
      <c r="A10" s="2402"/>
      <c r="B10" s="2405"/>
      <c r="C10" s="2407"/>
      <c r="D10" s="2393"/>
      <c r="E10" s="30" t="s">
        <v>247</v>
      </c>
      <c r="F10" s="2389"/>
      <c r="G10" s="2391"/>
      <c r="H10" s="2395"/>
      <c r="I10" s="2393"/>
      <c r="J10" s="30" t="s">
        <v>247</v>
      </c>
      <c r="K10" s="2389"/>
      <c r="L10" s="2391"/>
    </row>
    <row r="11" spans="1:12" s="39" customFormat="1" ht="9.75" customHeight="1" thickBot="1" thickTop="1">
      <c r="A11" s="31">
        <v>1</v>
      </c>
      <c r="B11" s="32">
        <v>2</v>
      </c>
      <c r="C11" s="33">
        <v>3</v>
      </c>
      <c r="D11" s="34">
        <v>4</v>
      </c>
      <c r="E11" s="35">
        <v>5</v>
      </c>
      <c r="F11" s="36">
        <v>6</v>
      </c>
      <c r="G11" s="37">
        <v>7</v>
      </c>
      <c r="H11" s="36">
        <v>8</v>
      </c>
      <c r="I11" s="34">
        <v>9</v>
      </c>
      <c r="J11" s="35">
        <v>10</v>
      </c>
      <c r="K11" s="36">
        <v>11</v>
      </c>
      <c r="L11" s="38">
        <v>12</v>
      </c>
    </row>
    <row r="12" spans="1:12" s="47" customFormat="1" ht="13.5" customHeight="1" thickTop="1">
      <c r="A12" s="40" t="s">
        <v>248</v>
      </c>
      <c r="B12" s="41" t="s">
        <v>249</v>
      </c>
      <c r="C12" s="42"/>
      <c r="D12" s="43"/>
      <c r="E12" s="44"/>
      <c r="F12" s="45"/>
      <c r="G12" s="46"/>
      <c r="H12" s="2475">
        <f>I12+K12+L12</f>
        <v>3000</v>
      </c>
      <c r="I12" s="43">
        <v>3000</v>
      </c>
      <c r="J12" s="44"/>
      <c r="K12" s="45"/>
      <c r="L12" s="46"/>
    </row>
    <row r="13" spans="1:12" s="47" customFormat="1" ht="11.25" customHeight="1">
      <c r="A13" s="48">
        <v>500</v>
      </c>
      <c r="B13" s="49" t="s">
        <v>250</v>
      </c>
      <c r="C13" s="50"/>
      <c r="D13" s="51"/>
      <c r="E13" s="52"/>
      <c r="F13" s="53"/>
      <c r="G13" s="54"/>
      <c r="H13" s="2476">
        <f aca="true" t="shared" si="0" ref="H13:H32">I13+K13+L13</f>
        <v>194000</v>
      </c>
      <c r="I13" s="51">
        <v>194000</v>
      </c>
      <c r="J13" s="52"/>
      <c r="K13" s="53"/>
      <c r="L13" s="54"/>
    </row>
    <row r="14" spans="1:12" s="47" customFormat="1" ht="12.75" customHeight="1">
      <c r="A14" s="48" t="s">
        <v>251</v>
      </c>
      <c r="B14" s="49" t="s">
        <v>252</v>
      </c>
      <c r="C14" s="50">
        <f>D14+F14+G14</f>
        <v>5018030</v>
      </c>
      <c r="D14" s="51">
        <v>5018030</v>
      </c>
      <c r="E14" s="52"/>
      <c r="F14" s="53"/>
      <c r="G14" s="54"/>
      <c r="H14" s="2476">
        <f t="shared" si="0"/>
        <v>59035504</v>
      </c>
      <c r="I14" s="51">
        <v>59035504</v>
      </c>
      <c r="J14" s="52">
        <v>100000</v>
      </c>
      <c r="K14" s="53"/>
      <c r="L14" s="54"/>
    </row>
    <row r="15" spans="1:12" s="47" customFormat="1" ht="11.25" customHeight="1">
      <c r="A15" s="48" t="s">
        <v>253</v>
      </c>
      <c r="B15" s="49" t="s">
        <v>254</v>
      </c>
      <c r="C15" s="50"/>
      <c r="D15" s="51"/>
      <c r="E15" s="52"/>
      <c r="F15" s="53"/>
      <c r="G15" s="54"/>
      <c r="H15" s="2476">
        <f t="shared" si="0"/>
        <v>64000</v>
      </c>
      <c r="I15" s="51">
        <v>64000</v>
      </c>
      <c r="J15" s="52"/>
      <c r="K15" s="53"/>
      <c r="L15" s="54"/>
    </row>
    <row r="16" spans="1:12" s="47" customFormat="1" ht="12" customHeight="1">
      <c r="A16" s="48" t="s">
        <v>255</v>
      </c>
      <c r="B16" s="49" t="s">
        <v>256</v>
      </c>
      <c r="C16" s="50">
        <f aca="true" t="shared" si="1" ref="C16:C32">D16+F16+G16</f>
        <v>27608500</v>
      </c>
      <c r="D16" s="51">
        <f>26715000+850000</f>
        <v>27565000</v>
      </c>
      <c r="E16" s="52"/>
      <c r="F16" s="53">
        <v>43500</v>
      </c>
      <c r="G16" s="54"/>
      <c r="H16" s="2476">
        <f t="shared" si="0"/>
        <v>23542100</v>
      </c>
      <c r="I16" s="51">
        <v>23498600</v>
      </c>
      <c r="J16" s="52"/>
      <c r="K16" s="53">
        <v>43500</v>
      </c>
      <c r="L16" s="54"/>
    </row>
    <row r="17" spans="1:12" s="47" customFormat="1" ht="13.5" customHeight="1">
      <c r="A17" s="48" t="s">
        <v>257</v>
      </c>
      <c r="B17" s="49" t="s">
        <v>258</v>
      </c>
      <c r="C17" s="50">
        <f t="shared" si="1"/>
        <v>1843700</v>
      </c>
      <c r="D17" s="51">
        <v>1389000</v>
      </c>
      <c r="E17" s="52"/>
      <c r="F17" s="53">
        <v>438100</v>
      </c>
      <c r="G17" s="54">
        <v>16600</v>
      </c>
      <c r="H17" s="2476">
        <f t="shared" si="0"/>
        <v>3818400</v>
      </c>
      <c r="I17" s="51">
        <v>3363700</v>
      </c>
      <c r="J17" s="52"/>
      <c r="K17" s="53">
        <v>438100</v>
      </c>
      <c r="L17" s="54">
        <v>16600</v>
      </c>
    </row>
    <row r="18" spans="1:12" s="47" customFormat="1" ht="12.75" customHeight="1">
      <c r="A18" s="48" t="s">
        <v>259</v>
      </c>
      <c r="B18" s="49" t="s">
        <v>260</v>
      </c>
      <c r="C18" s="50">
        <f t="shared" si="1"/>
        <v>1375600</v>
      </c>
      <c r="D18" s="51">
        <v>337000</v>
      </c>
      <c r="E18" s="52"/>
      <c r="F18" s="53">
        <f>757900+275200</f>
        <v>1033100</v>
      </c>
      <c r="G18" s="54">
        <v>5500</v>
      </c>
      <c r="H18" s="2476">
        <f t="shared" si="0"/>
        <v>35920735</v>
      </c>
      <c r="I18" s="51">
        <v>34882135</v>
      </c>
      <c r="J18" s="55">
        <f>15000+1662180+300000</f>
        <v>1977180</v>
      </c>
      <c r="K18" s="53">
        <f>757900+275200</f>
        <v>1033100</v>
      </c>
      <c r="L18" s="54">
        <v>5500</v>
      </c>
    </row>
    <row r="19" spans="1:12" s="47" customFormat="1" ht="27" customHeight="1">
      <c r="A19" s="48" t="s">
        <v>261</v>
      </c>
      <c r="B19" s="56" t="s">
        <v>262</v>
      </c>
      <c r="C19" s="50">
        <f t="shared" si="1"/>
        <v>17577</v>
      </c>
      <c r="D19" s="51"/>
      <c r="E19" s="52"/>
      <c r="F19" s="53">
        <v>17577</v>
      </c>
      <c r="G19" s="54"/>
      <c r="H19" s="2476">
        <f t="shared" si="0"/>
        <v>17577</v>
      </c>
      <c r="I19" s="51"/>
      <c r="J19" s="55"/>
      <c r="K19" s="53">
        <v>17577</v>
      </c>
      <c r="L19" s="54"/>
    </row>
    <row r="20" spans="1:12" s="47" customFormat="1" ht="18.75" customHeight="1">
      <c r="A20" s="48" t="s">
        <v>263</v>
      </c>
      <c r="B20" s="57" t="s">
        <v>264</v>
      </c>
      <c r="C20" s="50">
        <f t="shared" si="1"/>
        <v>7380000</v>
      </c>
      <c r="D20" s="51"/>
      <c r="E20" s="52"/>
      <c r="F20" s="53">
        <v>7380000</v>
      </c>
      <c r="G20" s="54"/>
      <c r="H20" s="2476">
        <f t="shared" si="0"/>
        <v>7599500</v>
      </c>
      <c r="I20" s="51">
        <v>219500</v>
      </c>
      <c r="J20" s="55"/>
      <c r="K20" s="53">
        <f>10000+7370000</f>
        <v>7380000</v>
      </c>
      <c r="L20" s="54"/>
    </row>
    <row r="21" spans="1:12" s="47" customFormat="1" ht="41.25" customHeight="1">
      <c r="A21" s="48" t="s">
        <v>265</v>
      </c>
      <c r="B21" s="57" t="s">
        <v>266</v>
      </c>
      <c r="C21" s="50">
        <f t="shared" si="1"/>
        <v>169022495</v>
      </c>
      <c r="D21" s="51">
        <v>169022495</v>
      </c>
      <c r="E21" s="52"/>
      <c r="F21" s="53"/>
      <c r="G21" s="54"/>
      <c r="H21" s="2476">
        <f t="shared" si="0"/>
        <v>624700</v>
      </c>
      <c r="I21" s="51">
        <v>624700</v>
      </c>
      <c r="J21" s="55"/>
      <c r="K21" s="53"/>
      <c r="L21" s="54"/>
    </row>
    <row r="22" spans="1:12" s="58" customFormat="1" ht="13.5" customHeight="1">
      <c r="A22" s="48" t="s">
        <v>267</v>
      </c>
      <c r="B22" s="49" t="s">
        <v>268</v>
      </c>
      <c r="C22" s="50"/>
      <c r="D22" s="51"/>
      <c r="E22" s="52"/>
      <c r="F22" s="53"/>
      <c r="G22" s="54"/>
      <c r="H22" s="2476">
        <f t="shared" si="0"/>
        <v>3200000</v>
      </c>
      <c r="I22" s="51">
        <v>3200000</v>
      </c>
      <c r="J22" s="55"/>
      <c r="K22" s="53"/>
      <c r="L22" s="54"/>
    </row>
    <row r="23" spans="1:12" s="58" customFormat="1" ht="14.25" customHeight="1">
      <c r="A23" s="48" t="s">
        <v>269</v>
      </c>
      <c r="B23" s="49" t="s">
        <v>270</v>
      </c>
      <c r="C23" s="50">
        <f t="shared" si="1"/>
        <v>103218135</v>
      </c>
      <c r="D23" s="51">
        <v>103218135</v>
      </c>
      <c r="E23" s="52"/>
      <c r="F23" s="53"/>
      <c r="G23" s="54"/>
      <c r="H23" s="2476">
        <f t="shared" si="0"/>
        <v>9394542</v>
      </c>
      <c r="I23" s="51">
        <v>9394542</v>
      </c>
      <c r="J23" s="55"/>
      <c r="K23" s="53"/>
      <c r="L23" s="54"/>
    </row>
    <row r="24" spans="1:12" s="58" customFormat="1" ht="14.25" customHeight="1">
      <c r="A24" s="48" t="s">
        <v>271</v>
      </c>
      <c r="B24" s="49" t="s">
        <v>272</v>
      </c>
      <c r="C24" s="50">
        <f t="shared" si="1"/>
        <v>1485145</v>
      </c>
      <c r="D24" s="51">
        <v>1485145</v>
      </c>
      <c r="E24" s="52"/>
      <c r="F24" s="53"/>
      <c r="G24" s="54"/>
      <c r="H24" s="2476">
        <f t="shared" si="0"/>
        <v>135195903</v>
      </c>
      <c r="I24" s="51">
        <v>135195903</v>
      </c>
      <c r="J24" s="55"/>
      <c r="K24" s="53"/>
      <c r="L24" s="54"/>
    </row>
    <row r="25" spans="1:225" ht="14.25" customHeight="1">
      <c r="A25" s="48" t="s">
        <v>273</v>
      </c>
      <c r="B25" s="49" t="s">
        <v>274</v>
      </c>
      <c r="C25" s="50"/>
      <c r="D25" s="51"/>
      <c r="E25" s="52"/>
      <c r="F25" s="53"/>
      <c r="G25" s="54"/>
      <c r="H25" s="2476">
        <f t="shared" si="0"/>
        <v>23000</v>
      </c>
      <c r="I25" s="51">
        <v>23000</v>
      </c>
      <c r="J25" s="55"/>
      <c r="K25" s="53"/>
      <c r="L25" s="54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</row>
    <row r="26" spans="1:12" s="58" customFormat="1" ht="12.75" customHeight="1">
      <c r="A26" s="48" t="s">
        <v>275</v>
      </c>
      <c r="B26" s="49" t="s">
        <v>276</v>
      </c>
      <c r="C26" s="50">
        <f t="shared" si="1"/>
        <v>15000</v>
      </c>
      <c r="D26" s="51"/>
      <c r="E26" s="52"/>
      <c r="F26" s="53">
        <v>15000</v>
      </c>
      <c r="G26" s="54"/>
      <c r="H26" s="2476">
        <f t="shared" si="0"/>
        <v>3279600</v>
      </c>
      <c r="I26" s="51">
        <v>3264600</v>
      </c>
      <c r="J26" s="55"/>
      <c r="K26" s="53">
        <v>15000</v>
      </c>
      <c r="L26" s="54"/>
    </row>
    <row r="27" spans="1:12" s="58" customFormat="1" ht="13.5" customHeight="1">
      <c r="A27" s="48" t="s">
        <v>277</v>
      </c>
      <c r="B27" s="49" t="s">
        <v>278</v>
      </c>
      <c r="C27" s="50">
        <f t="shared" si="1"/>
        <v>27742100</v>
      </c>
      <c r="D27" s="51">
        <v>5092100</v>
      </c>
      <c r="E27" s="55">
        <v>395000</v>
      </c>
      <c r="F27" s="53">
        <f>22634000+16000</f>
        <v>22650000</v>
      </c>
      <c r="G27" s="54"/>
      <c r="H27" s="2476">
        <f t="shared" si="0"/>
        <v>47352168</v>
      </c>
      <c r="I27" s="51">
        <v>24702168</v>
      </c>
      <c r="J27" s="55">
        <f>412000+123500</f>
        <v>535500</v>
      </c>
      <c r="K27" s="53">
        <f>22634000+16000</f>
        <v>22650000</v>
      </c>
      <c r="L27" s="54"/>
    </row>
    <row r="28" spans="1:12" s="58" customFormat="1" ht="15" customHeight="1">
      <c r="A28" s="60" t="s">
        <v>279</v>
      </c>
      <c r="B28" s="56" t="s">
        <v>280</v>
      </c>
      <c r="C28" s="50">
        <f t="shared" si="1"/>
        <v>1772221</v>
      </c>
      <c r="D28" s="51">
        <v>1656221</v>
      </c>
      <c r="E28" s="52">
        <v>82852</v>
      </c>
      <c r="F28" s="53">
        <v>116000</v>
      </c>
      <c r="G28" s="54"/>
      <c r="H28" s="2476">
        <f t="shared" si="0"/>
        <v>5295003</v>
      </c>
      <c r="I28" s="51">
        <v>5179003</v>
      </c>
      <c r="J28" s="52">
        <v>82852</v>
      </c>
      <c r="K28" s="53">
        <v>116000</v>
      </c>
      <c r="L28" s="54"/>
    </row>
    <row r="29" spans="1:12" s="58" customFormat="1" ht="12.75" customHeight="1">
      <c r="A29" s="48" t="s">
        <v>281</v>
      </c>
      <c r="B29" s="56" t="s">
        <v>282</v>
      </c>
      <c r="C29" s="50">
        <f t="shared" si="1"/>
        <v>842227</v>
      </c>
      <c r="D29" s="51">
        <v>842227</v>
      </c>
      <c r="E29" s="52"/>
      <c r="F29" s="53"/>
      <c r="G29" s="54"/>
      <c r="H29" s="2476">
        <f t="shared" si="0"/>
        <v>11204227</v>
      </c>
      <c r="I29" s="51">
        <v>11204227</v>
      </c>
      <c r="J29" s="52"/>
      <c r="K29" s="53"/>
      <c r="L29" s="54"/>
    </row>
    <row r="30" spans="1:12" s="58" customFormat="1" ht="13.5" customHeight="1">
      <c r="A30" s="48" t="s">
        <v>283</v>
      </c>
      <c r="B30" s="56" t="s">
        <v>286</v>
      </c>
      <c r="C30" s="50">
        <f t="shared" si="1"/>
        <v>20000</v>
      </c>
      <c r="D30" s="51">
        <v>20000</v>
      </c>
      <c r="E30" s="52"/>
      <c r="F30" s="53"/>
      <c r="G30" s="54"/>
      <c r="H30" s="2476">
        <f t="shared" si="0"/>
        <v>23819700</v>
      </c>
      <c r="I30" s="51">
        <v>23819700</v>
      </c>
      <c r="J30" s="52"/>
      <c r="K30" s="53"/>
      <c r="L30" s="54"/>
    </row>
    <row r="31" spans="1:12" s="58" customFormat="1" ht="13.5" customHeight="1">
      <c r="A31" s="48" t="s">
        <v>287</v>
      </c>
      <c r="B31" s="56" t="s">
        <v>288</v>
      </c>
      <c r="C31" s="50">
        <f t="shared" si="1"/>
        <v>1464079</v>
      </c>
      <c r="D31" s="51">
        <f>1424079+40000</f>
        <v>1464079</v>
      </c>
      <c r="E31" s="52">
        <v>40000</v>
      </c>
      <c r="F31" s="53"/>
      <c r="G31" s="54"/>
      <c r="H31" s="2476">
        <f t="shared" si="0"/>
        <v>19226100</v>
      </c>
      <c r="I31" s="51">
        <v>19226100</v>
      </c>
      <c r="J31" s="52">
        <v>40000</v>
      </c>
      <c r="K31" s="53"/>
      <c r="L31" s="54"/>
    </row>
    <row r="32" spans="1:12" s="58" customFormat="1" ht="15" customHeight="1" thickBot="1">
      <c r="A32" s="61" t="s">
        <v>289</v>
      </c>
      <c r="B32" s="62" t="s">
        <v>290</v>
      </c>
      <c r="C32" s="50">
        <f t="shared" si="1"/>
        <v>1882000</v>
      </c>
      <c r="D32" s="63">
        <v>1882000</v>
      </c>
      <c r="E32" s="64">
        <v>666000</v>
      </c>
      <c r="F32" s="65"/>
      <c r="G32" s="66"/>
      <c r="H32" s="2477">
        <f t="shared" si="0"/>
        <v>12540150</v>
      </c>
      <c r="I32" s="63">
        <v>12540150</v>
      </c>
      <c r="J32" s="64"/>
      <c r="K32" s="65"/>
      <c r="L32" s="66"/>
    </row>
    <row r="33" spans="1:12" s="74" customFormat="1" ht="17.25" thickBot="1" thickTop="1">
      <c r="A33" s="67"/>
      <c r="B33" s="68" t="s">
        <v>291</v>
      </c>
      <c r="C33" s="69">
        <f>SUM(C12:C32)</f>
        <v>350706809</v>
      </c>
      <c r="D33" s="70">
        <f aca="true" t="shared" si="2" ref="D33:L33">SUM(D12:D32)</f>
        <v>318991432</v>
      </c>
      <c r="E33" s="71">
        <f t="shared" si="2"/>
        <v>1183852</v>
      </c>
      <c r="F33" s="72">
        <f t="shared" si="2"/>
        <v>31693277</v>
      </c>
      <c r="G33" s="73">
        <f t="shared" si="2"/>
        <v>22100</v>
      </c>
      <c r="H33" s="72">
        <f t="shared" si="2"/>
        <v>401349909</v>
      </c>
      <c r="I33" s="70">
        <f t="shared" si="2"/>
        <v>369634532</v>
      </c>
      <c r="J33" s="71">
        <f t="shared" si="2"/>
        <v>2735532</v>
      </c>
      <c r="K33" s="72">
        <f t="shared" si="2"/>
        <v>31693277</v>
      </c>
      <c r="L33" s="73">
        <f t="shared" si="2"/>
        <v>22100</v>
      </c>
    </row>
    <row r="34" spans="1:12" s="82" customFormat="1" ht="10.5" customHeight="1" thickTop="1">
      <c r="A34" s="75"/>
      <c r="B34" s="76" t="s">
        <v>292</v>
      </c>
      <c r="C34" s="77"/>
      <c r="D34" s="78"/>
      <c r="E34" s="79"/>
      <c r="F34" s="80"/>
      <c r="G34" s="81"/>
      <c r="H34" s="80">
        <v>8973100</v>
      </c>
      <c r="I34" s="78"/>
      <c r="J34" s="79"/>
      <c r="K34" s="80"/>
      <c r="L34" s="81"/>
    </row>
    <row r="35" spans="1:12" s="82" customFormat="1" ht="10.5" customHeight="1">
      <c r="A35" s="83"/>
      <c r="B35" s="84" t="s">
        <v>293</v>
      </c>
      <c r="C35" s="77">
        <v>24616200</v>
      </c>
      <c r="D35" s="78"/>
      <c r="E35" s="79"/>
      <c r="F35" s="80"/>
      <c r="G35" s="81"/>
      <c r="H35" s="80"/>
      <c r="I35" s="78"/>
      <c r="J35" s="79"/>
      <c r="K35" s="80"/>
      <c r="L35" s="81"/>
    </row>
    <row r="36" spans="1:12" s="82" customFormat="1" ht="13.5" customHeight="1" thickBot="1">
      <c r="A36" s="85"/>
      <c r="B36" s="86" t="s">
        <v>294</v>
      </c>
      <c r="C36" s="77">
        <v>35000000</v>
      </c>
      <c r="D36" s="78"/>
      <c r="E36" s="79"/>
      <c r="F36" s="80"/>
      <c r="G36" s="81"/>
      <c r="H36" s="80"/>
      <c r="I36" s="78"/>
      <c r="J36" s="79"/>
      <c r="K36" s="80"/>
      <c r="L36" s="81"/>
    </row>
    <row r="37" spans="1:12" s="22" customFormat="1" ht="15.75" hidden="1" thickBot="1">
      <c r="A37" s="87"/>
      <c r="B37" s="88" t="s">
        <v>295</v>
      </c>
      <c r="C37" s="89"/>
      <c r="D37" s="90"/>
      <c r="E37" s="91"/>
      <c r="F37" s="92"/>
      <c r="G37" s="93"/>
      <c r="H37" s="94">
        <f>I37+L37</f>
        <v>0</v>
      </c>
      <c r="I37" s="95">
        <v>0</v>
      </c>
      <c r="J37" s="96"/>
      <c r="K37" s="97"/>
      <c r="L37" s="98"/>
    </row>
    <row r="38" spans="1:12" s="74" customFormat="1" ht="15" customHeight="1" thickBot="1" thickTop="1">
      <c r="A38" s="2398" t="s">
        <v>296</v>
      </c>
      <c r="B38" s="2399"/>
      <c r="C38" s="69">
        <f>SUM(C33:C36)</f>
        <v>410323009</v>
      </c>
      <c r="D38" s="99"/>
      <c r="E38" s="100"/>
      <c r="F38" s="100"/>
      <c r="G38" s="101"/>
      <c r="H38" s="72">
        <f>SUM(H33:H36)</f>
        <v>410323009</v>
      </c>
      <c r="I38" s="99"/>
      <c r="J38" s="100"/>
      <c r="K38" s="100"/>
      <c r="L38" s="101"/>
    </row>
    <row r="39" spans="1:2" ht="15.75" thickTop="1">
      <c r="A39" s="102" t="s">
        <v>556</v>
      </c>
      <c r="B39" s="103"/>
    </row>
    <row r="40" spans="1:2" ht="15">
      <c r="A40" s="102" t="s">
        <v>297</v>
      </c>
      <c r="B40" s="103"/>
    </row>
    <row r="41" ht="15">
      <c r="A41" s="102" t="s">
        <v>780</v>
      </c>
    </row>
    <row r="42" ht="15">
      <c r="B42" s="104"/>
    </row>
  </sheetData>
  <mergeCells count="12">
    <mergeCell ref="A7:B7"/>
    <mergeCell ref="A38:B38"/>
    <mergeCell ref="F9:F10"/>
    <mergeCell ref="G9:G10"/>
    <mergeCell ref="A8:A10"/>
    <mergeCell ref="B8:B10"/>
    <mergeCell ref="C9:C10"/>
    <mergeCell ref="D9:D10"/>
    <mergeCell ref="K9:K10"/>
    <mergeCell ref="L9:L10"/>
    <mergeCell ref="I9:I10"/>
    <mergeCell ref="H9:H10"/>
  </mergeCells>
  <printOptions horizontalCentered="1"/>
  <pageMargins left="0.1968503937007874" right="0.1968503937007874" top="0.29" bottom="0.16" header="0.1968503937007874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3">
      <selection activeCell="A33" sqref="A33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6" t="s">
        <v>603</v>
      </c>
      <c r="D1" s="1068"/>
    </row>
    <row r="2" ht="14.25" customHeight="1">
      <c r="C2" s="473" t="s">
        <v>15</v>
      </c>
    </row>
    <row r="3" spans="1:4" ht="15.75" customHeight="1">
      <c r="A3" s="1327"/>
      <c r="B3" s="1327"/>
      <c r="C3" s="4" t="s">
        <v>16</v>
      </c>
      <c r="D3" s="1272"/>
    </row>
    <row r="4" spans="1:4" ht="13.5" customHeight="1">
      <c r="A4" s="1327"/>
      <c r="B4" s="1327"/>
      <c r="C4" s="118"/>
      <c r="D4" s="1272"/>
    </row>
    <row r="5" spans="1:4" ht="6.75" customHeight="1">
      <c r="A5" s="1327"/>
      <c r="B5" s="1327"/>
      <c r="C5" s="1067"/>
      <c r="D5" s="1272"/>
    </row>
    <row r="6" spans="1:4" ht="18.75">
      <c r="A6" s="1252" t="s">
        <v>604</v>
      </c>
      <c r="B6" s="1328"/>
      <c r="C6" s="1328"/>
      <c r="D6" s="1272"/>
    </row>
    <row r="7" spans="1:4" ht="23.25" customHeight="1">
      <c r="A7" s="1252" t="s">
        <v>605</v>
      </c>
      <c r="B7" s="1328"/>
      <c r="C7" s="1327"/>
      <c r="D7" s="1272"/>
    </row>
    <row r="8" spans="1:4" ht="18.75">
      <c r="A8" s="1070" t="s">
        <v>606</v>
      </c>
      <c r="B8" s="1328"/>
      <c r="C8" s="1327"/>
      <c r="D8" s="1272"/>
    </row>
    <row r="9" spans="1:4" ht="18.75">
      <c r="A9" s="1070" t="s">
        <v>607</v>
      </c>
      <c r="B9" s="1328"/>
      <c r="C9" s="1327"/>
      <c r="D9" s="1272"/>
    </row>
    <row r="10" spans="1:4" ht="18" customHeight="1" thickBot="1">
      <c r="A10" s="481" t="s">
        <v>777</v>
      </c>
      <c r="D10" s="1064" t="s">
        <v>237</v>
      </c>
    </row>
    <row r="11" spans="1:4" ht="28.5" customHeight="1" thickBot="1" thickTop="1">
      <c r="A11" s="1329" t="s">
        <v>539</v>
      </c>
      <c r="B11" s="1330" t="s">
        <v>239</v>
      </c>
      <c r="C11" s="1330" t="s">
        <v>608</v>
      </c>
      <c r="D11" s="1331" t="s">
        <v>609</v>
      </c>
    </row>
    <row r="12" spans="1:4" s="1335" customFormat="1" ht="12" customHeight="1" thickBot="1" thickTop="1">
      <c r="A12" s="1332">
        <v>1</v>
      </c>
      <c r="B12" s="1333">
        <v>2</v>
      </c>
      <c r="C12" s="1333">
        <v>3</v>
      </c>
      <c r="D12" s="1334">
        <v>4</v>
      </c>
    </row>
    <row r="13" spans="1:4" s="1264" customFormat="1" ht="45" customHeight="1" thickTop="1">
      <c r="A13" s="1336">
        <v>952</v>
      </c>
      <c r="B13" s="1337" t="s">
        <v>610</v>
      </c>
      <c r="C13" s="1338">
        <f>SUM(C16:C19)</f>
        <v>35000000</v>
      </c>
      <c r="D13" s="1339"/>
    </row>
    <row r="14" spans="1:4" ht="9.75" customHeight="1">
      <c r="A14" s="1340"/>
      <c r="B14" s="1341" t="s">
        <v>611</v>
      </c>
      <c r="C14" s="1342"/>
      <c r="D14" s="1343"/>
    </row>
    <row r="15" spans="1:4" ht="12" customHeight="1">
      <c r="A15" s="1340"/>
      <c r="B15" s="1341"/>
      <c r="C15" s="1342"/>
      <c r="D15" s="1343"/>
    </row>
    <row r="16" spans="1:4" s="1260" customFormat="1" ht="28.5" customHeight="1">
      <c r="A16" s="1340"/>
      <c r="B16" s="1344" t="s">
        <v>612</v>
      </c>
      <c r="C16" s="1345">
        <v>35000000</v>
      </c>
      <c r="D16" s="1343"/>
    </row>
    <row r="17" spans="1:4" ht="6" customHeight="1">
      <c r="A17" s="1340"/>
      <c r="B17" s="1346"/>
      <c r="C17" s="1347"/>
      <c r="D17" s="1348"/>
    </row>
    <row r="18" spans="1:4" s="1350" customFormat="1" ht="6" customHeight="1">
      <c r="A18" s="1340"/>
      <c r="B18" s="1346"/>
      <c r="C18" s="1349"/>
      <c r="D18" s="1343"/>
    </row>
    <row r="19" spans="1:4" ht="6" customHeight="1">
      <c r="A19" s="1340"/>
      <c r="B19" s="1346"/>
      <c r="C19" s="1349"/>
      <c r="D19" s="1348"/>
    </row>
    <row r="20" spans="1:4" s="1264" customFormat="1" ht="24.75" customHeight="1">
      <c r="A20" s="1336">
        <v>955</v>
      </c>
      <c r="B20" s="1351" t="s">
        <v>293</v>
      </c>
      <c r="C20" s="1352">
        <v>24616200</v>
      </c>
      <c r="D20" s="1353"/>
    </row>
    <row r="21" spans="1:4" s="1264" customFormat="1" ht="16.5" customHeight="1">
      <c r="A21" s="1354"/>
      <c r="B21" s="1355"/>
      <c r="C21" s="1356"/>
      <c r="D21" s="1339"/>
    </row>
    <row r="22" spans="1:4" s="1264" customFormat="1" ht="15">
      <c r="A22" s="1336">
        <v>992</v>
      </c>
      <c r="B22" s="1351" t="s">
        <v>613</v>
      </c>
      <c r="C22" s="1357"/>
      <c r="D22" s="1358">
        <f>SUM(D24:D27)</f>
        <v>8973100</v>
      </c>
    </row>
    <row r="23" spans="1:4" ht="15.75" customHeight="1">
      <c r="A23" s="1340"/>
      <c r="B23" s="1341" t="s">
        <v>611</v>
      </c>
      <c r="C23" s="1359"/>
      <c r="D23" s="1360"/>
    </row>
    <row r="24" spans="1:4" s="1350" customFormat="1" ht="19.5" customHeight="1">
      <c r="A24" s="1340"/>
      <c r="B24" s="1361" t="s">
        <v>614</v>
      </c>
      <c r="C24" s="1362"/>
      <c r="D24" s="1363">
        <v>6166700</v>
      </c>
    </row>
    <row r="25" spans="1:4" s="1350" customFormat="1" ht="19.5" customHeight="1">
      <c r="A25" s="1340"/>
      <c r="B25" s="1361" t="s">
        <v>615</v>
      </c>
      <c r="C25" s="1364"/>
      <c r="D25" s="1365">
        <v>1666700</v>
      </c>
    </row>
    <row r="26" spans="1:4" s="1350" customFormat="1" ht="19.5" customHeight="1">
      <c r="A26" s="1340"/>
      <c r="B26" s="1366" t="s">
        <v>616</v>
      </c>
      <c r="C26" s="1367"/>
      <c r="D26" s="1365">
        <v>200000</v>
      </c>
    </row>
    <row r="27" spans="1:4" s="1350" customFormat="1" ht="19.5" customHeight="1">
      <c r="A27" s="1340"/>
      <c r="B27" s="1366" t="s">
        <v>617</v>
      </c>
      <c r="C27" s="1367"/>
      <c r="D27" s="1365">
        <v>939700</v>
      </c>
    </row>
    <row r="28" spans="1:4" ht="5.25" customHeight="1" thickBot="1">
      <c r="A28" s="1368"/>
      <c r="B28" s="1369"/>
      <c r="C28" s="1370"/>
      <c r="D28" s="1371"/>
    </row>
    <row r="29" spans="1:4" s="1264" customFormat="1" ht="19.5" customHeight="1" thickBot="1" thickTop="1">
      <c r="A29" s="1372"/>
      <c r="B29" s="1373" t="s">
        <v>382</v>
      </c>
      <c r="C29" s="1374">
        <f>C20+C13+C21</f>
        <v>59616200</v>
      </c>
      <c r="D29" s="1192">
        <f>D22</f>
        <v>8973100</v>
      </c>
    </row>
    <row r="30" spans="1:4" s="1264" customFormat="1" ht="24" customHeight="1" thickBot="1" thickTop="1">
      <c r="A30" s="1372"/>
      <c r="B30" s="1373" t="s">
        <v>618</v>
      </c>
      <c r="C30" s="1375">
        <f>D29-C29</f>
        <v>-50643100</v>
      </c>
      <c r="D30" s="1376"/>
    </row>
    <row r="31" spans="1:4" ht="16.5" thickTop="1">
      <c r="A31" s="102" t="s">
        <v>556</v>
      </c>
      <c r="B31" s="103"/>
      <c r="C31" s="1377"/>
      <c r="D31" s="1377"/>
    </row>
    <row r="32" spans="1:4" ht="15.75">
      <c r="A32" s="102" t="s">
        <v>297</v>
      </c>
      <c r="B32" s="103"/>
      <c r="C32" s="1377"/>
      <c r="D32" s="1377"/>
    </row>
    <row r="33" spans="1:4" ht="15.75">
      <c r="A33" s="102" t="s">
        <v>780</v>
      </c>
      <c r="B33" s="1378"/>
      <c r="C33" s="1377"/>
      <c r="D33" s="1377"/>
    </row>
    <row r="34" spans="1:4" ht="15.75">
      <c r="A34" s="1379"/>
      <c r="B34" s="1378"/>
      <c r="C34" s="1377"/>
      <c r="D34" s="1377"/>
    </row>
    <row r="35" spans="1:4" ht="15.75">
      <c r="A35" s="1379"/>
      <c r="B35" s="1378"/>
      <c r="C35" s="1377"/>
      <c r="D35" s="1377"/>
    </row>
    <row r="36" spans="1:4" ht="15.75">
      <c r="A36" s="1379"/>
      <c r="B36" s="1378"/>
      <c r="C36" s="1377"/>
      <c r="D36" s="1377"/>
    </row>
    <row r="37" spans="1:4" ht="12.75">
      <c r="A37" s="1379"/>
      <c r="B37" s="1379"/>
      <c r="C37" s="1380"/>
      <c r="D37" s="1380"/>
    </row>
    <row r="38" spans="1:4" ht="12.75">
      <c r="A38" s="1379"/>
      <c r="B38" s="1379"/>
      <c r="C38" s="1380"/>
      <c r="D38" s="1380"/>
    </row>
    <row r="39" spans="1:4" ht="12.75">
      <c r="A39" s="1379"/>
      <c r="B39" s="1379"/>
      <c r="C39" s="1380"/>
      <c r="D39" s="1380"/>
    </row>
    <row r="40" spans="1:4" ht="12.75">
      <c r="A40" s="1068"/>
      <c r="B40" s="1068"/>
      <c r="C40" s="1381"/>
      <c r="D40" s="1381"/>
    </row>
    <row r="41" spans="1:4" ht="12.75">
      <c r="A41" s="1068"/>
      <c r="B41" s="1068"/>
      <c r="C41" s="1381"/>
      <c r="D41" s="1381"/>
    </row>
    <row r="42" spans="1:4" ht="12.75">
      <c r="A42" s="1068"/>
      <c r="B42" s="1068"/>
      <c r="C42" s="1381"/>
      <c r="D42" s="1381"/>
    </row>
    <row r="43" spans="1:4" ht="12.75">
      <c r="A43" s="1068"/>
      <c r="B43" s="1068"/>
      <c r="C43" s="1381"/>
      <c r="D43" s="1381"/>
    </row>
    <row r="44" spans="3:4" ht="12.75">
      <c r="C44" s="1382"/>
      <c r="D44" s="1382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3">
      <selection activeCell="A23" sqref="A23:A24"/>
    </sheetView>
  </sheetViews>
  <sheetFormatPr defaultColWidth="9.00390625" defaultRowHeight="12.75"/>
  <cols>
    <col min="1" max="1" width="24.125" style="1068" customWidth="1"/>
    <col min="2" max="2" width="17.75390625" style="1068" customWidth="1"/>
    <col min="3" max="3" width="25.625" style="1068" customWidth="1"/>
    <col min="4" max="4" width="21.75390625" style="1068" customWidth="1"/>
    <col min="5" max="16384" width="9.125" style="1068" customWidth="1"/>
  </cols>
  <sheetData>
    <row r="1" spans="3:4" ht="12.75">
      <c r="C1" s="4"/>
      <c r="D1" s="4" t="s">
        <v>619</v>
      </c>
    </row>
    <row r="2" spans="3:4" ht="12.75">
      <c r="C2" s="4"/>
      <c r="D2" s="4" t="s">
        <v>15</v>
      </c>
    </row>
    <row r="3" spans="3:4" ht="12.75">
      <c r="C3" s="4"/>
      <c r="D3" s="4" t="s">
        <v>16</v>
      </c>
    </row>
    <row r="4" ht="9.75" customHeight="1"/>
    <row r="5" spans="1:4" ht="22.5" customHeight="1">
      <c r="A5" s="1252" t="s">
        <v>620</v>
      </c>
      <c r="B5" s="1328"/>
      <c r="C5" s="1328"/>
      <c r="D5" s="1328"/>
    </row>
    <row r="6" spans="1:4" ht="22.5" customHeight="1">
      <c r="A6" s="1252" t="s">
        <v>32</v>
      </c>
      <c r="B6" s="1328"/>
      <c r="C6" s="1328"/>
      <c r="D6" s="1328"/>
    </row>
    <row r="7" spans="1:4" s="1385" customFormat="1" ht="18.75" customHeight="1">
      <c r="A7" s="1383" t="s">
        <v>621</v>
      </c>
      <c r="B7" s="1384"/>
      <c r="C7" s="1384"/>
      <c r="D7" s="1384"/>
    </row>
    <row r="8" spans="1:4" s="1150" customFormat="1" ht="18" customHeight="1" thickBot="1">
      <c r="A8" s="481" t="s">
        <v>777</v>
      </c>
      <c r="D8" s="1155" t="s">
        <v>237</v>
      </c>
    </row>
    <row r="9" spans="1:4" s="1097" customFormat="1" ht="41.25" customHeight="1" thickBot="1" thickTop="1">
      <c r="A9" s="1187" t="s">
        <v>239</v>
      </c>
      <c r="B9" s="1386" t="s">
        <v>622</v>
      </c>
      <c r="C9" s="1387" t="s">
        <v>239</v>
      </c>
      <c r="D9" s="1388" t="s">
        <v>622</v>
      </c>
    </row>
    <row r="10" spans="1:4" s="1064" customFormat="1" ht="15" customHeight="1" thickBot="1" thickTop="1">
      <c r="A10" s="1389">
        <v>1</v>
      </c>
      <c r="B10" s="1390">
        <v>2</v>
      </c>
      <c r="C10" s="1390">
        <v>3</v>
      </c>
      <c r="D10" s="1391">
        <v>4</v>
      </c>
    </row>
    <row r="11" spans="1:4" s="1140" customFormat="1" ht="46.5" customHeight="1" thickTop="1">
      <c r="A11" s="1392" t="s">
        <v>623</v>
      </c>
      <c r="B11" s="2325">
        <f>B14+B16</f>
        <v>350706809</v>
      </c>
      <c r="C11" s="1393" t="s">
        <v>624</v>
      </c>
      <c r="D11" s="2326">
        <f>SUM(D14:D16)</f>
        <v>401349909</v>
      </c>
    </row>
    <row r="12" spans="1:4" s="1397" customFormat="1" ht="21" customHeight="1">
      <c r="A12" s="1394" t="s">
        <v>625</v>
      </c>
      <c r="B12" s="1395">
        <f>B15+B17</f>
        <v>-50643100</v>
      </c>
      <c r="C12" s="1395"/>
      <c r="D12" s="2327"/>
    </row>
    <row r="13" spans="1:4" s="1400" customFormat="1" ht="13.5" customHeight="1">
      <c r="A13" s="1398" t="s">
        <v>626</v>
      </c>
      <c r="B13" s="1399"/>
      <c r="C13" s="1399" t="s">
        <v>626</v>
      </c>
      <c r="D13" s="2328"/>
    </row>
    <row r="14" spans="1:4" s="1126" customFormat="1" ht="21.75" customHeight="1">
      <c r="A14" s="1401" t="s">
        <v>627</v>
      </c>
      <c r="B14" s="2329">
        <v>246558380</v>
      </c>
      <c r="C14" s="1402" t="s">
        <v>627</v>
      </c>
      <c r="D14" s="2330">
        <v>266110676</v>
      </c>
    </row>
    <row r="15" spans="1:4" s="1397" customFormat="1" ht="22.5" customHeight="1">
      <c r="A15" s="1394" t="s">
        <v>628</v>
      </c>
      <c r="B15" s="1395">
        <f>B14-D14</f>
        <v>-19552296</v>
      </c>
      <c r="C15" s="1404"/>
      <c r="D15" s="1405"/>
    </row>
    <row r="16" spans="1:4" s="1126" customFormat="1" ht="24" customHeight="1">
      <c r="A16" s="1401" t="s">
        <v>629</v>
      </c>
      <c r="B16" s="1406">
        <v>104148429</v>
      </c>
      <c r="C16" s="1407" t="s">
        <v>629</v>
      </c>
      <c r="D16" s="1403">
        <v>135239233</v>
      </c>
    </row>
    <row r="17" spans="1:4" s="1397" customFormat="1" ht="24" customHeight="1" thickBot="1">
      <c r="A17" s="1394" t="s">
        <v>628</v>
      </c>
      <c r="B17" s="1395">
        <f>B16-D16</f>
        <v>-31090804</v>
      </c>
      <c r="C17" s="1395"/>
      <c r="D17" s="1396"/>
    </row>
    <row r="18" spans="1:4" s="1140" customFormat="1" ht="42.75" customHeight="1" thickTop="1">
      <c r="A18" s="1408" t="s">
        <v>630</v>
      </c>
      <c r="B18" s="1409">
        <f>B19</f>
        <v>59616200</v>
      </c>
      <c r="C18" s="1409" t="s">
        <v>631</v>
      </c>
      <c r="D18" s="1410">
        <f>SUM(D19)</f>
        <v>8973100</v>
      </c>
    </row>
    <row r="19" spans="1:4" s="1397" customFormat="1" ht="75" customHeight="1" thickBot="1">
      <c r="A19" s="1411" t="s">
        <v>632</v>
      </c>
      <c r="B19" s="1395">
        <v>59616200</v>
      </c>
      <c r="C19" s="1102" t="s">
        <v>633</v>
      </c>
      <c r="D19" s="1396">
        <v>8973100</v>
      </c>
    </row>
    <row r="20" spans="1:4" s="1415" customFormat="1" ht="53.25" customHeight="1" thickBot="1" thickTop="1">
      <c r="A20" s="1412" t="s">
        <v>634</v>
      </c>
      <c r="B20" s="2331">
        <f>SUM(B11+B18)</f>
        <v>410323009</v>
      </c>
      <c r="C20" s="1414" t="s">
        <v>635</v>
      </c>
      <c r="D20" s="2332">
        <f>D11+D18</f>
        <v>410323009</v>
      </c>
    </row>
    <row r="21" ht="13.5" thickTop="1">
      <c r="A21" s="103"/>
    </row>
    <row r="22" ht="12.75">
      <c r="A22" s="102" t="s">
        <v>556</v>
      </c>
    </row>
    <row r="23" ht="12.75">
      <c r="A23" s="102" t="s">
        <v>297</v>
      </c>
    </row>
    <row r="24" ht="12.75">
      <c r="A24" s="102" t="s">
        <v>780</v>
      </c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2">
      <selection activeCell="A32" sqref="A32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1001" t="s">
        <v>636</v>
      </c>
      <c r="K1" s="1001"/>
    </row>
    <row r="2" spans="10:11" ht="12.75">
      <c r="J2" s="4" t="s">
        <v>33</v>
      </c>
      <c r="K2" s="4"/>
    </row>
    <row r="3" spans="10:11" ht="12.75">
      <c r="J3" s="4" t="s">
        <v>16</v>
      </c>
      <c r="K3" s="4"/>
    </row>
    <row r="4" spans="10:11" ht="12.75">
      <c r="J4" s="4"/>
      <c r="K4" s="4"/>
    </row>
    <row r="5" ht="24.75" customHeight="1"/>
    <row r="6" spans="1:12" ht="21.75" customHeight="1">
      <c r="A6" s="1416" t="s">
        <v>637</v>
      </c>
      <c r="B6" s="1416"/>
      <c r="C6" s="1416"/>
      <c r="D6" s="1416"/>
      <c r="E6" s="1416"/>
      <c r="F6" s="1416"/>
      <c r="G6" s="1416"/>
      <c r="H6" s="1416"/>
      <c r="I6" s="1416"/>
      <c r="J6" s="1417"/>
      <c r="K6" s="1272"/>
      <c r="L6" s="1272"/>
    </row>
    <row r="7" spans="1:12" ht="39.75" customHeight="1">
      <c r="A7" s="2333" t="s">
        <v>34</v>
      </c>
      <c r="B7" s="1416"/>
      <c r="C7" s="1416"/>
      <c r="D7" s="1416"/>
      <c r="E7" s="1416"/>
      <c r="F7" s="1416"/>
      <c r="G7" s="1416"/>
      <c r="H7" s="1416"/>
      <c r="I7" s="1416"/>
      <c r="J7" s="1417"/>
      <c r="K7" s="1272"/>
      <c r="L7" s="1272"/>
    </row>
    <row r="8" spans="1:12" ht="14.25" customHeight="1" thickBot="1">
      <c r="A8" s="1068" t="s">
        <v>781</v>
      </c>
      <c r="L8" s="1064" t="s">
        <v>237</v>
      </c>
    </row>
    <row r="9" spans="1:12" ht="30" customHeight="1" thickTop="1">
      <c r="A9" s="1418" t="s">
        <v>638</v>
      </c>
      <c r="B9" s="1419" t="s">
        <v>239</v>
      </c>
      <c r="C9" s="2421" t="s">
        <v>639</v>
      </c>
      <c r="D9" s="2422"/>
      <c r="E9" s="2422"/>
      <c r="F9" s="2422"/>
      <c r="G9" s="2422"/>
      <c r="H9" s="2422"/>
      <c r="I9" s="2422"/>
      <c r="J9" s="2422"/>
      <c r="K9" s="2423"/>
      <c r="L9" s="2334" t="s">
        <v>242</v>
      </c>
    </row>
    <row r="10" spans="1:12" ht="19.5" customHeight="1" thickBot="1">
      <c r="A10" s="1420"/>
      <c r="B10" s="1421"/>
      <c r="C10" s="1422">
        <v>600</v>
      </c>
      <c r="D10" s="1423">
        <v>700</v>
      </c>
      <c r="E10" s="1424">
        <v>750</v>
      </c>
      <c r="F10" s="1425">
        <v>801</v>
      </c>
      <c r="G10" s="1425">
        <v>852</v>
      </c>
      <c r="H10" s="1424">
        <v>854</v>
      </c>
      <c r="I10" s="1425">
        <v>900</v>
      </c>
      <c r="J10" s="1425">
        <v>921</v>
      </c>
      <c r="K10" s="1425">
        <v>926</v>
      </c>
      <c r="L10" s="1426"/>
    </row>
    <row r="11" spans="1:12" s="1335" customFormat="1" ht="11.25" customHeight="1" thickBot="1" thickTop="1">
      <c r="A11" s="2335">
        <v>1</v>
      </c>
      <c r="B11" s="2336">
        <v>2</v>
      </c>
      <c r="C11" s="2336">
        <v>3</v>
      </c>
      <c r="D11" s="1333">
        <v>4</v>
      </c>
      <c r="E11" s="1333">
        <v>5</v>
      </c>
      <c r="F11" s="1333">
        <v>6</v>
      </c>
      <c r="G11" s="1333">
        <v>7</v>
      </c>
      <c r="H11" s="1333">
        <v>7</v>
      </c>
      <c r="I11" s="1333">
        <v>8</v>
      </c>
      <c r="J11" s="1333">
        <v>9</v>
      </c>
      <c r="K11" s="1333">
        <v>10</v>
      </c>
      <c r="L11" s="1334">
        <v>11</v>
      </c>
    </row>
    <row r="12" spans="1:12" s="1278" customFormat="1" ht="30" customHeight="1" thickTop="1">
      <c r="A12" s="1427">
        <v>1</v>
      </c>
      <c r="B12" s="2337" t="s">
        <v>640</v>
      </c>
      <c r="C12" s="1428">
        <f>31900+9000</f>
        <v>40900</v>
      </c>
      <c r="D12" s="1428"/>
      <c r="E12" s="1428">
        <f>7500+5100</f>
        <v>12600</v>
      </c>
      <c r="F12" s="1428"/>
      <c r="G12" s="1428"/>
      <c r="H12" s="1428">
        <f>200+100</f>
        <v>300</v>
      </c>
      <c r="I12" s="1428">
        <f>37500-37500</f>
        <v>0</v>
      </c>
      <c r="J12" s="1428">
        <f>800+200</f>
        <v>1000</v>
      </c>
      <c r="K12" s="1428">
        <f>800+200</f>
        <v>1000</v>
      </c>
      <c r="L12" s="2338">
        <f>SUM(C12:K12)</f>
        <v>55800</v>
      </c>
    </row>
    <row r="13" spans="1:12" s="1278" customFormat="1" ht="30" customHeight="1">
      <c r="A13" s="1429">
        <v>2</v>
      </c>
      <c r="B13" s="2339" t="s">
        <v>641</v>
      </c>
      <c r="C13" s="1428"/>
      <c r="D13" s="1430">
        <v>700</v>
      </c>
      <c r="E13" s="1430">
        <v>8100</v>
      </c>
      <c r="F13" s="1430"/>
      <c r="G13" s="1430"/>
      <c r="H13" s="1430"/>
      <c r="I13" s="1430">
        <f>24000+6500</f>
        <v>30500</v>
      </c>
      <c r="J13" s="1430"/>
      <c r="K13" s="1430">
        <v>1200</v>
      </c>
      <c r="L13" s="2338">
        <f aca="true" t="shared" si="0" ref="L13:L28">SUM(C13:K13)</f>
        <v>40500</v>
      </c>
    </row>
    <row r="14" spans="1:12" s="1278" customFormat="1" ht="30" customHeight="1" hidden="1">
      <c r="A14" s="1429"/>
      <c r="B14" s="2339"/>
      <c r="C14" s="1428"/>
      <c r="D14" s="1430"/>
      <c r="E14" s="1430"/>
      <c r="F14" s="1430"/>
      <c r="G14" s="1430"/>
      <c r="H14" s="1430"/>
      <c r="I14" s="1430"/>
      <c r="J14" s="1430"/>
      <c r="K14" s="1430"/>
      <c r="L14" s="2338">
        <f t="shared" si="0"/>
        <v>0</v>
      </c>
    </row>
    <row r="15" spans="1:12" s="1278" customFormat="1" ht="30" customHeight="1">
      <c r="A15" s="1429">
        <v>3</v>
      </c>
      <c r="B15" s="2339" t="s">
        <v>35</v>
      </c>
      <c r="C15" s="1430">
        <f>42000+11000</f>
        <v>53000</v>
      </c>
      <c r="D15" s="1430">
        <v>2000</v>
      </c>
      <c r="E15" s="1430">
        <f>7400+300</f>
        <v>7700</v>
      </c>
      <c r="F15" s="1430"/>
      <c r="G15" s="1430"/>
      <c r="H15" s="1430">
        <v>1500</v>
      </c>
      <c r="I15" s="1430"/>
      <c r="J15" s="1430">
        <v>1400</v>
      </c>
      <c r="K15" s="1430">
        <f>4300-300</f>
        <v>4000</v>
      </c>
      <c r="L15" s="2338">
        <f t="shared" si="0"/>
        <v>69600</v>
      </c>
    </row>
    <row r="16" spans="1:12" s="1278" customFormat="1" ht="30" customHeight="1">
      <c r="A16" s="1429">
        <v>4</v>
      </c>
      <c r="B16" s="2339" t="s">
        <v>36</v>
      </c>
      <c r="C16" s="1430">
        <v>18000</v>
      </c>
      <c r="D16" s="1430"/>
      <c r="E16" s="1430">
        <v>12400</v>
      </c>
      <c r="F16" s="1430"/>
      <c r="G16" s="1430"/>
      <c r="H16" s="1430">
        <v>500</v>
      </c>
      <c r="I16" s="1430">
        <v>75000</v>
      </c>
      <c r="J16" s="1430">
        <v>2000</v>
      </c>
      <c r="K16" s="1430">
        <v>3600</v>
      </c>
      <c r="L16" s="2338">
        <f t="shared" si="0"/>
        <v>111500</v>
      </c>
    </row>
    <row r="17" spans="1:12" s="1278" customFormat="1" ht="30" customHeight="1">
      <c r="A17" s="1429">
        <v>5</v>
      </c>
      <c r="B17" s="2339" t="s">
        <v>642</v>
      </c>
      <c r="C17" s="1430">
        <f>7400+4000</f>
        <v>11400</v>
      </c>
      <c r="D17" s="1430"/>
      <c r="E17" s="1430">
        <v>1600</v>
      </c>
      <c r="F17" s="1430"/>
      <c r="G17" s="1430"/>
      <c r="H17" s="1430"/>
      <c r="I17" s="1430"/>
      <c r="J17" s="1430">
        <v>500</v>
      </c>
      <c r="K17" s="1430">
        <v>500</v>
      </c>
      <c r="L17" s="2338">
        <f>SUM(C17:K17)</f>
        <v>14000</v>
      </c>
    </row>
    <row r="18" spans="1:12" s="1278" customFormat="1" ht="30" customHeight="1">
      <c r="A18" s="1429">
        <v>6</v>
      </c>
      <c r="B18" s="2339" t="s">
        <v>643</v>
      </c>
      <c r="C18" s="1430"/>
      <c r="D18" s="1430">
        <v>1300</v>
      </c>
      <c r="E18" s="1430">
        <f>5100-800</f>
        <v>4300</v>
      </c>
      <c r="F18" s="1430"/>
      <c r="G18" s="1430"/>
      <c r="H18" s="1430">
        <f>2300+800</f>
        <v>3100</v>
      </c>
      <c r="I18" s="1430">
        <f>48000+12000</f>
        <v>60000</v>
      </c>
      <c r="J18" s="1430">
        <v>2900</v>
      </c>
      <c r="K18" s="1430">
        <v>1000</v>
      </c>
      <c r="L18" s="2338">
        <f t="shared" si="0"/>
        <v>72600</v>
      </c>
    </row>
    <row r="19" spans="1:12" s="1278" customFormat="1" ht="30" customHeight="1">
      <c r="A19" s="1429">
        <v>7</v>
      </c>
      <c r="B19" s="2339" t="s">
        <v>644</v>
      </c>
      <c r="C19" s="1430">
        <v>70000</v>
      </c>
      <c r="D19" s="1430">
        <v>2000</v>
      </c>
      <c r="E19" s="1430">
        <v>6000</v>
      </c>
      <c r="F19" s="1430"/>
      <c r="G19" s="1430"/>
      <c r="H19" s="1430">
        <v>1300</v>
      </c>
      <c r="I19" s="1430">
        <v>16000</v>
      </c>
      <c r="J19" s="1430">
        <v>2300</v>
      </c>
      <c r="K19" s="1430">
        <v>1400</v>
      </c>
      <c r="L19" s="2338">
        <f t="shared" si="0"/>
        <v>99000</v>
      </c>
    </row>
    <row r="20" spans="1:12" s="1278" customFormat="1" ht="30" customHeight="1">
      <c r="A20" s="1429">
        <v>8</v>
      </c>
      <c r="B20" s="2339" t="s">
        <v>37</v>
      </c>
      <c r="C20" s="1430">
        <f>40300-3700+15000</f>
        <v>51600</v>
      </c>
      <c r="D20" s="1430"/>
      <c r="E20" s="1430">
        <f>16000+3700</f>
        <v>19700</v>
      </c>
      <c r="F20" s="1430"/>
      <c r="G20" s="1430"/>
      <c r="H20" s="1430">
        <v>800</v>
      </c>
      <c r="I20" s="1430">
        <v>17000</v>
      </c>
      <c r="J20" s="1430">
        <v>1000</v>
      </c>
      <c r="K20" s="1430">
        <v>1800</v>
      </c>
      <c r="L20" s="2338">
        <f t="shared" si="0"/>
        <v>91900</v>
      </c>
    </row>
    <row r="21" spans="1:12" s="1278" customFormat="1" ht="30" customHeight="1">
      <c r="A21" s="1429">
        <v>9</v>
      </c>
      <c r="B21" s="2339" t="s">
        <v>645</v>
      </c>
      <c r="C21" s="1430">
        <f>11000+6000</f>
        <v>17000</v>
      </c>
      <c r="D21" s="1430"/>
      <c r="E21" s="1430">
        <v>3700</v>
      </c>
      <c r="F21" s="1430"/>
      <c r="G21" s="1430"/>
      <c r="H21" s="1430"/>
      <c r="I21" s="1430"/>
      <c r="J21" s="1430"/>
      <c r="K21" s="1430">
        <v>2700</v>
      </c>
      <c r="L21" s="2338">
        <f t="shared" si="0"/>
        <v>23400</v>
      </c>
    </row>
    <row r="22" spans="1:12" s="1278" customFormat="1" ht="30" customHeight="1">
      <c r="A22" s="1429">
        <v>10</v>
      </c>
      <c r="B22" s="2339" t="s">
        <v>38</v>
      </c>
      <c r="C22" s="1430"/>
      <c r="D22" s="1430"/>
      <c r="E22" s="1430">
        <v>27100</v>
      </c>
      <c r="F22" s="1430"/>
      <c r="G22" s="1430"/>
      <c r="H22" s="1430">
        <v>2000</v>
      </c>
      <c r="I22" s="1430">
        <f>30000+13000</f>
        <v>43000</v>
      </c>
      <c r="J22" s="1430">
        <v>5000</v>
      </c>
      <c r="K22" s="1430">
        <v>4000</v>
      </c>
      <c r="L22" s="2338">
        <f t="shared" si="0"/>
        <v>81100</v>
      </c>
    </row>
    <row r="23" spans="1:12" s="1278" customFormat="1" ht="30" customHeight="1">
      <c r="A23" s="1429">
        <v>11</v>
      </c>
      <c r="B23" s="2339" t="s">
        <v>39</v>
      </c>
      <c r="C23" s="1430">
        <f>64300+16500</f>
        <v>80800</v>
      </c>
      <c r="D23" s="1430">
        <v>2600</v>
      </c>
      <c r="E23" s="1430">
        <v>6500</v>
      </c>
      <c r="F23" s="1430"/>
      <c r="G23" s="1430"/>
      <c r="H23" s="1430"/>
      <c r="I23" s="1430"/>
      <c r="J23" s="1430">
        <v>5700</v>
      </c>
      <c r="K23" s="1430">
        <v>5300</v>
      </c>
      <c r="L23" s="2338">
        <f>SUM(C23:K23)</f>
        <v>100900</v>
      </c>
    </row>
    <row r="24" spans="1:12" s="1278" customFormat="1" ht="30" customHeight="1">
      <c r="A24" s="1429">
        <v>12</v>
      </c>
      <c r="B24" s="2339" t="s">
        <v>646</v>
      </c>
      <c r="C24" s="1430"/>
      <c r="D24" s="1430">
        <v>5300</v>
      </c>
      <c r="E24" s="1430">
        <v>28100</v>
      </c>
      <c r="F24" s="1430">
        <v>15000</v>
      </c>
      <c r="G24" s="1430"/>
      <c r="H24" s="1430">
        <v>3500</v>
      </c>
      <c r="I24" s="1430">
        <f>20000+16500</f>
        <v>36500</v>
      </c>
      <c r="J24" s="1430">
        <v>9100</v>
      </c>
      <c r="K24" s="1430">
        <v>3300</v>
      </c>
      <c r="L24" s="2338">
        <f t="shared" si="0"/>
        <v>100800</v>
      </c>
    </row>
    <row r="25" spans="1:12" s="1278" customFormat="1" ht="30" customHeight="1">
      <c r="A25" s="1429">
        <v>13</v>
      </c>
      <c r="B25" s="2339" t="s">
        <v>40</v>
      </c>
      <c r="C25" s="1430">
        <f>25700+13000</f>
        <v>38700</v>
      </c>
      <c r="D25" s="1430">
        <v>1500</v>
      </c>
      <c r="E25" s="1430">
        <v>18800</v>
      </c>
      <c r="F25" s="1430">
        <v>8000</v>
      </c>
      <c r="G25" s="1430"/>
      <c r="H25" s="1430"/>
      <c r="I25" s="1430">
        <v>4000</v>
      </c>
      <c r="J25" s="1430">
        <v>4000</v>
      </c>
      <c r="K25" s="1430">
        <v>4000</v>
      </c>
      <c r="L25" s="2338">
        <f t="shared" si="0"/>
        <v>79000</v>
      </c>
    </row>
    <row r="26" spans="1:12" s="1278" customFormat="1" ht="30" customHeight="1">
      <c r="A26" s="1429">
        <v>14</v>
      </c>
      <c r="B26" s="2339" t="s">
        <v>647</v>
      </c>
      <c r="C26" s="1430">
        <f>5000-2000</f>
        <v>3000</v>
      </c>
      <c r="D26" s="1432">
        <v>1000</v>
      </c>
      <c r="E26" s="1432">
        <f>3000+1000</f>
        <v>4000</v>
      </c>
      <c r="F26" s="1432"/>
      <c r="G26" s="1432"/>
      <c r="H26" s="1432"/>
      <c r="I26" s="1432">
        <v>5500</v>
      </c>
      <c r="J26" s="1432"/>
      <c r="K26" s="1432">
        <v>2000</v>
      </c>
      <c r="L26" s="2338">
        <f t="shared" si="0"/>
        <v>15500</v>
      </c>
    </row>
    <row r="27" spans="1:12" s="1278" customFormat="1" ht="30" customHeight="1">
      <c r="A27" s="1429">
        <v>15</v>
      </c>
      <c r="B27" s="2339" t="s">
        <v>648</v>
      </c>
      <c r="C27" s="1430"/>
      <c r="D27" s="1432">
        <f>2000+1000</f>
        <v>3000</v>
      </c>
      <c r="E27" s="1432">
        <v>7950</v>
      </c>
      <c r="F27" s="1432"/>
      <c r="G27" s="1432"/>
      <c r="H27" s="1432">
        <f>4500+2000</f>
        <v>6500</v>
      </c>
      <c r="I27" s="1432">
        <f>67000-4000+17000</f>
        <v>80000</v>
      </c>
      <c r="J27" s="1432">
        <f>4000+1000</f>
        <v>5000</v>
      </c>
      <c r="K27" s="1432">
        <v>2050</v>
      </c>
      <c r="L27" s="2338">
        <f t="shared" si="0"/>
        <v>104500</v>
      </c>
    </row>
    <row r="28" spans="1:12" s="1278" customFormat="1" ht="30" customHeight="1" thickBot="1">
      <c r="A28" s="1431">
        <v>16</v>
      </c>
      <c r="B28" s="2340" t="s">
        <v>649</v>
      </c>
      <c r="C28" s="1430">
        <f>93000+24000</f>
        <v>117000</v>
      </c>
      <c r="D28" s="1432">
        <v>1500</v>
      </c>
      <c r="E28" s="1432">
        <f>24200+100</f>
        <v>24300</v>
      </c>
      <c r="F28" s="1432">
        <v>7000</v>
      </c>
      <c r="G28" s="1432"/>
      <c r="H28" s="1432">
        <f>2600-1300</f>
        <v>1300</v>
      </c>
      <c r="I28" s="1432">
        <v>30000</v>
      </c>
      <c r="J28" s="1432">
        <f>4400+2400-1200</f>
        <v>5600</v>
      </c>
      <c r="K28" s="1432">
        <v>2300</v>
      </c>
      <c r="L28" s="2338">
        <f t="shared" si="0"/>
        <v>189000</v>
      </c>
    </row>
    <row r="29" spans="1:12" s="1435" customFormat="1" ht="29.25" customHeight="1" thickBot="1" thickTop="1">
      <c r="A29" s="1433"/>
      <c r="B29" s="2341" t="s">
        <v>242</v>
      </c>
      <c r="C29" s="1374">
        <f>SUM(C12:C28)</f>
        <v>501400</v>
      </c>
      <c r="D29" s="1374">
        <f>SUM(D12:D28)</f>
        <v>20900</v>
      </c>
      <c r="E29" s="1374">
        <f aca="true" t="shared" si="1" ref="E29:K29">SUM(E12:E28)</f>
        <v>192850</v>
      </c>
      <c r="F29" s="1374">
        <f t="shared" si="1"/>
        <v>30000</v>
      </c>
      <c r="G29" s="1374">
        <f t="shared" si="1"/>
        <v>0</v>
      </c>
      <c r="H29" s="1374">
        <f t="shared" si="1"/>
        <v>20800</v>
      </c>
      <c r="I29" s="1374">
        <f t="shared" si="1"/>
        <v>397500</v>
      </c>
      <c r="J29" s="1374">
        <f t="shared" si="1"/>
        <v>45500</v>
      </c>
      <c r="K29" s="1374">
        <f t="shared" si="1"/>
        <v>40150</v>
      </c>
      <c r="L29" s="1146">
        <f>SUM(C29:K29)</f>
        <v>1249100</v>
      </c>
    </row>
    <row r="30" spans="1:2" s="1068" customFormat="1" ht="13.5" thickTop="1">
      <c r="A30" s="1068" t="s">
        <v>650</v>
      </c>
      <c r="B30" s="1001"/>
    </row>
    <row r="31" spans="1:2" ht="12.75">
      <c r="A31" s="102" t="s">
        <v>297</v>
      </c>
      <c r="B31" s="103"/>
    </row>
    <row r="32" ht="12.75">
      <c r="A32" s="102" t="s">
        <v>780</v>
      </c>
    </row>
  </sheetData>
  <mergeCells count="1">
    <mergeCell ref="C9:K9"/>
  </mergeCells>
  <printOptions horizontalCentered="1"/>
  <pageMargins left="0.2362204724409449" right="0.2362204724409449" top="0.68" bottom="0.6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40"/>
  <sheetViews>
    <sheetView workbookViewId="0" topLeftCell="A110">
      <selection activeCell="A119" sqref="A119"/>
    </sheetView>
  </sheetViews>
  <sheetFormatPr defaultColWidth="9.00390625" defaultRowHeight="12.75"/>
  <cols>
    <col min="1" max="1" width="6.375" style="1436" customWidth="1"/>
    <col min="2" max="2" width="46.375" style="1437" customWidth="1"/>
    <col min="3" max="4" width="11.375" style="1438" customWidth="1"/>
    <col min="5" max="5" width="11.25390625" style="1438" customWidth="1"/>
    <col min="6" max="189" width="10.00390625" style="1438" customWidth="1"/>
    <col min="190" max="16384" width="10.00390625" style="1440" customWidth="1"/>
  </cols>
  <sheetData>
    <row r="1" spans="4:5" ht="12" customHeight="1">
      <c r="D1" s="1439" t="s">
        <v>651</v>
      </c>
      <c r="E1"/>
    </row>
    <row r="2" spans="4:5" ht="12" customHeight="1">
      <c r="D2" s="473" t="s">
        <v>15</v>
      </c>
      <c r="E2"/>
    </row>
    <row r="3" spans="4:5" ht="12" customHeight="1">
      <c r="D3" s="4" t="s">
        <v>16</v>
      </c>
      <c r="E3"/>
    </row>
    <row r="4" spans="4:5" ht="12" customHeight="1">
      <c r="D4" s="118"/>
      <c r="E4"/>
    </row>
    <row r="5" spans="4:5" ht="5.25" customHeight="1">
      <c r="D5" s="4"/>
      <c r="E5"/>
    </row>
    <row r="6" spans="1:5" s="1445" customFormat="1" ht="18" customHeight="1">
      <c r="A6" s="1441" t="s">
        <v>652</v>
      </c>
      <c r="B6" s="1442"/>
      <c r="C6" s="1443"/>
      <c r="D6" s="1443"/>
      <c r="E6" s="1444"/>
    </row>
    <row r="7" spans="1:5" s="1448" customFormat="1" ht="33" customHeight="1">
      <c r="A7" s="1446" t="s">
        <v>653</v>
      </c>
      <c r="B7" s="1442"/>
      <c r="C7" s="1443"/>
      <c r="D7" s="1443"/>
      <c r="E7" s="1447"/>
    </row>
    <row r="8" spans="1:189" s="1453" customFormat="1" ht="13.5" customHeight="1" thickBot="1">
      <c r="A8" s="481" t="s">
        <v>777</v>
      </c>
      <c r="B8" s="1449"/>
      <c r="C8" s="1450"/>
      <c r="D8" s="1450"/>
      <c r="E8" s="1451" t="s">
        <v>237</v>
      </c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2"/>
      <c r="V8" s="1452"/>
      <c r="W8" s="1452"/>
      <c r="X8" s="1452"/>
      <c r="Y8" s="1452"/>
      <c r="Z8" s="1452"/>
      <c r="AA8" s="1452"/>
      <c r="AB8" s="1452"/>
      <c r="AC8" s="1452"/>
      <c r="AD8" s="1452"/>
      <c r="AE8" s="1452"/>
      <c r="AF8" s="1452"/>
      <c r="AG8" s="1452"/>
      <c r="AH8" s="1452"/>
      <c r="AI8" s="1452"/>
      <c r="AJ8" s="1452"/>
      <c r="AK8" s="1452"/>
      <c r="AL8" s="1452"/>
      <c r="AM8" s="1452"/>
      <c r="AN8" s="1452"/>
      <c r="AO8" s="1452"/>
      <c r="AP8" s="1452"/>
      <c r="AQ8" s="1452"/>
      <c r="AR8" s="1452"/>
      <c r="AS8" s="1452"/>
      <c r="AT8" s="1452"/>
      <c r="AU8" s="1452"/>
      <c r="AV8" s="1452"/>
      <c r="AW8" s="1452"/>
      <c r="AX8" s="1452"/>
      <c r="AY8" s="1452"/>
      <c r="AZ8" s="1452"/>
      <c r="BA8" s="1452"/>
      <c r="BB8" s="1452"/>
      <c r="BC8" s="1452"/>
      <c r="BD8" s="1452"/>
      <c r="BE8" s="1452"/>
      <c r="BF8" s="1452"/>
      <c r="BG8" s="1452"/>
      <c r="BH8" s="1452"/>
      <c r="BI8" s="1452"/>
      <c r="BJ8" s="1452"/>
      <c r="BK8" s="1452"/>
      <c r="BL8" s="1452"/>
      <c r="BM8" s="1452"/>
      <c r="BN8" s="1452"/>
      <c r="BO8" s="1452"/>
      <c r="BP8" s="1452"/>
      <c r="BQ8" s="1452"/>
      <c r="BR8" s="1452"/>
      <c r="BS8" s="1452"/>
      <c r="BT8" s="1452"/>
      <c r="BU8" s="1452"/>
      <c r="BV8" s="1452"/>
      <c r="BW8" s="1452"/>
      <c r="BX8" s="1452"/>
      <c r="BY8" s="1452"/>
      <c r="BZ8" s="1452"/>
      <c r="CA8" s="1452"/>
      <c r="CB8" s="1452"/>
      <c r="CC8" s="1452"/>
      <c r="CD8" s="1452"/>
      <c r="CE8" s="1452"/>
      <c r="CF8" s="1452"/>
      <c r="CG8" s="1452"/>
      <c r="CH8" s="1452"/>
      <c r="CI8" s="1452"/>
      <c r="CJ8" s="1452"/>
      <c r="CK8" s="1452"/>
      <c r="CL8" s="1452"/>
      <c r="CM8" s="1452"/>
      <c r="CN8" s="1452"/>
      <c r="CO8" s="1452"/>
      <c r="CP8" s="1452"/>
      <c r="CQ8" s="1452"/>
      <c r="CR8" s="1452"/>
      <c r="CS8" s="1452"/>
      <c r="CT8" s="1452"/>
      <c r="CU8" s="1452"/>
      <c r="CV8" s="1452"/>
      <c r="CW8" s="1452"/>
      <c r="CX8" s="1452"/>
      <c r="CY8" s="1452"/>
      <c r="CZ8" s="1452"/>
      <c r="DA8" s="1452"/>
      <c r="DB8" s="1452"/>
      <c r="DC8" s="1452"/>
      <c r="DD8" s="1452"/>
      <c r="DE8" s="1452"/>
      <c r="DF8" s="1452"/>
      <c r="DG8" s="1452"/>
      <c r="DH8" s="1452"/>
      <c r="DI8" s="1452"/>
      <c r="DJ8" s="1452"/>
      <c r="DK8" s="1452"/>
      <c r="DL8" s="1452"/>
      <c r="DM8" s="1452"/>
      <c r="DN8" s="1452"/>
      <c r="DO8" s="1452"/>
      <c r="DP8" s="1452"/>
      <c r="DQ8" s="1452"/>
      <c r="DR8" s="1452"/>
      <c r="DS8" s="1452"/>
      <c r="DT8" s="1452"/>
      <c r="DU8" s="1452"/>
      <c r="DV8" s="1452"/>
      <c r="DW8" s="1452"/>
      <c r="DX8" s="1452"/>
      <c r="DY8" s="1452"/>
      <c r="DZ8" s="1452"/>
      <c r="EA8" s="1452"/>
      <c r="EB8" s="1452"/>
      <c r="EC8" s="1452"/>
      <c r="ED8" s="1452"/>
      <c r="EE8" s="1452"/>
      <c r="EF8" s="1452"/>
      <c r="EG8" s="1452"/>
      <c r="EH8" s="1452"/>
      <c r="EI8" s="1452"/>
      <c r="EJ8" s="1452"/>
      <c r="EK8" s="1452"/>
      <c r="EL8" s="1452"/>
      <c r="EM8" s="1452"/>
      <c r="EN8" s="1452"/>
      <c r="EO8" s="1452"/>
      <c r="EP8" s="1452"/>
      <c r="EQ8" s="1452"/>
      <c r="ER8" s="1452"/>
      <c r="ES8" s="1452"/>
      <c r="ET8" s="1452"/>
      <c r="EU8" s="1452"/>
      <c r="EV8" s="1452"/>
      <c r="EW8" s="1452"/>
      <c r="EX8" s="1452"/>
      <c r="EY8" s="1452"/>
      <c r="EZ8" s="1452"/>
      <c r="FA8" s="1452"/>
      <c r="FB8" s="1452"/>
      <c r="FC8" s="1452"/>
      <c r="FD8" s="1452"/>
      <c r="FE8" s="1452"/>
      <c r="FF8" s="1452"/>
      <c r="FG8" s="1452"/>
      <c r="FH8" s="1452"/>
      <c r="FI8" s="1452"/>
      <c r="FJ8" s="1452"/>
      <c r="FK8" s="1452"/>
      <c r="FL8" s="1452"/>
      <c r="FM8" s="1452"/>
      <c r="FN8" s="1452"/>
      <c r="FO8" s="1452"/>
      <c r="FP8" s="1452"/>
      <c r="FQ8" s="1452"/>
      <c r="FR8" s="1452"/>
      <c r="FS8" s="1452"/>
      <c r="FT8" s="1452"/>
      <c r="FU8" s="1452"/>
      <c r="FV8" s="1452"/>
      <c r="FW8" s="1452"/>
      <c r="FX8" s="1452"/>
      <c r="FY8" s="1452"/>
      <c r="FZ8" s="1452"/>
      <c r="GA8" s="1452"/>
      <c r="GB8" s="1452"/>
      <c r="GC8" s="1452"/>
      <c r="GD8" s="1452"/>
      <c r="GE8" s="1452"/>
      <c r="GF8" s="1452"/>
      <c r="GG8" s="1452"/>
    </row>
    <row r="9" spans="1:5" ht="25.5" customHeight="1" thickBot="1" thickTop="1">
      <c r="A9" s="1454" t="s">
        <v>654</v>
      </c>
      <c r="B9" s="1455" t="s">
        <v>586</v>
      </c>
      <c r="C9" s="1456" t="s">
        <v>242</v>
      </c>
      <c r="D9" s="1457" t="s">
        <v>302</v>
      </c>
      <c r="E9" s="1458" t="s">
        <v>303</v>
      </c>
    </row>
    <row r="10" spans="1:5" s="1464" customFormat="1" ht="9" customHeight="1" thickBot="1" thickTop="1">
      <c r="A10" s="1459">
        <v>1</v>
      </c>
      <c r="B10" s="1460">
        <v>2</v>
      </c>
      <c r="C10" s="1461">
        <v>3</v>
      </c>
      <c r="D10" s="1462">
        <v>4</v>
      </c>
      <c r="E10" s="1463">
        <v>5</v>
      </c>
    </row>
    <row r="11" spans="1:5" s="1470" customFormat="1" ht="18.75" customHeight="1" thickBot="1" thickTop="1">
      <c r="A11" s="1465">
        <v>600</v>
      </c>
      <c r="B11" s="1466" t="s">
        <v>252</v>
      </c>
      <c r="C11" s="1467">
        <f>C12</f>
        <v>100000</v>
      </c>
      <c r="D11" s="1468">
        <f>D12</f>
        <v>100000</v>
      </c>
      <c r="E11" s="1469"/>
    </row>
    <row r="12" spans="1:5" s="1470" customFormat="1" ht="18.75" customHeight="1" thickBot="1" thickTop="1">
      <c r="A12" s="1471">
        <v>60002</v>
      </c>
      <c r="B12" s="1472" t="s">
        <v>403</v>
      </c>
      <c r="C12" s="1473">
        <f>C13</f>
        <v>100000</v>
      </c>
      <c r="D12" s="1474">
        <f>D13</f>
        <v>100000</v>
      </c>
      <c r="E12" s="1475"/>
    </row>
    <row r="13" spans="1:5" s="1481" customFormat="1" ht="31.5" customHeight="1" thickBot="1" thickTop="1">
      <c r="A13" s="1476">
        <v>2710</v>
      </c>
      <c r="B13" s="1477" t="s">
        <v>655</v>
      </c>
      <c r="C13" s="1478">
        <f>D13</f>
        <v>100000</v>
      </c>
      <c r="D13" s="1479">
        <v>100000</v>
      </c>
      <c r="E13" s="1480"/>
    </row>
    <row r="14" spans="1:5" s="1470" customFormat="1" ht="18.75" customHeight="1" thickBot="1" thickTop="1">
      <c r="A14" s="1465">
        <v>630</v>
      </c>
      <c r="B14" s="1466" t="s">
        <v>410</v>
      </c>
      <c r="C14" s="1467">
        <f>C15</f>
        <v>7000</v>
      </c>
      <c r="D14" s="1468">
        <f>D15</f>
        <v>7000</v>
      </c>
      <c r="E14" s="1469"/>
    </row>
    <row r="15" spans="1:5" s="1470" customFormat="1" ht="18" customHeight="1" thickTop="1">
      <c r="A15" s="1482">
        <v>63003</v>
      </c>
      <c r="B15" s="1483" t="s">
        <v>656</v>
      </c>
      <c r="C15" s="1484">
        <f>SUM(C16:C17)</f>
        <v>7000</v>
      </c>
      <c r="D15" s="1485">
        <f>SUM(D16:D17)</f>
        <v>7000</v>
      </c>
      <c r="E15" s="1486"/>
    </row>
    <row r="16" spans="1:5" s="1618" customFormat="1" ht="26.25" customHeight="1">
      <c r="A16" s="2501">
        <v>2810</v>
      </c>
      <c r="B16" s="1520" t="s">
        <v>661</v>
      </c>
      <c r="C16" s="2502">
        <f>SUM(D16:E16)</f>
        <v>4000</v>
      </c>
      <c r="D16" s="2503">
        <v>4000</v>
      </c>
      <c r="E16" s="2504"/>
    </row>
    <row r="17" spans="1:5" s="1492" customFormat="1" ht="26.25" customHeight="1" thickBot="1">
      <c r="A17" s="1487">
        <v>2820</v>
      </c>
      <c r="B17" s="1488" t="s">
        <v>657</v>
      </c>
      <c r="C17" s="1489">
        <f>SUM(D17:E17)</f>
        <v>3000</v>
      </c>
      <c r="D17" s="1490">
        <v>3000</v>
      </c>
      <c r="E17" s="1491"/>
    </row>
    <row r="18" spans="1:5" s="1470" customFormat="1" ht="21" customHeight="1" thickBot="1" thickTop="1">
      <c r="A18" s="1465">
        <v>700</v>
      </c>
      <c r="B18" s="1466" t="s">
        <v>412</v>
      </c>
      <c r="C18" s="1467">
        <f>D18</f>
        <v>6700000</v>
      </c>
      <c r="D18" s="1493">
        <f>D19</f>
        <v>6700000</v>
      </c>
      <c r="E18" s="1494"/>
    </row>
    <row r="19" spans="1:5" s="1497" customFormat="1" ht="19.5" customHeight="1" thickTop="1">
      <c r="A19" s="1482">
        <v>70001</v>
      </c>
      <c r="B19" s="1483" t="s">
        <v>658</v>
      </c>
      <c r="C19" s="1484">
        <f>D19</f>
        <v>6700000</v>
      </c>
      <c r="D19" s="1495">
        <f>SUM(D20:D20)</f>
        <v>6700000</v>
      </c>
      <c r="E19" s="1496"/>
    </row>
    <row r="20" spans="1:5" s="1492" customFormat="1" ht="15.75" customHeight="1" thickBot="1">
      <c r="A20" s="1487">
        <v>2650</v>
      </c>
      <c r="B20" s="1488" t="s">
        <v>659</v>
      </c>
      <c r="C20" s="1489">
        <f>D20</f>
        <v>6700000</v>
      </c>
      <c r="D20" s="1498">
        <v>6700000</v>
      </c>
      <c r="E20" s="1499"/>
    </row>
    <row r="21" spans="1:5" s="1470" customFormat="1" ht="18.75" customHeight="1" thickBot="1" thickTop="1">
      <c r="A21" s="1465">
        <v>750</v>
      </c>
      <c r="B21" s="1500" t="s">
        <v>260</v>
      </c>
      <c r="C21" s="1501">
        <f>C22+C24</f>
        <v>2645180</v>
      </c>
      <c r="D21" s="1502">
        <f>D22+D24</f>
        <v>668000</v>
      </c>
      <c r="E21" s="1503">
        <f>E22+E24</f>
        <v>1977180</v>
      </c>
    </row>
    <row r="22" spans="1:5" s="1470" customFormat="1" ht="16.5" customHeight="1" thickTop="1">
      <c r="A22" s="1504">
        <v>75020</v>
      </c>
      <c r="B22" s="1505" t="s">
        <v>430</v>
      </c>
      <c r="C22" s="1506">
        <f>C23</f>
        <v>1977180</v>
      </c>
      <c r="D22" s="1507"/>
      <c r="E22" s="1508">
        <f>E23</f>
        <v>1977180</v>
      </c>
    </row>
    <row r="23" spans="1:5" s="1514" customFormat="1" ht="36" customHeight="1">
      <c r="A23" s="1509">
        <v>2320</v>
      </c>
      <c r="B23" s="1510" t="s">
        <v>660</v>
      </c>
      <c r="C23" s="1511">
        <f>SUM(D23:E23)</f>
        <v>1977180</v>
      </c>
      <c r="D23" s="1512"/>
      <c r="E23" s="1513">
        <v>1977180</v>
      </c>
    </row>
    <row r="24" spans="1:5" s="1470" customFormat="1" ht="15.75" customHeight="1">
      <c r="A24" s="1515">
        <v>75095</v>
      </c>
      <c r="B24" s="1516" t="s">
        <v>395</v>
      </c>
      <c r="C24" s="1517">
        <f>SUM(C25:C26)</f>
        <v>668000</v>
      </c>
      <c r="D24" s="1518">
        <f>SUM(D25:D26)</f>
        <v>668000</v>
      </c>
      <c r="E24" s="1519"/>
    </row>
    <row r="25" spans="1:5" s="1481" customFormat="1" ht="28.5" customHeight="1">
      <c r="A25" s="1487">
        <v>2810</v>
      </c>
      <c r="B25" s="1520" t="s">
        <v>661</v>
      </c>
      <c r="C25" s="1521">
        <f>SUM(D25:E25)</f>
        <v>0</v>
      </c>
      <c r="D25" s="1522">
        <f>668000-668000</f>
        <v>0</v>
      </c>
      <c r="E25" s="1523"/>
    </row>
    <row r="26" spans="1:5" s="1481" customFormat="1" ht="28.5" customHeight="1" thickBot="1">
      <c r="A26" s="1487">
        <v>2820</v>
      </c>
      <c r="B26" s="1488" t="s">
        <v>657</v>
      </c>
      <c r="C26" s="1620">
        <f>D26</f>
        <v>668000</v>
      </c>
      <c r="D26" s="1522">
        <v>668000</v>
      </c>
      <c r="E26" s="1523"/>
    </row>
    <row r="27" spans="1:5" s="1470" customFormat="1" ht="31.5" customHeight="1" thickBot="1" thickTop="1">
      <c r="A27" s="1465">
        <v>754</v>
      </c>
      <c r="B27" s="1500" t="s">
        <v>264</v>
      </c>
      <c r="C27" s="1501">
        <f>C28</f>
        <v>22000</v>
      </c>
      <c r="D27" s="1524">
        <f>D28</f>
        <v>22000</v>
      </c>
      <c r="E27" s="1525"/>
    </row>
    <row r="28" spans="1:5" s="1470" customFormat="1" ht="18.75" customHeight="1" thickTop="1">
      <c r="A28" s="1515">
        <v>75412</v>
      </c>
      <c r="B28" s="1516" t="s">
        <v>662</v>
      </c>
      <c r="C28" s="1517">
        <f>SUM(D28:E28)</f>
        <v>22000</v>
      </c>
      <c r="D28" s="1518">
        <f>D29</f>
        <v>22000</v>
      </c>
      <c r="E28" s="1519"/>
    </row>
    <row r="29" spans="1:5" s="1481" customFormat="1" ht="27" customHeight="1" thickBot="1">
      <c r="A29" s="1487">
        <v>2820</v>
      </c>
      <c r="B29" s="1488" t="s">
        <v>657</v>
      </c>
      <c r="C29" s="1489">
        <f>SUM(D29:E29)</f>
        <v>22000</v>
      </c>
      <c r="D29" s="1522">
        <v>22000</v>
      </c>
      <c r="E29" s="1526"/>
    </row>
    <row r="30" spans="1:5" s="1470" customFormat="1" ht="19.5" customHeight="1" thickBot="1" thickTop="1">
      <c r="A30" s="1465">
        <v>801</v>
      </c>
      <c r="B30" s="1500" t="s">
        <v>272</v>
      </c>
      <c r="C30" s="1501">
        <f>C31+C35+C39+C41+C43+C46+C33</f>
        <v>20692300</v>
      </c>
      <c r="D30" s="1502">
        <f>D31+D35+D39+D41+D43+D46+D33</f>
        <v>15367300</v>
      </c>
      <c r="E30" s="1503">
        <f>E31+E35+E39+E41+E43+E46</f>
        <v>5325000</v>
      </c>
    </row>
    <row r="31" spans="1:5" s="1470" customFormat="1" ht="19.5" customHeight="1" thickTop="1">
      <c r="A31" s="1527">
        <v>80101</v>
      </c>
      <c r="B31" s="1528" t="s">
        <v>452</v>
      </c>
      <c r="C31" s="1529">
        <f>D31+E31</f>
        <v>850000</v>
      </c>
      <c r="D31" s="1530">
        <f>D32</f>
        <v>850000</v>
      </c>
      <c r="E31" s="1531"/>
    </row>
    <row r="32" spans="1:5" s="1481" customFormat="1" ht="26.25" customHeight="1">
      <c r="A32" s="1532">
        <v>2540</v>
      </c>
      <c r="B32" s="1533" t="s">
        <v>663</v>
      </c>
      <c r="C32" s="1489">
        <f>SUM(D32:E32)</f>
        <v>850000</v>
      </c>
      <c r="D32" s="1522">
        <v>850000</v>
      </c>
      <c r="E32" s="1523"/>
    </row>
    <row r="33" spans="1:5" s="1497" customFormat="1" ht="19.5" customHeight="1">
      <c r="A33" s="1515">
        <v>80103</v>
      </c>
      <c r="B33" s="1516" t="s">
        <v>454</v>
      </c>
      <c r="C33" s="1517">
        <f>C34</f>
        <v>72000</v>
      </c>
      <c r="D33" s="1534">
        <f>D34</f>
        <v>72000</v>
      </c>
      <c r="E33" s="1535"/>
    </row>
    <row r="34" spans="1:5" s="1481" customFormat="1" ht="27.75" customHeight="1">
      <c r="A34" s="1487">
        <v>2540</v>
      </c>
      <c r="B34" s="1536" t="s">
        <v>663</v>
      </c>
      <c r="C34" s="1537">
        <f>SUM(D34:E34)</f>
        <v>72000</v>
      </c>
      <c r="D34" s="1538">
        <v>72000</v>
      </c>
      <c r="E34" s="1523"/>
    </row>
    <row r="35" spans="1:5" s="1470" customFormat="1" ht="18" customHeight="1">
      <c r="A35" s="1539">
        <v>80104</v>
      </c>
      <c r="B35" s="1528" t="s">
        <v>455</v>
      </c>
      <c r="C35" s="1529">
        <f>D35</f>
        <v>13791300</v>
      </c>
      <c r="D35" s="1530">
        <f>SUM(D36:D38)</f>
        <v>13791300</v>
      </c>
      <c r="E35" s="1519"/>
    </row>
    <row r="36" spans="1:5" s="1497" customFormat="1" ht="15" customHeight="1">
      <c r="A36" s="1540">
        <v>2510</v>
      </c>
      <c r="B36" s="1520" t="s">
        <v>664</v>
      </c>
      <c r="C36" s="1489">
        <f>SUM(D36:E36)</f>
        <v>13116300</v>
      </c>
      <c r="D36" s="1522">
        <v>13116300</v>
      </c>
      <c r="E36" s="1523"/>
    </row>
    <row r="37" spans="1:5" s="1497" customFormat="1" ht="24.75" customHeight="1">
      <c r="A37" s="1487">
        <v>2540</v>
      </c>
      <c r="B37" s="1488" t="s">
        <v>663</v>
      </c>
      <c r="C37" s="1489">
        <f>SUM(D37:E37)</f>
        <v>315000</v>
      </c>
      <c r="D37" s="1522">
        <v>315000</v>
      </c>
      <c r="E37" s="1523"/>
    </row>
    <row r="38" spans="1:5" s="1497" customFormat="1" ht="39.75" customHeight="1">
      <c r="A38" s="1541">
        <v>6210</v>
      </c>
      <c r="B38" s="1542" t="s">
        <v>665</v>
      </c>
      <c r="C38" s="1543">
        <f>SUM(D38:E38)</f>
        <v>360000</v>
      </c>
      <c r="D38" s="1538">
        <f>1610000-1250000</f>
        <v>360000</v>
      </c>
      <c r="E38" s="1544"/>
    </row>
    <row r="39" spans="1:5" s="1470" customFormat="1" ht="18" customHeight="1">
      <c r="A39" s="1515">
        <v>80110</v>
      </c>
      <c r="B39" s="1516" t="s">
        <v>666</v>
      </c>
      <c r="C39" s="1517">
        <f>C40</f>
        <v>600000</v>
      </c>
      <c r="D39" s="1518">
        <f>D40</f>
        <v>600000</v>
      </c>
      <c r="E39" s="1519"/>
    </row>
    <row r="40" spans="1:5" s="1481" customFormat="1" ht="24.75" customHeight="1">
      <c r="A40" s="1509">
        <v>2540</v>
      </c>
      <c r="B40" s="1510" t="s">
        <v>663</v>
      </c>
      <c r="C40" s="1537">
        <f>SUM(D40:E40)</f>
        <v>600000</v>
      </c>
      <c r="D40" s="1512">
        <v>600000</v>
      </c>
      <c r="E40" s="1545"/>
    </row>
    <row r="41" spans="1:5" s="1470" customFormat="1" ht="18" customHeight="1">
      <c r="A41" s="1546">
        <v>80120</v>
      </c>
      <c r="B41" s="1516" t="s">
        <v>460</v>
      </c>
      <c r="C41" s="1517">
        <f>C42</f>
        <v>1500000</v>
      </c>
      <c r="D41" s="1518"/>
      <c r="E41" s="1519">
        <f>E42</f>
        <v>1500000</v>
      </c>
    </row>
    <row r="42" spans="1:5" s="1481" customFormat="1" ht="26.25" customHeight="1">
      <c r="A42" s="1547">
        <v>2540</v>
      </c>
      <c r="B42" s="1548" t="s">
        <v>663</v>
      </c>
      <c r="C42" s="1543">
        <f>SUM(D42:E42)</f>
        <v>1500000</v>
      </c>
      <c r="D42" s="1512"/>
      <c r="E42" s="1549">
        <v>1500000</v>
      </c>
    </row>
    <row r="43" spans="1:5" s="1470" customFormat="1" ht="15.75" customHeight="1">
      <c r="A43" s="1515">
        <v>80130</v>
      </c>
      <c r="B43" s="1516" t="s">
        <v>667</v>
      </c>
      <c r="C43" s="1517">
        <f>D43+E43</f>
        <v>3825000</v>
      </c>
      <c r="D43" s="1518"/>
      <c r="E43" s="1519">
        <f>SUM(E44:E45)</f>
        <v>3825000</v>
      </c>
    </row>
    <row r="44" spans="1:5" s="1554" customFormat="1" ht="24" customHeight="1">
      <c r="A44" s="1540">
        <v>2540</v>
      </c>
      <c r="B44" s="1550" t="s">
        <v>663</v>
      </c>
      <c r="C44" s="1551">
        <f>SUM(D44:E44)</f>
        <v>3300000</v>
      </c>
      <c r="D44" s="1552"/>
      <c r="E44" s="1553">
        <v>3300000</v>
      </c>
    </row>
    <row r="45" spans="1:5" s="1481" customFormat="1" ht="37.5" customHeight="1">
      <c r="A45" s="1541">
        <v>2590</v>
      </c>
      <c r="B45" s="1536" t="s">
        <v>668</v>
      </c>
      <c r="C45" s="1543">
        <f>E45</f>
        <v>525000</v>
      </c>
      <c r="D45" s="1538"/>
      <c r="E45" s="1555">
        <v>525000</v>
      </c>
    </row>
    <row r="46" spans="1:5" s="1470" customFormat="1" ht="16.5" customHeight="1">
      <c r="A46" s="1527">
        <v>80195</v>
      </c>
      <c r="B46" s="1528" t="s">
        <v>395</v>
      </c>
      <c r="C46" s="1517">
        <f>SUM(C47:C49)</f>
        <v>54000</v>
      </c>
      <c r="D46" s="1530">
        <f>SUM(D47:D49)</f>
        <v>54000</v>
      </c>
      <c r="E46" s="1531"/>
    </row>
    <row r="47" spans="1:5" s="1554" customFormat="1" ht="24">
      <c r="A47" s="1487">
        <v>2540</v>
      </c>
      <c r="B47" s="1520" t="s">
        <v>669</v>
      </c>
      <c r="C47" s="1489">
        <f>SUM(D47:E47)</f>
        <v>15000</v>
      </c>
      <c r="D47" s="1522">
        <v>15000</v>
      </c>
      <c r="E47" s="1523"/>
    </row>
    <row r="48" spans="1:5" s="1554" customFormat="1" ht="27.75" customHeight="1">
      <c r="A48" s="1487">
        <v>2570</v>
      </c>
      <c r="B48" s="1520" t="s">
        <v>670</v>
      </c>
      <c r="C48" s="1489">
        <f>SUM(D48:E48)</f>
        <v>15000</v>
      </c>
      <c r="D48" s="1522">
        <v>15000</v>
      </c>
      <c r="E48" s="1523"/>
    </row>
    <row r="49" spans="1:5" s="1554" customFormat="1" ht="27.75" customHeight="1" thickBot="1">
      <c r="A49" s="1556">
        <v>2820</v>
      </c>
      <c r="B49" s="1557" t="s">
        <v>657</v>
      </c>
      <c r="C49" s="1558">
        <f>SUM(D49:E49)</f>
        <v>24000</v>
      </c>
      <c r="D49" s="1559">
        <v>24000</v>
      </c>
      <c r="E49" s="1560"/>
    </row>
    <row r="50" spans="1:5" s="1554" customFormat="1" ht="15.75" customHeight="1" thickBot="1" thickTop="1">
      <c r="A50" s="2366">
        <v>803</v>
      </c>
      <c r="B50" s="2367" t="s">
        <v>274</v>
      </c>
      <c r="C50" s="2368">
        <f>C51</f>
        <v>18000</v>
      </c>
      <c r="D50" s="2369">
        <f>D51</f>
        <v>18000</v>
      </c>
      <c r="E50" s="2370"/>
    </row>
    <row r="51" spans="1:5" s="1554" customFormat="1" ht="15" customHeight="1" thickBot="1" thickTop="1">
      <c r="A51" s="2366">
        <v>80309</v>
      </c>
      <c r="B51" s="2367" t="s">
        <v>767</v>
      </c>
      <c r="C51" s="2368">
        <f>D51</f>
        <v>18000</v>
      </c>
      <c r="D51" s="2371">
        <f>D52</f>
        <v>18000</v>
      </c>
      <c r="E51" s="2372"/>
    </row>
    <row r="52" spans="1:5" s="1554" customFormat="1" ht="21.75" customHeight="1" thickBot="1" thickTop="1">
      <c r="A52" s="1556">
        <v>2520</v>
      </c>
      <c r="B52" s="1557" t="s">
        <v>768</v>
      </c>
      <c r="C52" s="1558">
        <f>D52</f>
        <v>18000</v>
      </c>
      <c r="D52" s="2373">
        <f>10000+8000</f>
        <v>18000</v>
      </c>
      <c r="E52" s="2374"/>
    </row>
    <row r="53" spans="1:5" s="1470" customFormat="1" ht="20.25" customHeight="1" thickBot="1" thickTop="1">
      <c r="A53" s="1465">
        <v>851</v>
      </c>
      <c r="B53" s="1500" t="s">
        <v>276</v>
      </c>
      <c r="C53" s="1501">
        <f>C56+C58+C60</f>
        <v>744000</v>
      </c>
      <c r="D53" s="1502">
        <f>D56+D58+D60</f>
        <v>744000</v>
      </c>
      <c r="E53" s="1503"/>
    </row>
    <row r="54" spans="1:5" s="1566" customFormat="1" ht="19.5" customHeight="1" hidden="1" thickTop="1">
      <c r="A54" s="1561">
        <v>85111</v>
      </c>
      <c r="B54" s="1562" t="s">
        <v>472</v>
      </c>
      <c r="C54" s="1563">
        <f>C55</f>
        <v>0</v>
      </c>
      <c r="D54" s="1564">
        <f>D55</f>
        <v>0</v>
      </c>
      <c r="E54" s="1565"/>
    </row>
    <row r="55" spans="1:5" s="1566" customFormat="1" ht="27" customHeight="1" hidden="1">
      <c r="A55" s="1541">
        <v>2330</v>
      </c>
      <c r="B55" s="1536" t="s">
        <v>671</v>
      </c>
      <c r="C55" s="1567">
        <f>SUM(D55:E55)</f>
        <v>0</v>
      </c>
      <c r="D55" s="1568">
        <v>0</v>
      </c>
      <c r="E55" s="1569"/>
    </row>
    <row r="56" spans="1:5" s="1554" customFormat="1" ht="16.5" customHeight="1" thickTop="1">
      <c r="A56" s="1570">
        <v>85153</v>
      </c>
      <c r="B56" s="1571" t="s">
        <v>475</v>
      </c>
      <c r="C56" s="1572">
        <f>C57</f>
        <v>100000</v>
      </c>
      <c r="D56" s="1573">
        <f>SUM(D57:D57)</f>
        <v>100000</v>
      </c>
      <c r="E56" s="1574"/>
    </row>
    <row r="57" spans="1:5" s="1481" customFormat="1" ht="27" customHeight="1">
      <c r="A57" s="1575">
        <v>2820</v>
      </c>
      <c r="B57" s="1510" t="s">
        <v>672</v>
      </c>
      <c r="C57" s="1489">
        <f>SUM(D57:E57)</f>
        <v>100000</v>
      </c>
      <c r="D57" s="1512">
        <v>100000</v>
      </c>
      <c r="E57" s="1576"/>
    </row>
    <row r="58" spans="1:5" s="1554" customFormat="1" ht="17.25" customHeight="1">
      <c r="A58" s="1570">
        <v>85154</v>
      </c>
      <c r="B58" s="1571" t="s">
        <v>476</v>
      </c>
      <c r="C58" s="1572">
        <f>C59</f>
        <v>500000</v>
      </c>
      <c r="D58" s="1573">
        <f>D59</f>
        <v>500000</v>
      </c>
      <c r="E58" s="1574"/>
    </row>
    <row r="59" spans="1:5" s="1481" customFormat="1" ht="25.5" customHeight="1">
      <c r="A59" s="1541">
        <v>2820</v>
      </c>
      <c r="B59" s="1536" t="s">
        <v>673</v>
      </c>
      <c r="C59" s="1543">
        <f>SUM(D59:E59)</f>
        <v>500000</v>
      </c>
      <c r="D59" s="1538">
        <v>500000</v>
      </c>
      <c r="E59" s="1544"/>
    </row>
    <row r="60" spans="1:5" s="1554" customFormat="1" ht="16.5" customHeight="1">
      <c r="A60" s="1577">
        <v>85195</v>
      </c>
      <c r="B60" s="1571" t="s">
        <v>395</v>
      </c>
      <c r="C60" s="1572">
        <f>SUM(C61:C61)</f>
        <v>144000</v>
      </c>
      <c r="D60" s="1573">
        <f>SUM(D61:D61)</f>
        <v>144000</v>
      </c>
      <c r="E60" s="1578"/>
    </row>
    <row r="61" spans="1:5" s="1286" customFormat="1" ht="24.75" customHeight="1" thickBot="1">
      <c r="A61" s="1532">
        <v>2820</v>
      </c>
      <c r="B61" s="1550" t="s">
        <v>657</v>
      </c>
      <c r="C61" s="1579">
        <f>SUM(D61:E61)</f>
        <v>144000</v>
      </c>
      <c r="D61" s="1580">
        <v>144000</v>
      </c>
      <c r="E61" s="1581"/>
    </row>
    <row r="62" spans="1:5" s="1585" customFormat="1" ht="21" customHeight="1" thickBot="1" thickTop="1">
      <c r="A62" s="1465">
        <v>852</v>
      </c>
      <c r="B62" s="1500" t="s">
        <v>278</v>
      </c>
      <c r="C62" s="1582">
        <f>C63+C68+C70+C72+C66</f>
        <v>1434700</v>
      </c>
      <c r="D62" s="1583">
        <f>D63+D68+D72+D66</f>
        <v>657200</v>
      </c>
      <c r="E62" s="1584">
        <f>E63+E68+E72+E70</f>
        <v>777500</v>
      </c>
    </row>
    <row r="63" spans="1:5" s="1585" customFormat="1" ht="18.75" customHeight="1" thickTop="1">
      <c r="A63" s="1515">
        <v>85201</v>
      </c>
      <c r="B63" s="1516" t="s">
        <v>674</v>
      </c>
      <c r="C63" s="1572">
        <f>C64+C65</f>
        <v>458000</v>
      </c>
      <c r="D63" s="1573"/>
      <c r="E63" s="1586">
        <f>E64+E65</f>
        <v>458000</v>
      </c>
    </row>
    <row r="64" spans="1:5" s="1286" customFormat="1" ht="25.5" customHeight="1">
      <c r="A64" s="1540">
        <v>2820</v>
      </c>
      <c r="B64" s="1550" t="s">
        <v>672</v>
      </c>
      <c r="C64" s="1551">
        <f>SUM(D64:E64)</f>
        <v>46000</v>
      </c>
      <c r="D64" s="1552"/>
      <c r="E64" s="1587">
        <v>46000</v>
      </c>
    </row>
    <row r="65" spans="1:5" s="1286" customFormat="1" ht="37.5" customHeight="1">
      <c r="A65" s="1541">
        <v>2320</v>
      </c>
      <c r="B65" s="1536" t="s">
        <v>660</v>
      </c>
      <c r="C65" s="1543">
        <f>SUM(D65:E65)</f>
        <v>412000</v>
      </c>
      <c r="D65" s="1538"/>
      <c r="E65" s="1588">
        <v>412000</v>
      </c>
    </row>
    <row r="66" spans="1:5" s="1585" customFormat="1" ht="18.75" customHeight="1">
      <c r="A66" s="1589">
        <v>85203</v>
      </c>
      <c r="B66" s="1590" t="s">
        <v>480</v>
      </c>
      <c r="C66" s="1591">
        <f>C67</f>
        <v>507200</v>
      </c>
      <c r="D66" s="1592">
        <f>D67</f>
        <v>507200</v>
      </c>
      <c r="E66" s="1593"/>
    </row>
    <row r="67" spans="1:5" s="1286" customFormat="1" ht="29.25" customHeight="1">
      <c r="A67" s="1487">
        <v>2820</v>
      </c>
      <c r="B67" s="1550" t="s">
        <v>672</v>
      </c>
      <c r="C67" s="1489">
        <f>D67</f>
        <v>507200</v>
      </c>
      <c r="D67" s="1538">
        <v>507200</v>
      </c>
      <c r="E67" s="1588"/>
    </row>
    <row r="68" spans="1:5" s="1585" customFormat="1" ht="18.75" customHeight="1">
      <c r="A68" s="1515">
        <v>85204</v>
      </c>
      <c r="B68" s="1516" t="s">
        <v>481</v>
      </c>
      <c r="C68" s="1572">
        <f>E68</f>
        <v>123500</v>
      </c>
      <c r="D68" s="1594"/>
      <c r="E68" s="1595">
        <f>E69</f>
        <v>123500</v>
      </c>
    </row>
    <row r="69" spans="1:5" s="1286" customFormat="1" ht="37.5" customHeight="1">
      <c r="A69" s="1509">
        <v>2320</v>
      </c>
      <c r="B69" s="1510" t="s">
        <v>660</v>
      </c>
      <c r="C69" s="1537">
        <f>SUM(D69:E69)</f>
        <v>123500</v>
      </c>
      <c r="D69" s="1512"/>
      <c r="E69" s="1596">
        <v>123500</v>
      </c>
    </row>
    <row r="70" spans="1:5" s="1286" customFormat="1" ht="31.5" customHeight="1">
      <c r="A70" s="1597">
        <v>85220</v>
      </c>
      <c r="B70" s="1598" t="s">
        <v>573</v>
      </c>
      <c r="C70" s="1517">
        <f>SUM(D70:E70)</f>
        <v>196000</v>
      </c>
      <c r="D70" s="1518"/>
      <c r="E70" s="1535">
        <f>E71</f>
        <v>196000</v>
      </c>
    </row>
    <row r="71" spans="1:5" s="1286" customFormat="1" ht="28.5" customHeight="1">
      <c r="A71" s="1509">
        <v>2820</v>
      </c>
      <c r="B71" s="1510" t="s">
        <v>657</v>
      </c>
      <c r="C71" s="1537">
        <f>SUM(D71:E71)</f>
        <v>196000</v>
      </c>
      <c r="D71" s="1512"/>
      <c r="E71" s="1596">
        <v>196000</v>
      </c>
    </row>
    <row r="72" spans="1:5" s="1554" customFormat="1" ht="18" customHeight="1">
      <c r="A72" s="1599">
        <v>85295</v>
      </c>
      <c r="B72" s="1571" t="s">
        <v>395</v>
      </c>
      <c r="C72" s="1572">
        <f>C73</f>
        <v>150000</v>
      </c>
      <c r="D72" s="1573">
        <f>D73</f>
        <v>150000</v>
      </c>
      <c r="E72" s="1600"/>
    </row>
    <row r="73" spans="1:5" s="1481" customFormat="1" ht="30.75" customHeight="1" thickBot="1">
      <c r="A73" s="1540">
        <v>2820</v>
      </c>
      <c r="B73" s="1550" t="s">
        <v>657</v>
      </c>
      <c r="C73" s="1521">
        <f>SUM(D73:E73)</f>
        <v>150000</v>
      </c>
      <c r="D73" s="1552">
        <v>150000</v>
      </c>
      <c r="E73" s="2342"/>
    </row>
    <row r="74" spans="1:5" s="1481" customFormat="1" ht="29.25" customHeight="1" thickBot="1" thickTop="1">
      <c r="A74" s="1465">
        <v>853</v>
      </c>
      <c r="B74" s="1500" t="s">
        <v>280</v>
      </c>
      <c r="C74" s="1582">
        <f>C75+C78+C80</f>
        <v>3484173</v>
      </c>
      <c r="D74" s="2343">
        <f>D75</f>
        <v>3267000</v>
      </c>
      <c r="E74" s="2344">
        <f>E78+E80</f>
        <v>217173</v>
      </c>
    </row>
    <row r="75" spans="1:5" s="1481" customFormat="1" ht="19.5" customHeight="1" thickTop="1">
      <c r="A75" s="1601">
        <v>85305</v>
      </c>
      <c r="B75" s="1516" t="s">
        <v>492</v>
      </c>
      <c r="C75" s="1572">
        <f>SUM(C76:C77)</f>
        <v>3267000</v>
      </c>
      <c r="D75" s="1573">
        <f>SUM(D76:D77)</f>
        <v>3267000</v>
      </c>
      <c r="E75" s="1602"/>
    </row>
    <row r="76" spans="1:5" s="1481" customFormat="1" ht="17.25" customHeight="1">
      <c r="A76" s="1532">
        <v>2510</v>
      </c>
      <c r="B76" s="1550" t="s">
        <v>675</v>
      </c>
      <c r="C76" s="1489">
        <f>SUM(D76:E76)</f>
        <v>3101000</v>
      </c>
      <c r="D76" s="1552">
        <f>3050000+26500+24500</f>
        <v>3101000</v>
      </c>
      <c r="E76" s="1603"/>
    </row>
    <row r="77" spans="1:5" s="1481" customFormat="1" ht="38.25" customHeight="1">
      <c r="A77" s="1487">
        <v>6210</v>
      </c>
      <c r="B77" s="1488" t="s">
        <v>665</v>
      </c>
      <c r="C77" s="1489">
        <f>D77</f>
        <v>166000</v>
      </c>
      <c r="D77" s="1522">
        <v>166000</v>
      </c>
      <c r="E77" s="1604"/>
    </row>
    <row r="78" spans="1:5" s="1554" customFormat="1" ht="14.25" customHeight="1">
      <c r="A78" s="1605">
        <v>85311</v>
      </c>
      <c r="B78" s="1606" t="s">
        <v>493</v>
      </c>
      <c r="C78" s="1607">
        <f>C79</f>
        <v>199237</v>
      </c>
      <c r="D78" s="1573"/>
      <c r="E78" s="1600">
        <f>E79</f>
        <v>199237</v>
      </c>
    </row>
    <row r="79" spans="1:5" s="1481" customFormat="1" ht="27.75" customHeight="1">
      <c r="A79" s="1487">
        <v>2580</v>
      </c>
      <c r="B79" s="1488" t="s">
        <v>676</v>
      </c>
      <c r="C79" s="1489">
        <f aca="true" t="shared" si="0" ref="C79:C84">E79</f>
        <v>199237</v>
      </c>
      <c r="D79" s="1522"/>
      <c r="E79" s="1604">
        <f>200000+82852-83615</f>
        <v>199237</v>
      </c>
    </row>
    <row r="80" spans="1:5" s="1554" customFormat="1" ht="20.25" customHeight="1">
      <c r="A80" s="1599">
        <v>85395</v>
      </c>
      <c r="B80" s="2345" t="s">
        <v>395</v>
      </c>
      <c r="C80" s="1607">
        <f t="shared" si="0"/>
        <v>17936</v>
      </c>
      <c r="D80" s="1573"/>
      <c r="E80" s="1600">
        <f>SUM(E81:E84)</f>
        <v>17936</v>
      </c>
    </row>
    <row r="81" spans="1:5" s="1481" customFormat="1" ht="27.75" customHeight="1">
      <c r="A81" s="1540">
        <v>2338</v>
      </c>
      <c r="B81" s="2346" t="s">
        <v>41</v>
      </c>
      <c r="C81" s="1551">
        <f t="shared" si="0"/>
        <v>12369</v>
      </c>
      <c r="D81" s="1552"/>
      <c r="E81" s="2347">
        <f>9578+2791</f>
        <v>12369</v>
      </c>
    </row>
    <row r="82" spans="1:5" s="1481" customFormat="1" ht="27.75" customHeight="1">
      <c r="A82" s="1487">
        <v>2339</v>
      </c>
      <c r="B82" s="2348" t="s">
        <v>41</v>
      </c>
      <c r="C82" s="1489">
        <f t="shared" si="0"/>
        <v>166</v>
      </c>
      <c r="D82" s="1522"/>
      <c r="E82" s="1604">
        <f>129+37</f>
        <v>166</v>
      </c>
    </row>
    <row r="83" spans="1:5" s="1481" customFormat="1" ht="39.75" customHeight="1">
      <c r="A83" s="1487">
        <v>2678</v>
      </c>
      <c r="B83" s="2348" t="s">
        <v>42</v>
      </c>
      <c r="C83" s="1489">
        <f t="shared" si="0"/>
        <v>5329</v>
      </c>
      <c r="D83" s="1522"/>
      <c r="E83" s="1604">
        <f>3494+1835</f>
        <v>5329</v>
      </c>
    </row>
    <row r="84" spans="1:5" s="1481" customFormat="1" ht="40.5" customHeight="1" thickBot="1">
      <c r="A84" s="1556">
        <v>2679</v>
      </c>
      <c r="B84" s="2349" t="s">
        <v>42</v>
      </c>
      <c r="C84" s="1558">
        <f t="shared" si="0"/>
        <v>72</v>
      </c>
      <c r="D84" s="1559"/>
      <c r="E84" s="1608">
        <f>7+65</f>
        <v>72</v>
      </c>
    </row>
    <row r="85" spans="1:5" s="1470" customFormat="1" ht="19.5" customHeight="1" thickBot="1" thickTop="1">
      <c r="A85" s="1465">
        <v>854</v>
      </c>
      <c r="B85" s="1500" t="s">
        <v>282</v>
      </c>
      <c r="C85" s="1501">
        <f>C88+C86</f>
        <v>831000</v>
      </c>
      <c r="D85" s="1524">
        <f>D88</f>
        <v>31000</v>
      </c>
      <c r="E85" s="1525">
        <f>E86</f>
        <v>800000</v>
      </c>
    </row>
    <row r="86" spans="1:5" s="1470" customFormat="1" ht="16.5" customHeight="1" thickTop="1">
      <c r="A86" s="1482">
        <v>85419</v>
      </c>
      <c r="B86" s="1609" t="s">
        <v>502</v>
      </c>
      <c r="C86" s="1610">
        <f>C87</f>
        <v>800000</v>
      </c>
      <c r="D86" s="1611"/>
      <c r="E86" s="1612">
        <f>E87</f>
        <v>800000</v>
      </c>
    </row>
    <row r="87" spans="1:5" s="1618" customFormat="1" ht="16.5" customHeight="1">
      <c r="A87" s="1613">
        <v>2540</v>
      </c>
      <c r="B87" s="1614" t="s">
        <v>677</v>
      </c>
      <c r="C87" s="1615">
        <f>E87</f>
        <v>800000</v>
      </c>
      <c r="D87" s="1616"/>
      <c r="E87" s="1617">
        <v>800000</v>
      </c>
    </row>
    <row r="88" spans="1:5" s="1619" customFormat="1" ht="12.75" customHeight="1">
      <c r="A88" s="1599">
        <v>85495</v>
      </c>
      <c r="B88" s="1571" t="s">
        <v>395</v>
      </c>
      <c r="C88" s="1572">
        <f>C89</f>
        <v>31000</v>
      </c>
      <c r="D88" s="1573">
        <f>D89</f>
        <v>31000</v>
      </c>
      <c r="E88" s="1600"/>
    </row>
    <row r="89" spans="1:5" s="1621" customFormat="1" ht="25.5" customHeight="1" thickBot="1">
      <c r="A89" s="1487">
        <v>2820</v>
      </c>
      <c r="B89" s="1520" t="s">
        <v>673</v>
      </c>
      <c r="C89" s="1620">
        <f>SUM(D89:E89)</f>
        <v>31000</v>
      </c>
      <c r="D89" s="1522">
        <v>31000</v>
      </c>
      <c r="E89" s="1523"/>
    </row>
    <row r="90" spans="1:5" s="1470" customFormat="1" ht="27" thickBot="1" thickTop="1">
      <c r="A90" s="1465">
        <v>921</v>
      </c>
      <c r="B90" s="1500" t="s">
        <v>288</v>
      </c>
      <c r="C90" s="1501">
        <f>C91+C93+C95+C97+C99+C101+C106+C104</f>
        <v>17180300</v>
      </c>
      <c r="D90" s="1524">
        <f>D91+D93+D95+D97+D99+D101+D106+D104</f>
        <v>6359900</v>
      </c>
      <c r="E90" s="1525">
        <f>E91+E93+E95+E97+E99+E101</f>
        <v>10820400</v>
      </c>
    </row>
    <row r="91" spans="1:5" s="1470" customFormat="1" ht="17.25" customHeight="1" thickTop="1">
      <c r="A91" s="1504">
        <v>92105</v>
      </c>
      <c r="B91" s="1505" t="s">
        <v>678</v>
      </c>
      <c r="C91" s="1529">
        <f>C92</f>
        <v>223000</v>
      </c>
      <c r="D91" s="1530">
        <f>D92</f>
        <v>223000</v>
      </c>
      <c r="E91" s="1531"/>
    </row>
    <row r="92" spans="1:5" s="1623" customFormat="1" ht="26.25" customHeight="1">
      <c r="A92" s="1532">
        <v>2820</v>
      </c>
      <c r="B92" s="1510" t="s">
        <v>657</v>
      </c>
      <c r="C92" s="1489">
        <f>SUM(D92:E92)</f>
        <v>223000</v>
      </c>
      <c r="D92" s="1622">
        <f>210000+13000</f>
        <v>223000</v>
      </c>
      <c r="E92" s="1604"/>
    </row>
    <row r="93" spans="1:5" s="1470" customFormat="1" ht="18" customHeight="1">
      <c r="A93" s="1601">
        <v>92106</v>
      </c>
      <c r="B93" s="1624" t="s">
        <v>679</v>
      </c>
      <c r="C93" s="1625">
        <f>C94</f>
        <v>2591000</v>
      </c>
      <c r="D93" s="1626"/>
      <c r="E93" s="1627">
        <f>E94</f>
        <v>2591000</v>
      </c>
    </row>
    <row r="94" spans="1:5" s="1554" customFormat="1" ht="16.5" customHeight="1">
      <c r="A94" s="1575">
        <v>2480</v>
      </c>
      <c r="B94" s="1628" t="s">
        <v>680</v>
      </c>
      <c r="C94" s="1489">
        <f>SUM(D94:E94)</f>
        <v>2591000</v>
      </c>
      <c r="D94" s="1629"/>
      <c r="E94" s="1630">
        <v>2591000</v>
      </c>
    </row>
    <row r="95" spans="1:5" s="1470" customFormat="1" ht="18" customHeight="1">
      <c r="A95" s="1601">
        <v>92108</v>
      </c>
      <c r="B95" s="1624" t="s">
        <v>514</v>
      </c>
      <c r="C95" s="1625">
        <f>SUM(C96:C96)</f>
        <v>3297000</v>
      </c>
      <c r="D95" s="1626"/>
      <c r="E95" s="1627">
        <f>SUM(E96:E96)</f>
        <v>3297000</v>
      </c>
    </row>
    <row r="96" spans="1:5" s="1554" customFormat="1" ht="14.25" customHeight="1">
      <c r="A96" s="1532">
        <v>2480</v>
      </c>
      <c r="B96" s="1533" t="s">
        <v>680</v>
      </c>
      <c r="C96" s="1489">
        <f>SUM(D96:E96)</f>
        <v>3297000</v>
      </c>
      <c r="D96" s="1622"/>
      <c r="E96" s="1604">
        <f>3127000+170000</f>
        <v>3297000</v>
      </c>
    </row>
    <row r="97" spans="1:5" s="1470" customFormat="1" ht="17.25" customHeight="1">
      <c r="A97" s="1601">
        <v>92109</v>
      </c>
      <c r="B97" s="1624" t="s">
        <v>681</v>
      </c>
      <c r="C97" s="1625">
        <f>SUM(C98:C98)</f>
        <v>3409000</v>
      </c>
      <c r="D97" s="1626">
        <f>SUM(D98:D98)</f>
        <v>3409000</v>
      </c>
      <c r="E97" s="1627"/>
    </row>
    <row r="98" spans="1:5" s="1481" customFormat="1" ht="15" customHeight="1">
      <c r="A98" s="1532">
        <v>2480</v>
      </c>
      <c r="B98" s="1533" t="s">
        <v>680</v>
      </c>
      <c r="C98" s="1489">
        <f>SUM(D98:E98)</f>
        <v>3409000</v>
      </c>
      <c r="D98" s="1631">
        <f>2419000+150000+840000</f>
        <v>3409000</v>
      </c>
      <c r="E98" s="1632"/>
    </row>
    <row r="99" spans="1:5" s="1470" customFormat="1" ht="18.75" customHeight="1">
      <c r="A99" s="1546">
        <v>92116</v>
      </c>
      <c r="B99" s="1633" t="s">
        <v>515</v>
      </c>
      <c r="C99" s="1625">
        <f>C100</f>
        <v>4011100</v>
      </c>
      <c r="D99" s="1626">
        <f>D100</f>
        <v>1348000</v>
      </c>
      <c r="E99" s="1627">
        <f>E100</f>
        <v>2663100</v>
      </c>
    </row>
    <row r="100" spans="1:5" s="1481" customFormat="1" ht="14.25" customHeight="1">
      <c r="A100" s="1575">
        <v>2480</v>
      </c>
      <c r="B100" s="1628" t="s">
        <v>680</v>
      </c>
      <c r="C100" s="1489">
        <f>SUM(D100:E100)</f>
        <v>4011100</v>
      </c>
      <c r="D100" s="1629">
        <f>1328000+20000</f>
        <v>1348000</v>
      </c>
      <c r="E100" s="1630">
        <f>2576400+40000+46700</f>
        <v>2663100</v>
      </c>
    </row>
    <row r="101" spans="1:5" s="1470" customFormat="1" ht="16.5" customHeight="1">
      <c r="A101" s="1601">
        <v>92118</v>
      </c>
      <c r="B101" s="1624" t="s">
        <v>516</v>
      </c>
      <c r="C101" s="1625">
        <f>SUM(C102:C103)</f>
        <v>2269300</v>
      </c>
      <c r="D101" s="1626"/>
      <c r="E101" s="1627">
        <f>SUM(E102:E103)</f>
        <v>2269300</v>
      </c>
    </row>
    <row r="102" spans="1:5" s="1470" customFormat="1" ht="13.5" customHeight="1">
      <c r="A102" s="1532">
        <v>2480</v>
      </c>
      <c r="B102" s="1533" t="s">
        <v>680</v>
      </c>
      <c r="C102" s="1489">
        <f>SUM(D102:E102)</f>
        <v>1912300</v>
      </c>
      <c r="D102" s="1634"/>
      <c r="E102" s="1632">
        <v>1912300</v>
      </c>
    </row>
    <row r="103" spans="1:5" s="1640" customFormat="1" ht="40.5" customHeight="1">
      <c r="A103" s="1635">
        <v>6220</v>
      </c>
      <c r="B103" s="1636" t="s">
        <v>682</v>
      </c>
      <c r="C103" s="1637">
        <f>E103</f>
        <v>357000</v>
      </c>
      <c r="D103" s="1638"/>
      <c r="E103" s="1639">
        <v>357000</v>
      </c>
    </row>
    <row r="104" spans="1:5" s="1640" customFormat="1" ht="19.5" customHeight="1">
      <c r="A104" s="2505">
        <v>92120</v>
      </c>
      <c r="B104" s="2506" t="s">
        <v>782</v>
      </c>
      <c r="C104" s="2507">
        <f>D104</f>
        <v>879900</v>
      </c>
      <c r="D104" s="2508">
        <f>D105</f>
        <v>879900</v>
      </c>
      <c r="E104" s="2509"/>
    </row>
    <row r="105" spans="1:5" s="1640" customFormat="1" ht="48" customHeight="1">
      <c r="A105" s="1635">
        <v>2720</v>
      </c>
      <c r="B105" s="1636" t="s">
        <v>783</v>
      </c>
      <c r="C105" s="1637">
        <f>D105</f>
        <v>879900</v>
      </c>
      <c r="D105" s="1647">
        <v>879900</v>
      </c>
      <c r="E105" s="1639"/>
    </row>
    <row r="106" spans="1:5" s="1640" customFormat="1" ht="18" customHeight="1">
      <c r="A106" s="1641">
        <v>92195</v>
      </c>
      <c r="B106" s="1642" t="s">
        <v>395</v>
      </c>
      <c r="C106" s="1643">
        <f>D106</f>
        <v>500000</v>
      </c>
      <c r="D106" s="1644">
        <f>D107</f>
        <v>500000</v>
      </c>
      <c r="E106" s="1645"/>
    </row>
    <row r="107" spans="1:5" s="1640" customFormat="1" ht="20.25" customHeight="1" thickBot="1">
      <c r="A107" s="1635">
        <v>2480</v>
      </c>
      <c r="B107" s="1646" t="s">
        <v>680</v>
      </c>
      <c r="C107" s="1637">
        <f>D107</f>
        <v>500000</v>
      </c>
      <c r="D107" s="1647">
        <v>500000</v>
      </c>
      <c r="E107" s="1639"/>
    </row>
    <row r="108" spans="1:5" s="1470" customFormat="1" ht="21.75" customHeight="1" thickBot="1" thickTop="1">
      <c r="A108" s="1465">
        <v>926</v>
      </c>
      <c r="B108" s="1500" t="s">
        <v>290</v>
      </c>
      <c r="C108" s="1501">
        <f>D108+E108</f>
        <v>4065000</v>
      </c>
      <c r="D108" s="1524">
        <f>D109+D111</f>
        <v>4065000</v>
      </c>
      <c r="E108" s="1525"/>
    </row>
    <row r="109" spans="1:5" s="1470" customFormat="1" ht="17.25" customHeight="1" thickTop="1">
      <c r="A109" s="1648">
        <v>92605</v>
      </c>
      <c r="B109" s="1649" t="s">
        <v>522</v>
      </c>
      <c r="C109" s="1610">
        <f>C110</f>
        <v>3515000</v>
      </c>
      <c r="D109" s="1650">
        <f>D110</f>
        <v>3515000</v>
      </c>
      <c r="E109" s="1651"/>
    </row>
    <row r="110" spans="1:5" s="1481" customFormat="1" ht="26.25" customHeight="1">
      <c r="A110" s="1532">
        <v>2820</v>
      </c>
      <c r="B110" s="1550" t="s">
        <v>673</v>
      </c>
      <c r="C110" s="1489">
        <f>SUM(D110:E110)</f>
        <v>3515000</v>
      </c>
      <c r="D110" s="1652">
        <f>3400000+115000</f>
        <v>3515000</v>
      </c>
      <c r="E110" s="1603"/>
    </row>
    <row r="111" spans="1:5" s="1481" customFormat="1" ht="16.5" customHeight="1">
      <c r="A111" s="2510">
        <v>92695</v>
      </c>
      <c r="B111" s="2511" t="s">
        <v>395</v>
      </c>
      <c r="C111" s="2512">
        <f>D111</f>
        <v>550000</v>
      </c>
      <c r="D111" s="2513">
        <f>D112</f>
        <v>550000</v>
      </c>
      <c r="E111" s="2514"/>
    </row>
    <row r="112" spans="1:5" s="1481" customFormat="1" ht="26.25" customHeight="1" thickBot="1">
      <c r="A112" s="2515">
        <v>2820</v>
      </c>
      <c r="B112" s="1550" t="s">
        <v>673</v>
      </c>
      <c r="C112" s="1489">
        <f>D112</f>
        <v>550000</v>
      </c>
      <c r="D112" s="2373">
        <v>550000</v>
      </c>
      <c r="E112" s="2374"/>
    </row>
    <row r="113" spans="1:5" s="1470" customFormat="1" ht="18" customHeight="1" thickTop="1">
      <c r="A113" s="1653"/>
      <c r="B113" s="1654" t="s">
        <v>242</v>
      </c>
      <c r="C113" s="1655">
        <f>C14+C21+C27+C30+C53+C62+C74+C90+C108+C85+C18+C11</f>
        <v>57905653</v>
      </c>
      <c r="D113" s="1656">
        <f>D14+D21+D27+D30+D53+D62+D74+D90+D108+D85+D18+D11+D50</f>
        <v>38006400</v>
      </c>
      <c r="E113" s="1657">
        <f>E14+E21+E27+E30+E53+E62+E74+E90+E108+E85</f>
        <v>19917253</v>
      </c>
    </row>
    <row r="114" spans="1:5" ht="9.75" customHeight="1">
      <c r="A114" s="1658"/>
      <c r="B114" s="1659" t="s">
        <v>683</v>
      </c>
      <c r="C114" s="1660"/>
      <c r="D114" s="1661"/>
      <c r="E114" s="1662"/>
    </row>
    <row r="115" spans="1:5" ht="14.25" customHeight="1">
      <c r="A115" s="1658"/>
      <c r="B115" s="1659" t="s">
        <v>684</v>
      </c>
      <c r="C115" s="1663">
        <f>SUM(D115:E115)</f>
        <v>57040653</v>
      </c>
      <c r="D115" s="1664">
        <f>D113-D116</f>
        <v>37480400</v>
      </c>
      <c r="E115" s="1665">
        <f>E113-E116</f>
        <v>19560253</v>
      </c>
    </row>
    <row r="116" spans="1:5" ht="16.5" thickBot="1">
      <c r="A116" s="1666"/>
      <c r="B116" s="1667" t="s">
        <v>685</v>
      </c>
      <c r="C116" s="1668">
        <f>SUM(D116:E116)</f>
        <v>883000</v>
      </c>
      <c r="D116" s="1669">
        <f>D38+D77+D103</f>
        <v>526000</v>
      </c>
      <c r="E116" s="1670">
        <f>E38+E77+E103</f>
        <v>357000</v>
      </c>
    </row>
    <row r="117" spans="1:5" ht="16.5" thickTop="1">
      <c r="A117" s="102" t="s">
        <v>556</v>
      </c>
      <c r="B117" s="1671"/>
      <c r="C117" s="1672"/>
      <c r="D117" s="1672"/>
      <c r="E117" s="1672"/>
    </row>
    <row r="118" spans="1:5" ht="15.75">
      <c r="A118" s="102" t="s">
        <v>297</v>
      </c>
      <c r="B118" s="1673"/>
      <c r="C118" s="1672"/>
      <c r="D118" s="1672"/>
      <c r="E118" s="1672"/>
    </row>
    <row r="119" spans="1:5" ht="15.75">
      <c r="A119" s="102" t="s">
        <v>780</v>
      </c>
      <c r="B119" s="1673"/>
      <c r="C119" s="1672"/>
      <c r="D119" s="1672"/>
      <c r="E119" s="1672"/>
    </row>
    <row r="120" spans="2:5" ht="15.75">
      <c r="B120" s="1673"/>
      <c r="C120" s="1672"/>
      <c r="D120" s="1672"/>
      <c r="E120" s="1672"/>
    </row>
    <row r="121" spans="2:5" ht="15.75">
      <c r="B121" s="1673"/>
      <c r="C121" s="1672"/>
      <c r="D121" s="1672"/>
      <c r="E121" s="1672"/>
    </row>
    <row r="122" spans="2:5" ht="15.75">
      <c r="B122" s="1673"/>
      <c r="C122" s="1672"/>
      <c r="D122" s="1672"/>
      <c r="E122" s="1672"/>
    </row>
    <row r="123" spans="2:5" ht="15.75">
      <c r="B123" s="1673"/>
      <c r="C123" s="1672"/>
      <c r="D123" s="1672"/>
      <c r="E123" s="1672"/>
    </row>
    <row r="124" spans="2:5" ht="15.75">
      <c r="B124" s="1673"/>
      <c r="C124" s="1672"/>
      <c r="D124" s="1672"/>
      <c r="E124" s="1672"/>
    </row>
    <row r="125" spans="2:5" ht="15.75">
      <c r="B125" s="1673"/>
      <c r="C125" s="1672"/>
      <c r="D125" s="1672"/>
      <c r="E125" s="1672"/>
    </row>
    <row r="126" spans="2:5" ht="15.75">
      <c r="B126" s="1673"/>
      <c r="C126" s="1672"/>
      <c r="D126" s="1672"/>
      <c r="E126" s="1672"/>
    </row>
    <row r="127" spans="2:5" ht="15.75">
      <c r="B127" s="1673"/>
      <c r="C127" s="1672"/>
      <c r="D127" s="1672"/>
      <c r="E127" s="1672"/>
    </row>
    <row r="128" spans="2:5" ht="15.75">
      <c r="B128" s="1673"/>
      <c r="C128" s="1672"/>
      <c r="D128" s="1672"/>
      <c r="E128" s="1672"/>
    </row>
    <row r="129" spans="2:5" ht="15.75">
      <c r="B129" s="1673"/>
      <c r="C129" s="1672"/>
      <c r="D129" s="1672"/>
      <c r="E129" s="1672"/>
    </row>
    <row r="130" spans="2:5" ht="15.75">
      <c r="B130" s="1673"/>
      <c r="C130" s="1672"/>
      <c r="D130" s="1672"/>
      <c r="E130" s="1672"/>
    </row>
    <row r="131" spans="2:5" ht="15.75">
      <c r="B131" s="1673"/>
      <c r="C131" s="1672"/>
      <c r="D131" s="1672"/>
      <c r="E131" s="1672"/>
    </row>
    <row r="132" spans="2:5" ht="15.75">
      <c r="B132" s="1673"/>
      <c r="C132" s="1672"/>
      <c r="D132" s="1672"/>
      <c r="E132" s="1672"/>
    </row>
    <row r="133" spans="2:5" ht="15.75">
      <c r="B133" s="1673"/>
      <c r="C133" s="1672"/>
      <c r="D133" s="1672"/>
      <c r="E133" s="1672"/>
    </row>
    <row r="134" spans="2:5" ht="15.75">
      <c r="B134" s="1673"/>
      <c r="C134" s="1672"/>
      <c r="D134" s="1672"/>
      <c r="E134" s="1672"/>
    </row>
    <row r="135" spans="2:5" ht="15.75">
      <c r="B135" s="1673"/>
      <c r="C135" s="1672"/>
      <c r="D135" s="1672"/>
      <c r="E135" s="1672"/>
    </row>
    <row r="136" spans="2:5" ht="15.75">
      <c r="B136" s="1673"/>
      <c r="C136" s="1672"/>
      <c r="D136" s="1672"/>
      <c r="E136" s="1672"/>
    </row>
    <row r="137" spans="2:5" ht="15.75">
      <c r="B137" s="1673"/>
      <c r="C137" s="1672"/>
      <c r="D137" s="1672"/>
      <c r="E137" s="1672"/>
    </row>
    <row r="138" spans="2:5" ht="15.75">
      <c r="B138" s="1673"/>
      <c r="C138" s="1672"/>
      <c r="D138" s="1672"/>
      <c r="E138" s="1672"/>
    </row>
    <row r="139" spans="2:5" ht="15.75">
      <c r="B139" s="1673"/>
      <c r="C139" s="1672"/>
      <c r="D139" s="1672"/>
      <c r="E139" s="1672"/>
    </row>
    <row r="140" spans="2:5" ht="15.75">
      <c r="B140" s="1673"/>
      <c r="C140" s="1672"/>
      <c r="D140" s="1672"/>
      <c r="E140" s="1672"/>
    </row>
  </sheetData>
  <printOptions horizontalCentered="1"/>
  <pageMargins left="0.7874015748031497" right="0.7874015748031497" top="0.984251968503937" bottom="0.65" header="0.5118110236220472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0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068"/>
      <c r="B1" s="1068"/>
      <c r="C1" s="1068"/>
      <c r="D1" s="1068"/>
      <c r="F1" s="110" t="s">
        <v>686</v>
      </c>
      <c r="G1" s="108"/>
      <c r="H1" s="103"/>
      <c r="I1" s="111"/>
      <c r="J1" s="107"/>
    </row>
    <row r="2" spans="1:10" ht="13.5" customHeight="1">
      <c r="A2" s="1068"/>
      <c r="B2" s="1068"/>
      <c r="C2" s="1068"/>
      <c r="D2" s="1068"/>
      <c r="F2" s="473" t="s">
        <v>15</v>
      </c>
      <c r="G2" s="108"/>
      <c r="H2" s="4"/>
      <c r="I2" s="111"/>
      <c r="J2" s="107"/>
    </row>
    <row r="3" spans="1:10" ht="15.75" customHeight="1">
      <c r="A3" s="1068"/>
      <c r="B3" s="1068"/>
      <c r="C3" s="1068"/>
      <c r="D3" s="1068"/>
      <c r="F3" s="4" t="s">
        <v>16</v>
      </c>
      <c r="G3" s="114"/>
      <c r="H3" s="4"/>
      <c r="I3" s="115"/>
      <c r="J3" s="116"/>
    </row>
    <row r="4" spans="1:10" ht="15" customHeight="1">
      <c r="A4" s="1068"/>
      <c r="B4" s="1068"/>
      <c r="C4" s="1068"/>
      <c r="D4" s="1068"/>
      <c r="F4" s="118"/>
      <c r="G4" s="114"/>
      <c r="H4" s="4"/>
      <c r="I4" s="115"/>
      <c r="J4" s="116"/>
    </row>
    <row r="5" spans="1:10" ht="16.5" customHeight="1">
      <c r="A5" s="1068"/>
      <c r="B5" s="1068"/>
      <c r="C5" s="1068"/>
      <c r="D5" s="1068"/>
      <c r="E5" s="4"/>
      <c r="F5" s="114"/>
      <c r="G5" s="114"/>
      <c r="H5" s="4"/>
      <c r="I5" s="115"/>
      <c r="J5" s="116"/>
    </row>
    <row r="6" spans="1:8" ht="57" customHeight="1">
      <c r="A6" s="2424" t="s">
        <v>687</v>
      </c>
      <c r="B6" s="2424"/>
      <c r="C6" s="2424"/>
      <c r="D6" s="2424"/>
      <c r="E6" s="2424"/>
      <c r="F6" s="2424"/>
      <c r="G6" s="2424"/>
      <c r="H6" s="1674"/>
    </row>
    <row r="7" spans="1:8" ht="6" customHeight="1">
      <c r="A7" s="1675"/>
      <c r="B7" s="1675"/>
      <c r="C7" s="1675"/>
      <c r="D7" s="1675"/>
      <c r="E7" s="1675"/>
      <c r="F7" s="1675"/>
      <c r="G7" s="1675"/>
      <c r="H7" s="1674"/>
    </row>
    <row r="8" spans="1:7" ht="21.75" customHeight="1" thickBot="1">
      <c r="A8" s="481" t="s">
        <v>777</v>
      </c>
      <c r="B8" s="1676"/>
      <c r="C8" s="1676"/>
      <c r="D8" s="1676"/>
      <c r="E8" s="1676"/>
      <c r="F8" s="1676"/>
      <c r="G8" s="1064" t="s">
        <v>237</v>
      </c>
    </row>
    <row r="9" spans="1:12" ht="27.75" customHeight="1" thickBot="1" thickTop="1">
      <c r="A9" s="2425" t="s">
        <v>688</v>
      </c>
      <c r="B9" s="2427" t="s">
        <v>239</v>
      </c>
      <c r="C9" s="2429" t="s">
        <v>689</v>
      </c>
      <c r="D9" s="2431" t="s">
        <v>690</v>
      </c>
      <c r="E9" s="2432"/>
      <c r="F9" s="2432"/>
      <c r="G9" s="2433"/>
      <c r="L9" s="1677"/>
    </row>
    <row r="10" spans="1:7" ht="41.25" customHeight="1" thickBot="1" thickTop="1">
      <c r="A10" s="2426"/>
      <c r="B10" s="2428"/>
      <c r="C10" s="2430"/>
      <c r="D10" s="1678" t="s">
        <v>43</v>
      </c>
      <c r="E10" s="1678" t="s">
        <v>691</v>
      </c>
      <c r="F10" s="1679" t="s">
        <v>241</v>
      </c>
      <c r="G10" s="1680" t="s">
        <v>692</v>
      </c>
    </row>
    <row r="11" spans="1:12" ht="12.75" customHeight="1" thickTop="1">
      <c r="A11" s="1681">
        <v>1</v>
      </c>
      <c r="B11" s="1682">
        <v>2</v>
      </c>
      <c r="C11" s="1683">
        <v>3</v>
      </c>
      <c r="D11" s="1681">
        <v>4</v>
      </c>
      <c r="E11" s="1684">
        <v>5</v>
      </c>
      <c r="F11" s="1684">
        <v>6</v>
      </c>
      <c r="G11" s="1685">
        <v>7</v>
      </c>
      <c r="H11" s="1686"/>
      <c r="L11" s="1677"/>
    </row>
    <row r="12" spans="1:9" ht="35.25" customHeight="1">
      <c r="A12" s="1687">
        <v>1</v>
      </c>
      <c r="B12" s="1688" t="s">
        <v>693</v>
      </c>
      <c r="C12" s="1223">
        <v>-300000</v>
      </c>
      <c r="D12" s="1222">
        <f>28657000+1043000</f>
        <v>29700000</v>
      </c>
      <c r="E12" s="1689">
        <v>6700000</v>
      </c>
      <c r="F12" s="1690">
        <v>36400000</v>
      </c>
      <c r="G12" s="1223">
        <f>C12+D12+E12-F12</f>
        <v>-300000</v>
      </c>
      <c r="H12" s="1691"/>
      <c r="I12" s="1677"/>
    </row>
    <row r="13" spans="1:13" ht="31.5" customHeight="1">
      <c r="A13" s="1692">
        <v>2</v>
      </c>
      <c r="B13" s="1693" t="s">
        <v>694</v>
      </c>
      <c r="C13" s="1694">
        <v>-165083</v>
      </c>
      <c r="D13" s="1695">
        <v>794600</v>
      </c>
      <c r="E13" s="1696">
        <f>3050000+166000+26500+24500</f>
        <v>3267000</v>
      </c>
      <c r="F13" s="1690">
        <v>4075017</v>
      </c>
      <c r="G13" s="1694">
        <f>C13+D13+E13-F13</f>
        <v>-178500</v>
      </c>
      <c r="I13" s="1677"/>
      <c r="L13" s="1697"/>
      <c r="M13" s="1697"/>
    </row>
    <row r="14" spans="1:13" ht="32.25" customHeight="1">
      <c r="A14" s="1692">
        <v>3</v>
      </c>
      <c r="B14" s="1693" t="s">
        <v>695</v>
      </c>
      <c r="C14" s="1694">
        <v>-586100</v>
      </c>
      <c r="D14" s="1695">
        <v>5045900</v>
      </c>
      <c r="E14" s="1696">
        <f>13050000+66300+1610000-1250000</f>
        <v>13476300</v>
      </c>
      <c r="F14" s="1690">
        <v>19131700</v>
      </c>
      <c r="G14" s="1694">
        <f>C14+D14+E14-F14</f>
        <v>-1195600</v>
      </c>
      <c r="I14" s="1697"/>
      <c r="J14" s="1697"/>
      <c r="K14" s="1697"/>
      <c r="L14" s="1677"/>
      <c r="M14" s="1698"/>
    </row>
    <row r="15" spans="1:13" ht="49.5" customHeight="1" thickBot="1">
      <c r="A15" s="1699">
        <v>4</v>
      </c>
      <c r="B15" s="1700" t="s">
        <v>696</v>
      </c>
      <c r="C15" s="1701">
        <v>124180</v>
      </c>
      <c r="D15" s="1702">
        <v>181100</v>
      </c>
      <c r="E15" s="1703">
        <v>0</v>
      </c>
      <c r="F15" s="1704">
        <f>D15+E15</f>
        <v>181100</v>
      </c>
      <c r="G15" s="1701">
        <f>C15+D15+E15-F15</f>
        <v>124180</v>
      </c>
      <c r="M15" s="1677"/>
    </row>
    <row r="16" spans="1:7" ht="33.75" customHeight="1" thickBot="1" thickTop="1">
      <c r="A16" s="1705"/>
      <c r="B16" s="1706" t="s">
        <v>697</v>
      </c>
      <c r="C16" s="1164">
        <f>SUM(C12:C15)</f>
        <v>-927003</v>
      </c>
      <c r="D16" s="1707">
        <f>SUM(D12:D15)</f>
        <v>35721600</v>
      </c>
      <c r="E16" s="1707">
        <f>SUM(E12:E15)</f>
        <v>23443300</v>
      </c>
      <c r="F16" s="1707">
        <f>SUM(F12:F15)</f>
        <v>59787817</v>
      </c>
      <c r="G16" s="1708">
        <f>SUM(G12:G15)</f>
        <v>-1549920</v>
      </c>
    </row>
    <row r="17" spans="1:13" ht="15.75" customHeight="1" thickTop="1">
      <c r="A17" s="102" t="s">
        <v>556</v>
      </c>
      <c r="I17" s="1677"/>
      <c r="J17" s="1677"/>
      <c r="K17" s="1677"/>
      <c r="L17" s="1677"/>
      <c r="M17" s="1677"/>
    </row>
    <row r="18" ht="15.75" customHeight="1">
      <c r="A18" s="102" t="s">
        <v>297</v>
      </c>
    </row>
    <row r="19" spans="1:13" ht="15.75" customHeight="1">
      <c r="A19" s="102" t="s">
        <v>780</v>
      </c>
      <c r="K19" s="1677"/>
      <c r="L19" s="1677"/>
      <c r="M19" s="1677"/>
    </row>
    <row r="21" ht="15.75" customHeight="1">
      <c r="L21" s="1677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26">
      <selection activeCell="A52" sqref="A52"/>
    </sheetView>
  </sheetViews>
  <sheetFormatPr defaultColWidth="9.00390625" defaultRowHeight="12.75"/>
  <cols>
    <col min="1" max="1" width="7.25390625" style="1709" customWidth="1"/>
    <col min="2" max="2" width="51.25390625" style="1709" customWidth="1"/>
    <col min="3" max="3" width="14.625" style="1710" customWidth="1"/>
    <col min="4" max="4" width="15.375" style="1710" customWidth="1"/>
    <col min="5" max="6" width="13.875" style="1710" customWidth="1"/>
    <col min="7" max="7" width="12.75390625" style="1710" customWidth="1"/>
    <col min="8" max="8" width="11.00390625" style="1710" customWidth="1"/>
    <col min="9" max="9" width="9.875" style="1709" customWidth="1"/>
    <col min="10" max="16384" width="9.125" style="1709" customWidth="1"/>
  </cols>
  <sheetData>
    <row r="1" spans="3:5" ht="12.75" customHeight="1">
      <c r="C1" s="1068" t="s">
        <v>698</v>
      </c>
      <c r="E1"/>
    </row>
    <row r="2" spans="3:5" ht="12.75" customHeight="1">
      <c r="C2" s="6" t="s">
        <v>699</v>
      </c>
      <c r="E2"/>
    </row>
    <row r="3" spans="3:5" ht="12.75" customHeight="1">
      <c r="C3" s="4" t="s">
        <v>44</v>
      </c>
      <c r="E3"/>
    </row>
    <row r="4" spans="3:5" ht="12.75" customHeight="1">
      <c r="C4" s="6"/>
      <c r="E4"/>
    </row>
    <row r="5" spans="3:5" ht="11.25" customHeight="1">
      <c r="C5" s="1068"/>
      <c r="D5"/>
      <c r="E5"/>
    </row>
    <row r="6" spans="1:7" s="1713" customFormat="1" ht="18" customHeight="1">
      <c r="A6" s="1711" t="s">
        <v>700</v>
      </c>
      <c r="B6" s="1711"/>
      <c r="C6" s="1712"/>
      <c r="D6" s="1712"/>
      <c r="E6" s="1712"/>
      <c r="F6" s="1712"/>
      <c r="G6" s="1712"/>
    </row>
    <row r="7" spans="1:8" s="1713" customFormat="1" ht="18" customHeight="1">
      <c r="A7" s="1711" t="s">
        <v>701</v>
      </c>
      <c r="B7" s="1711"/>
      <c r="C7" s="1712"/>
      <c r="D7" s="1712"/>
      <c r="E7" s="1712"/>
      <c r="F7" s="1712"/>
      <c r="G7" s="1712"/>
      <c r="H7" s="1712"/>
    </row>
    <row r="8" spans="1:8" s="1713" customFormat="1" ht="18" customHeight="1">
      <c r="A8" s="1711" t="s">
        <v>702</v>
      </c>
      <c r="B8" s="1711"/>
      <c r="C8" s="1712"/>
      <c r="D8" s="1712"/>
      <c r="E8" s="1712"/>
      <c r="F8" s="1712"/>
      <c r="G8" s="1712"/>
      <c r="H8" s="1712"/>
    </row>
    <row r="9" spans="1:8" s="1713" customFormat="1" ht="18" customHeight="1">
      <c r="A9" s="1711" t="s">
        <v>703</v>
      </c>
      <c r="B9" s="1711"/>
      <c r="C9" s="1712"/>
      <c r="D9" s="1712"/>
      <c r="E9" s="1712"/>
      <c r="F9" s="1712"/>
      <c r="G9" s="1712"/>
      <c r="H9" s="1712"/>
    </row>
    <row r="10" spans="1:4" ht="13.5" customHeight="1" thickBot="1">
      <c r="A10" s="1709" t="s">
        <v>777</v>
      </c>
      <c r="B10" s="1714"/>
      <c r="D10" s="1715" t="s">
        <v>237</v>
      </c>
    </row>
    <row r="11" spans="1:8" ht="15.75" customHeight="1" thickTop="1">
      <c r="A11" s="1716" t="s">
        <v>238</v>
      </c>
      <c r="B11" s="2434" t="s">
        <v>586</v>
      </c>
      <c r="C11" s="2436" t="s">
        <v>704</v>
      </c>
      <c r="D11" s="2438" t="s">
        <v>705</v>
      </c>
      <c r="E11" s="1717"/>
      <c r="F11" s="1709"/>
      <c r="G11" s="1709"/>
      <c r="H11" s="1709"/>
    </row>
    <row r="12" spans="1:8" ht="24.75" customHeight="1">
      <c r="A12" s="1718" t="s">
        <v>706</v>
      </c>
      <c r="B12" s="2435"/>
      <c r="C12" s="2437"/>
      <c r="D12" s="2439"/>
      <c r="E12" s="1709"/>
      <c r="F12" s="1709"/>
      <c r="G12" s="1709"/>
      <c r="H12" s="1709"/>
    </row>
    <row r="13" spans="1:4" s="86" customFormat="1" ht="9.75" customHeight="1" thickBot="1">
      <c r="A13" s="1719">
        <v>1</v>
      </c>
      <c r="B13" s="1720">
        <v>2</v>
      </c>
      <c r="C13" s="1721">
        <v>3</v>
      </c>
      <c r="D13" s="1722">
        <v>4</v>
      </c>
    </row>
    <row r="14" spans="1:4" s="1727" customFormat="1" ht="22.5" customHeight="1" thickBot="1" thickTop="1">
      <c r="A14" s="1723">
        <v>750</v>
      </c>
      <c r="B14" s="1724" t="s">
        <v>707</v>
      </c>
      <c r="C14" s="1725"/>
      <c r="D14" s="1726">
        <f>D15+D21</f>
        <v>66300</v>
      </c>
    </row>
    <row r="15" spans="1:4" s="1732" customFormat="1" ht="18" customHeight="1" thickTop="1">
      <c r="A15" s="1728">
        <v>75023</v>
      </c>
      <c r="B15" s="1729" t="s">
        <v>708</v>
      </c>
      <c r="C15" s="1730"/>
      <c r="D15" s="1731">
        <f>D16</f>
        <v>66300</v>
      </c>
    </row>
    <row r="16" spans="1:4" s="1737" customFormat="1" ht="15" customHeight="1">
      <c r="A16" s="1733"/>
      <c r="B16" s="1734" t="s">
        <v>709</v>
      </c>
      <c r="C16" s="1735"/>
      <c r="D16" s="1736">
        <f>SUM(D17:D20)</f>
        <v>66300</v>
      </c>
    </row>
    <row r="17" spans="1:4" s="82" customFormat="1" ht="15.75" customHeight="1">
      <c r="A17" s="1738">
        <v>4010</v>
      </c>
      <c r="B17" s="1739" t="s">
        <v>710</v>
      </c>
      <c r="C17" s="1740"/>
      <c r="D17" s="1741">
        <v>52500</v>
      </c>
    </row>
    <row r="18" spans="1:4" s="82" customFormat="1" ht="15.75" customHeight="1">
      <c r="A18" s="1738" t="s">
        <v>711</v>
      </c>
      <c r="B18" s="1739" t="s">
        <v>712</v>
      </c>
      <c r="C18" s="1740"/>
      <c r="D18" s="1741">
        <v>4000</v>
      </c>
    </row>
    <row r="19" spans="1:4" s="82" customFormat="1" ht="15.75" customHeight="1">
      <c r="A19" s="1738" t="s">
        <v>713</v>
      </c>
      <c r="B19" s="1739" t="s">
        <v>714</v>
      </c>
      <c r="C19" s="1740"/>
      <c r="D19" s="1741">
        <v>8500</v>
      </c>
    </row>
    <row r="20" spans="1:4" s="82" customFormat="1" ht="15.75" customHeight="1" thickBot="1">
      <c r="A20" s="1738" t="s">
        <v>715</v>
      </c>
      <c r="B20" s="1739" t="s">
        <v>716</v>
      </c>
      <c r="C20" s="1740"/>
      <c r="D20" s="1741">
        <v>1300</v>
      </c>
    </row>
    <row r="21" spans="1:4" s="1745" customFormat="1" ht="48" customHeight="1" thickBot="1" thickTop="1">
      <c r="A21" s="1723">
        <v>756</v>
      </c>
      <c r="B21" s="1742" t="s">
        <v>717</v>
      </c>
      <c r="C21" s="1743">
        <f>C23+C38</f>
        <v>2000000</v>
      </c>
      <c r="D21" s="1744"/>
    </row>
    <row r="22" spans="1:4" s="1750" customFormat="1" ht="28.5" customHeight="1" thickTop="1">
      <c r="A22" s="1746">
        <v>75618</v>
      </c>
      <c r="B22" s="1747" t="s">
        <v>718</v>
      </c>
      <c r="C22" s="1748">
        <f>C23</f>
        <v>2000000</v>
      </c>
      <c r="D22" s="1749"/>
    </row>
    <row r="23" spans="1:4" s="82" customFormat="1" ht="16.5" customHeight="1" thickBot="1">
      <c r="A23" s="1738" t="s">
        <v>719</v>
      </c>
      <c r="B23" s="1739" t="s">
        <v>720</v>
      </c>
      <c r="C23" s="1751">
        <v>2000000</v>
      </c>
      <c r="D23" s="1752"/>
    </row>
    <row r="24" spans="1:4" s="1727" customFormat="1" ht="21" customHeight="1" thickBot="1" thickTop="1">
      <c r="A24" s="1723">
        <v>851</v>
      </c>
      <c r="B24" s="1724" t="s">
        <v>721</v>
      </c>
      <c r="C24" s="1725"/>
      <c r="D24" s="1726">
        <f>D25+D30</f>
        <v>1933700</v>
      </c>
    </row>
    <row r="25" spans="1:4" s="1732" customFormat="1" ht="18" customHeight="1" thickTop="1">
      <c r="A25" s="1753">
        <v>85153</v>
      </c>
      <c r="B25" s="1729" t="s">
        <v>475</v>
      </c>
      <c r="C25" s="1730"/>
      <c r="D25" s="1731">
        <f>SUM(D26:D29)</f>
        <v>150000</v>
      </c>
    </row>
    <row r="26" spans="1:4" s="1757" customFormat="1" ht="27.75" customHeight="1">
      <c r="A26" s="1754">
        <v>2820</v>
      </c>
      <c r="B26" s="1755" t="s">
        <v>722</v>
      </c>
      <c r="C26" s="1756"/>
      <c r="D26" s="1741">
        <v>100000</v>
      </c>
    </row>
    <row r="27" spans="1:4" s="1757" customFormat="1" ht="14.25" customHeight="1">
      <c r="A27" s="1758">
        <v>3000</v>
      </c>
      <c r="B27" s="1739" t="s">
        <v>723</v>
      </c>
      <c r="C27" s="1756"/>
      <c r="D27" s="1741">
        <v>15000</v>
      </c>
    </row>
    <row r="28" spans="1:4" s="82" customFormat="1" ht="13.5" customHeight="1">
      <c r="A28" s="1758">
        <v>4210</v>
      </c>
      <c r="B28" s="1739" t="s">
        <v>724</v>
      </c>
      <c r="C28" s="1740"/>
      <c r="D28" s="1741">
        <v>5000</v>
      </c>
    </row>
    <row r="29" spans="1:4" s="82" customFormat="1" ht="13.5" customHeight="1">
      <c r="A29" s="1758">
        <v>4300</v>
      </c>
      <c r="B29" s="1739" t="s">
        <v>725</v>
      </c>
      <c r="C29" s="1740"/>
      <c r="D29" s="1741">
        <v>30000</v>
      </c>
    </row>
    <row r="30" spans="1:4" s="1732" customFormat="1" ht="18" customHeight="1">
      <c r="A30" s="1753">
        <v>85154</v>
      </c>
      <c r="B30" s="1759" t="s">
        <v>476</v>
      </c>
      <c r="C30" s="1760"/>
      <c r="D30" s="1761">
        <f>SUM(D31:D48)</f>
        <v>1783700</v>
      </c>
    </row>
    <row r="31" spans="1:4" s="1757" customFormat="1" ht="21" customHeight="1" hidden="1">
      <c r="A31" s="1754">
        <v>2480</v>
      </c>
      <c r="B31" s="1128" t="s">
        <v>726</v>
      </c>
      <c r="C31" s="1756"/>
      <c r="D31" s="1741"/>
    </row>
    <row r="32" spans="1:4" s="1757" customFormat="1" ht="27" customHeight="1">
      <c r="A32" s="1758">
        <v>2820</v>
      </c>
      <c r="B32" s="1739" t="s">
        <v>722</v>
      </c>
      <c r="C32" s="1740"/>
      <c r="D32" s="1741">
        <v>500000</v>
      </c>
    </row>
    <row r="33" spans="1:4" s="82" customFormat="1" ht="14.25" customHeight="1" hidden="1">
      <c r="A33" s="1758">
        <v>3030</v>
      </c>
      <c r="B33" s="1739" t="s">
        <v>727</v>
      </c>
      <c r="C33" s="1740"/>
      <c r="D33" s="1741"/>
    </row>
    <row r="34" spans="1:4" s="82" customFormat="1" ht="14.25" customHeight="1">
      <c r="A34" s="1758">
        <v>3000</v>
      </c>
      <c r="B34" s="2362" t="s">
        <v>723</v>
      </c>
      <c r="C34" s="1740"/>
      <c r="D34" s="1741">
        <v>53600</v>
      </c>
    </row>
    <row r="35" spans="1:4" s="82" customFormat="1" ht="15" customHeight="1">
      <c r="A35" s="1762">
        <v>4170</v>
      </c>
      <c r="B35" s="1763" t="s">
        <v>728</v>
      </c>
      <c r="C35" s="1740"/>
      <c r="D35" s="1741">
        <v>60000</v>
      </c>
    </row>
    <row r="36" spans="1:4" s="82" customFormat="1" ht="15" customHeight="1">
      <c r="A36" s="1762">
        <v>4210</v>
      </c>
      <c r="B36" s="1763" t="s">
        <v>724</v>
      </c>
      <c r="C36" s="1740"/>
      <c r="D36" s="1741">
        <v>40000</v>
      </c>
    </row>
    <row r="37" spans="1:4" s="82" customFormat="1" ht="15" customHeight="1">
      <c r="A37" s="1762">
        <v>4220</v>
      </c>
      <c r="B37" s="1763" t="s">
        <v>775</v>
      </c>
      <c r="C37" s="1740"/>
      <c r="D37" s="1741">
        <v>16000</v>
      </c>
    </row>
    <row r="38" spans="1:4" s="1757" customFormat="1" ht="15" customHeight="1">
      <c r="A38" s="1758">
        <v>4240</v>
      </c>
      <c r="B38" s="1739" t="s">
        <v>729</v>
      </c>
      <c r="C38" s="1740"/>
      <c r="D38" s="1741">
        <v>2000</v>
      </c>
    </row>
    <row r="39" spans="1:4" s="1757" customFormat="1" ht="15" customHeight="1">
      <c r="A39" s="1758">
        <v>4270</v>
      </c>
      <c r="B39" s="1739" t="s">
        <v>730</v>
      </c>
      <c r="C39" s="1740"/>
      <c r="D39" s="1741">
        <v>130000</v>
      </c>
    </row>
    <row r="40" spans="1:4" s="82" customFormat="1" ht="15" customHeight="1">
      <c r="A40" s="1758">
        <v>4300</v>
      </c>
      <c r="B40" s="1739" t="s">
        <v>725</v>
      </c>
      <c r="C40" s="1740"/>
      <c r="D40" s="1741">
        <v>863100</v>
      </c>
    </row>
    <row r="41" spans="1:4" s="82" customFormat="1" ht="15" customHeight="1">
      <c r="A41" s="1758">
        <v>4390</v>
      </c>
      <c r="B41" s="1739" t="s">
        <v>731</v>
      </c>
      <c r="C41" s="1740"/>
      <c r="D41" s="1741">
        <v>10000</v>
      </c>
    </row>
    <row r="42" spans="1:4" s="82" customFormat="1" ht="15" customHeight="1">
      <c r="A42" s="1758">
        <v>4410</v>
      </c>
      <c r="B42" s="1739" t="s">
        <v>732</v>
      </c>
      <c r="C42" s="1740"/>
      <c r="D42" s="1741">
        <v>2000</v>
      </c>
    </row>
    <row r="43" spans="1:4" s="82" customFormat="1" ht="15" customHeight="1" hidden="1">
      <c r="A43" s="83">
        <v>4430</v>
      </c>
      <c r="B43" s="1739" t="s">
        <v>733</v>
      </c>
      <c r="C43" s="1740"/>
      <c r="D43" s="1741">
        <v>0</v>
      </c>
    </row>
    <row r="44" spans="1:4" s="82" customFormat="1" ht="15" customHeight="1">
      <c r="A44" s="83">
        <v>4610</v>
      </c>
      <c r="B44" s="1739" t="s">
        <v>734</v>
      </c>
      <c r="C44" s="1740"/>
      <c r="D44" s="1741">
        <v>3000</v>
      </c>
    </row>
    <row r="45" spans="1:4" s="82" customFormat="1" ht="25.5">
      <c r="A45" s="83">
        <v>4700</v>
      </c>
      <c r="B45" s="1739" t="s">
        <v>735</v>
      </c>
      <c r="C45" s="1740"/>
      <c r="D45" s="1741">
        <v>3000</v>
      </c>
    </row>
    <row r="46" spans="1:4" s="82" customFormat="1" ht="17.25" customHeight="1" hidden="1">
      <c r="A46" s="83">
        <v>4740</v>
      </c>
      <c r="B46" s="2379" t="s">
        <v>736</v>
      </c>
      <c r="C46" s="1740"/>
      <c r="D46" s="1741"/>
    </row>
    <row r="47" spans="1:4" s="82" customFormat="1" ht="17.25" customHeight="1">
      <c r="A47" s="83">
        <v>4750</v>
      </c>
      <c r="B47" s="1838" t="s">
        <v>776</v>
      </c>
      <c r="C47" s="1740"/>
      <c r="D47" s="1741">
        <v>1000</v>
      </c>
    </row>
    <row r="48" spans="1:4" s="82" customFormat="1" ht="18.75" customHeight="1" thickBot="1">
      <c r="A48" s="1764">
        <v>6050</v>
      </c>
      <c r="B48" s="1765" t="s">
        <v>737</v>
      </c>
      <c r="C48" s="1766"/>
      <c r="D48" s="1767">
        <v>100000</v>
      </c>
    </row>
    <row r="49" spans="1:4" s="1727" customFormat="1" ht="20.25" customHeight="1" thickBot="1" thickTop="1">
      <c r="A49" s="1768"/>
      <c r="B49" s="1769" t="s">
        <v>738</v>
      </c>
      <c r="C49" s="1743">
        <f>C14+C21+C24</f>
        <v>2000000</v>
      </c>
      <c r="D49" s="1726">
        <f>D14+D21+D24</f>
        <v>2000000</v>
      </c>
    </row>
    <row r="50" spans="1:9" s="82" customFormat="1" ht="13.5" thickTop="1">
      <c r="A50" s="102" t="s">
        <v>739</v>
      </c>
      <c r="B50" s="1770"/>
      <c r="C50" s="1771"/>
      <c r="D50" s="1771"/>
      <c r="E50" s="1771"/>
      <c r="F50" s="1771"/>
      <c r="G50" s="1771"/>
      <c r="H50" s="1771"/>
      <c r="I50" s="1772"/>
    </row>
    <row r="51" spans="1:8" s="82" customFormat="1" ht="12.75">
      <c r="A51" s="102" t="s">
        <v>297</v>
      </c>
      <c r="B51" s="1770"/>
      <c r="C51" s="1771"/>
      <c r="D51" s="1771"/>
      <c r="E51" s="1771"/>
      <c r="F51" s="1771"/>
      <c r="G51" s="1771"/>
      <c r="H51" s="1771"/>
    </row>
    <row r="52" spans="1:8" s="82" customFormat="1" ht="12.75">
      <c r="A52" s="102" t="s">
        <v>780</v>
      </c>
      <c r="B52" s="1770"/>
      <c r="C52" s="1771"/>
      <c r="D52" s="1771"/>
      <c r="E52" s="1771"/>
      <c r="F52" s="1771"/>
      <c r="G52" s="1771"/>
      <c r="H52" s="1771"/>
    </row>
    <row r="53" spans="2:8" s="82" customFormat="1" ht="12.75">
      <c r="B53" s="1770"/>
      <c r="C53" s="1771"/>
      <c r="D53" s="1771"/>
      <c r="E53" s="1771"/>
      <c r="F53" s="1771"/>
      <c r="G53" s="1771"/>
      <c r="H53" s="1771"/>
    </row>
    <row r="54" spans="2:8" s="82" customFormat="1" ht="12.75">
      <c r="B54" s="1770"/>
      <c r="C54" s="1771"/>
      <c r="D54" s="1771"/>
      <c r="E54" s="1771"/>
      <c r="F54" s="1771"/>
      <c r="G54" s="1771"/>
      <c r="H54" s="1771"/>
    </row>
    <row r="55" spans="2:8" s="82" customFormat="1" ht="12.75">
      <c r="B55" s="1770"/>
      <c r="C55" s="1771"/>
      <c r="D55" s="1771"/>
      <c r="E55" s="1771"/>
      <c r="F55" s="1771"/>
      <c r="G55" s="1771"/>
      <c r="H55" s="1771"/>
    </row>
    <row r="56" spans="2:8" s="82" customFormat="1" ht="12.75">
      <c r="B56" s="1770"/>
      <c r="C56" s="1771"/>
      <c r="D56" s="1771"/>
      <c r="E56" s="1771"/>
      <c r="F56" s="1771"/>
      <c r="G56" s="1771"/>
      <c r="H56" s="1771"/>
    </row>
    <row r="57" spans="3:8" s="82" customFormat="1" ht="12.75">
      <c r="C57" s="1771"/>
      <c r="D57" s="1771"/>
      <c r="E57" s="1771"/>
      <c r="F57" s="1771"/>
      <c r="G57" s="1771"/>
      <c r="H57" s="1771"/>
    </row>
    <row r="58" spans="3:8" s="82" customFormat="1" ht="12.75">
      <c r="C58" s="1771"/>
      <c r="D58" s="1771"/>
      <c r="E58" s="1771"/>
      <c r="F58" s="1771"/>
      <c r="G58" s="1771"/>
      <c r="H58" s="1771"/>
    </row>
    <row r="59" spans="3:8" s="82" customFormat="1" ht="12.75">
      <c r="C59" s="1771"/>
      <c r="D59" s="1771"/>
      <c r="E59" s="1771"/>
      <c r="F59" s="1771"/>
      <c r="G59" s="1771"/>
      <c r="H59" s="1771"/>
    </row>
    <row r="60" spans="3:8" s="82" customFormat="1" ht="12.75">
      <c r="C60" s="1771"/>
      <c r="D60" s="1771"/>
      <c r="E60" s="1771"/>
      <c r="F60" s="1771"/>
      <c r="G60" s="1771"/>
      <c r="H60" s="1771"/>
    </row>
    <row r="61" spans="3:8" s="82" customFormat="1" ht="12.75">
      <c r="C61" s="1771"/>
      <c r="D61" s="1771"/>
      <c r="E61" s="1771"/>
      <c r="F61" s="1771"/>
      <c r="G61" s="1771"/>
      <c r="H61" s="1771"/>
    </row>
    <row r="62" spans="3:8" s="82" customFormat="1" ht="12.75">
      <c r="C62" s="1771"/>
      <c r="D62" s="1771"/>
      <c r="E62" s="1771"/>
      <c r="F62" s="1771"/>
      <c r="G62" s="1771"/>
      <c r="H62" s="1771"/>
    </row>
    <row r="63" spans="3:8" s="82" customFormat="1" ht="12.75">
      <c r="C63" s="1771"/>
      <c r="D63" s="1771"/>
      <c r="E63" s="1771"/>
      <c r="F63" s="1771"/>
      <c r="G63" s="1771"/>
      <c r="H63" s="1771"/>
    </row>
    <row r="64" spans="3:8" s="82" customFormat="1" ht="12.75">
      <c r="C64" s="1771"/>
      <c r="D64" s="1771"/>
      <c r="E64" s="1771"/>
      <c r="F64" s="1771"/>
      <c r="G64" s="1771"/>
      <c r="H64" s="1771"/>
    </row>
    <row r="65" spans="3:8" s="82" customFormat="1" ht="12.75">
      <c r="C65" s="1771"/>
      <c r="D65" s="1771"/>
      <c r="E65" s="1771"/>
      <c r="F65" s="1771"/>
      <c r="G65" s="1771"/>
      <c r="H65" s="1771"/>
    </row>
    <row r="66" spans="3:8" s="82" customFormat="1" ht="12.75">
      <c r="C66" s="1771"/>
      <c r="D66" s="1771"/>
      <c r="E66" s="1771"/>
      <c r="F66" s="1771"/>
      <c r="G66" s="1771"/>
      <c r="H66" s="1771"/>
    </row>
    <row r="67" spans="3:8" s="82" customFormat="1" ht="12.75">
      <c r="C67" s="1771"/>
      <c r="D67" s="1771"/>
      <c r="E67" s="1771"/>
      <c r="F67" s="1771"/>
      <c r="G67" s="1771"/>
      <c r="H67" s="1771"/>
    </row>
    <row r="68" spans="3:8" s="82" customFormat="1" ht="12.75">
      <c r="C68" s="1771"/>
      <c r="D68" s="1771"/>
      <c r="E68" s="1771"/>
      <c r="F68" s="1771"/>
      <c r="G68" s="1771"/>
      <c r="H68" s="1771"/>
    </row>
    <row r="69" spans="3:8" s="82" customFormat="1" ht="12.75">
      <c r="C69" s="1771"/>
      <c r="D69" s="1771"/>
      <c r="E69" s="1771"/>
      <c r="F69" s="1771"/>
      <c r="G69" s="1771"/>
      <c r="H69" s="1771"/>
    </row>
    <row r="70" spans="3:8" s="82" customFormat="1" ht="12.75">
      <c r="C70" s="1771"/>
      <c r="D70" s="1771"/>
      <c r="E70" s="1771"/>
      <c r="F70" s="1771"/>
      <c r="G70" s="1771"/>
      <c r="H70" s="1771"/>
    </row>
    <row r="71" spans="3:8" s="82" customFormat="1" ht="12.75">
      <c r="C71" s="1771"/>
      <c r="D71" s="1771"/>
      <c r="E71" s="1771"/>
      <c r="F71" s="1771"/>
      <c r="G71" s="1771"/>
      <c r="H71" s="1771"/>
    </row>
    <row r="72" spans="3:8" s="82" customFormat="1" ht="12.75">
      <c r="C72" s="1771"/>
      <c r="D72" s="1771"/>
      <c r="E72" s="1771"/>
      <c r="F72" s="1771"/>
      <c r="G72" s="1771"/>
      <c r="H72" s="1771"/>
    </row>
  </sheetData>
  <mergeCells count="3">
    <mergeCell ref="B11:B12"/>
    <mergeCell ref="C11:C12"/>
    <mergeCell ref="D11:D12"/>
  </mergeCells>
  <printOptions horizontalCentered="1"/>
  <pageMargins left="0.24" right="0.25" top="0.19" bottom="0.23" header="0.2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26" sqref="A26"/>
    </sheetView>
  </sheetViews>
  <sheetFormatPr defaultColWidth="9.00390625" defaultRowHeight="12.75"/>
  <cols>
    <col min="1" max="1" width="4.00390625" style="1780" customWidth="1"/>
    <col min="2" max="2" width="22.125" style="1780" customWidth="1"/>
    <col min="3" max="3" width="11.875" style="1780" customWidth="1"/>
    <col min="4" max="7" width="11.75390625" style="1780" customWidth="1"/>
    <col min="8" max="8" width="8.00390625" style="1780" customWidth="1"/>
    <col min="9" max="16384" width="10.00390625" style="1780" customWidth="1"/>
  </cols>
  <sheetData>
    <row r="1" spans="6:7" ht="12.75" customHeight="1">
      <c r="F1" s="1150" t="s">
        <v>740</v>
      </c>
      <c r="G1" s="1068"/>
    </row>
    <row r="2" spans="6:7" ht="12.75" customHeight="1">
      <c r="F2" s="6" t="s">
        <v>299</v>
      </c>
      <c r="G2" s="1068"/>
    </row>
    <row r="3" spans="6:7" ht="12.75" customHeight="1">
      <c r="F3" s="4" t="s">
        <v>16</v>
      </c>
      <c r="G3" s="1068"/>
    </row>
    <row r="4" spans="6:7" ht="12.75" customHeight="1">
      <c r="F4" s="6"/>
      <c r="G4" s="1068"/>
    </row>
    <row r="6" ht="4.5" customHeight="1"/>
    <row r="8" spans="1:7" s="1781" customFormat="1" ht="18" customHeight="1">
      <c r="A8" s="1254" t="s">
        <v>741</v>
      </c>
      <c r="B8" s="1254"/>
      <c r="C8" s="1254"/>
      <c r="D8" s="1254"/>
      <c r="E8" s="1254"/>
      <c r="F8" s="1254"/>
      <c r="G8" s="1254"/>
    </row>
    <row r="9" spans="1:7" s="1781" customFormat="1" ht="22.5" customHeight="1">
      <c r="A9" s="1254" t="s">
        <v>742</v>
      </c>
      <c r="B9" s="1254"/>
      <c r="C9" s="1254"/>
      <c r="D9" s="1254"/>
      <c r="E9" s="1254"/>
      <c r="F9" s="1254"/>
      <c r="G9" s="1254"/>
    </row>
    <row r="10" spans="1:7" s="1781" customFormat="1" ht="22.5" customHeight="1">
      <c r="A10" s="1254" t="s">
        <v>585</v>
      </c>
      <c r="B10" s="1254"/>
      <c r="C10" s="1254"/>
      <c r="D10" s="1254"/>
      <c r="E10" s="1254"/>
      <c r="F10" s="1254"/>
      <c r="G10" s="1254"/>
    </row>
    <row r="11" spans="1:7" s="2364" customFormat="1" ht="25.5" customHeight="1" thickBot="1">
      <c r="A11" s="1709" t="s">
        <v>777</v>
      </c>
      <c r="B11" s="2363"/>
      <c r="C11" s="2363"/>
      <c r="D11" s="2363"/>
      <c r="E11" s="2363"/>
      <c r="F11" s="2363"/>
      <c r="G11" s="2363" t="s">
        <v>237</v>
      </c>
    </row>
    <row r="12" spans="1:7" s="1787" customFormat="1" ht="21.75" customHeight="1" thickTop="1">
      <c r="A12" s="1782"/>
      <c r="B12" s="1783"/>
      <c r="C12" s="1784" t="s">
        <v>743</v>
      </c>
      <c r="D12" s="1785"/>
      <c r="E12" s="1785"/>
      <c r="F12" s="1785"/>
      <c r="G12" s="1786"/>
    </row>
    <row r="13" spans="1:7" s="1793" customFormat="1" ht="56.25" customHeight="1" thickBot="1">
      <c r="A13" s="1788" t="s">
        <v>304</v>
      </c>
      <c r="B13" s="1789" t="s">
        <v>586</v>
      </c>
      <c r="C13" s="1790" t="s">
        <v>744</v>
      </c>
      <c r="D13" s="1791" t="s">
        <v>745</v>
      </c>
      <c r="E13" s="1791" t="s">
        <v>746</v>
      </c>
      <c r="F13" s="1791" t="s">
        <v>747</v>
      </c>
      <c r="G13" s="1792" t="s">
        <v>748</v>
      </c>
    </row>
    <row r="14" spans="1:7" s="1155" customFormat="1" ht="12.75" customHeight="1" thickBot="1" thickTop="1">
      <c r="A14" s="1794">
        <v>1</v>
      </c>
      <c r="B14" s="1795">
        <v>2</v>
      </c>
      <c r="C14" s="1795">
        <v>3</v>
      </c>
      <c r="D14" s="1795">
        <v>4</v>
      </c>
      <c r="E14" s="1795">
        <v>5</v>
      </c>
      <c r="F14" s="1795">
        <v>6</v>
      </c>
      <c r="G14" s="1796">
        <v>7</v>
      </c>
    </row>
    <row r="15" spans="1:7" s="1150" customFormat="1" ht="25.5" customHeight="1" thickTop="1">
      <c r="A15" s="1797" t="s">
        <v>749</v>
      </c>
      <c r="B15" s="1798" t="s">
        <v>750</v>
      </c>
      <c r="C15" s="1690">
        <v>438141.17</v>
      </c>
      <c r="D15" s="1690">
        <v>2579050</v>
      </c>
      <c r="E15" s="1690">
        <f>SUM(C15:D15)</f>
        <v>3017191.17</v>
      </c>
      <c r="F15" s="1690">
        <v>3017191.17</v>
      </c>
      <c r="G15" s="1168">
        <f>E15-F15</f>
        <v>0</v>
      </c>
    </row>
    <row r="16" spans="1:7" s="1150" customFormat="1" ht="25.5" customHeight="1">
      <c r="A16" s="1799" t="s">
        <v>751</v>
      </c>
      <c r="B16" s="1197" t="s">
        <v>752</v>
      </c>
      <c r="C16" s="1800">
        <v>44900</v>
      </c>
      <c r="D16" s="1800">
        <v>33200</v>
      </c>
      <c r="E16" s="1800">
        <f>SUM(C16:D16)</f>
        <v>78100</v>
      </c>
      <c r="F16" s="1800">
        <v>67600</v>
      </c>
      <c r="G16" s="1801">
        <f>E16-F16</f>
        <v>10500</v>
      </c>
    </row>
    <row r="17" spans="1:7" s="1231" customFormat="1" ht="30" customHeight="1">
      <c r="A17" s="1799" t="s">
        <v>753</v>
      </c>
      <c r="B17" s="1197" t="s">
        <v>754</v>
      </c>
      <c r="C17" s="1800">
        <f>SUM(C19:C20)</f>
        <v>78509</v>
      </c>
      <c r="D17" s="1800">
        <f>SUM(D19:D20)</f>
        <v>950900</v>
      </c>
      <c r="E17" s="1800">
        <f>SUM(C17:D17)</f>
        <v>1029409</v>
      </c>
      <c r="F17" s="1800">
        <f>SUM(F19:F20)</f>
        <v>972009</v>
      </c>
      <c r="G17" s="1801">
        <f>C17+D17-F17</f>
        <v>57400</v>
      </c>
    </row>
    <row r="18" spans="1:7" s="1150" customFormat="1" ht="14.25" customHeight="1">
      <c r="A18" s="1762"/>
      <c r="B18" s="1133" t="s">
        <v>611</v>
      </c>
      <c r="C18" s="1778"/>
      <c r="D18" s="1778"/>
      <c r="E18" s="1778"/>
      <c r="F18" s="1778"/>
      <c r="G18" s="1176"/>
    </row>
    <row r="19" spans="1:7" s="1802" customFormat="1" ht="18.75" customHeight="1">
      <c r="A19" s="1776"/>
      <c r="B19" s="1777" t="s">
        <v>755</v>
      </c>
      <c r="C19" s="1779">
        <v>50252</v>
      </c>
      <c r="D19" s="1779">
        <f>469800+1000</f>
        <v>470800</v>
      </c>
      <c r="E19" s="1779">
        <f>SUM(C19:D19)</f>
        <v>521052</v>
      </c>
      <c r="F19" s="1779">
        <f>480252+1000</f>
        <v>481252</v>
      </c>
      <c r="G19" s="943">
        <f>C19+D19-F19</f>
        <v>39800</v>
      </c>
    </row>
    <row r="20" spans="1:7" s="1802" customFormat="1" ht="18.75" customHeight="1">
      <c r="A20" s="1776"/>
      <c r="B20" s="1777" t="s">
        <v>756</v>
      </c>
      <c r="C20" s="1779">
        <v>28257</v>
      </c>
      <c r="D20" s="1779">
        <f>470100+10000</f>
        <v>480100</v>
      </c>
      <c r="E20" s="1779">
        <f>SUM(C20:D20)</f>
        <v>508357</v>
      </c>
      <c r="F20" s="1779">
        <f>480757+10000</f>
        <v>490757</v>
      </c>
      <c r="G20" s="943">
        <f>C20+D20-F20</f>
        <v>17600</v>
      </c>
    </row>
    <row r="21" spans="1:7" s="1802" customFormat="1" ht="30" customHeight="1">
      <c r="A21" s="1797" t="s">
        <v>757</v>
      </c>
      <c r="B21" s="1803" t="s">
        <v>758</v>
      </c>
      <c r="C21" s="1690">
        <v>11641</v>
      </c>
      <c r="D21" s="1690">
        <v>20000</v>
      </c>
      <c r="E21" s="1690">
        <f>SUM(C21:D21)</f>
        <v>31641</v>
      </c>
      <c r="F21" s="1690">
        <v>23000</v>
      </c>
      <c r="G21" s="1694">
        <f>C21+D21-F21</f>
        <v>8641</v>
      </c>
    </row>
    <row r="22" spans="1:7" s="1802" customFormat="1" ht="30" customHeight="1" thickBot="1">
      <c r="A22" s="1762" t="s">
        <v>759</v>
      </c>
      <c r="B22" s="1133" t="s">
        <v>760</v>
      </c>
      <c r="C22" s="1778">
        <v>0</v>
      </c>
      <c r="D22" s="1778">
        <v>5000</v>
      </c>
      <c r="E22" s="1690">
        <f>SUM(C22:D22)</f>
        <v>5000</v>
      </c>
      <c r="F22" s="1778">
        <v>5000</v>
      </c>
      <c r="G22" s="1694">
        <f>C22+D22-F22</f>
        <v>0</v>
      </c>
    </row>
    <row r="23" spans="1:7" s="1806" customFormat="1" ht="37.5" customHeight="1" thickBot="1" thickTop="1">
      <c r="A23" s="1804" t="s">
        <v>761</v>
      </c>
      <c r="B23" s="1805"/>
      <c r="C23" s="1413">
        <f>C15+C16+C17+C21+C22</f>
        <v>573191.1699999999</v>
      </c>
      <c r="D23" s="1413">
        <f>D15+D16+D17+D21+D22</f>
        <v>3588150</v>
      </c>
      <c r="E23" s="1413">
        <f>E15+E16+E17+E21+E22</f>
        <v>4161341.17</v>
      </c>
      <c r="F23" s="1413">
        <f>F15+F16+F17+F21+F22</f>
        <v>4084800.17</v>
      </c>
      <c r="G23" s="1239">
        <f>G15+G16+G17+G21+G22</f>
        <v>76541</v>
      </c>
    </row>
    <row r="24" ht="19.5" customHeight="1" thickTop="1">
      <c r="A24" s="102" t="s">
        <v>739</v>
      </c>
    </row>
    <row r="25" ht="15.75">
      <c r="A25" s="102" t="s">
        <v>297</v>
      </c>
    </row>
    <row r="26" ht="15.75">
      <c r="A26" s="102" t="s">
        <v>780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9" sqref="A9"/>
    </sheetView>
  </sheetViews>
  <sheetFormatPr defaultColWidth="9.00390625" defaultRowHeight="12.75"/>
  <cols>
    <col min="1" max="1" width="9.125" style="1284" customWidth="1"/>
    <col min="2" max="2" width="50.25390625" style="1284" customWidth="1"/>
    <col min="3" max="3" width="14.75390625" style="1284" hidden="1" customWidth="1"/>
    <col min="4" max="4" width="21.75390625" style="1284" customWidth="1"/>
    <col min="5" max="16384" width="9.125" style="1284" customWidth="1"/>
  </cols>
  <sheetData>
    <row r="1" spans="1:4" ht="13.5" customHeight="1">
      <c r="A1" s="1150"/>
      <c r="D1" s="1150" t="s">
        <v>3</v>
      </c>
    </row>
    <row r="2" spans="1:4" ht="13.5" customHeight="1">
      <c r="A2" s="1150"/>
      <c r="D2" s="6" t="s">
        <v>299</v>
      </c>
    </row>
    <row r="3" spans="1:4" ht="13.5" customHeight="1">
      <c r="A3" s="1150"/>
      <c r="D3" s="4" t="s">
        <v>16</v>
      </c>
    </row>
    <row r="4" spans="1:4" ht="13.5" customHeight="1">
      <c r="A4" s="1150"/>
      <c r="D4" s="6"/>
    </row>
    <row r="5" spans="1:4" ht="34.5" customHeight="1">
      <c r="A5" s="1150"/>
      <c r="B5" s="1150"/>
      <c r="C5" s="1150"/>
      <c r="D5" s="1150"/>
    </row>
    <row r="6" spans="1:4" ht="19.5" customHeight="1">
      <c r="A6" s="2385" t="s">
        <v>4</v>
      </c>
      <c r="B6" s="2440"/>
      <c r="C6" s="2440"/>
      <c r="D6" s="2440"/>
    </row>
    <row r="7" spans="1:5" ht="19.5" customHeight="1">
      <c r="A7" s="1252" t="s">
        <v>5</v>
      </c>
      <c r="B7" s="1252"/>
      <c r="C7" s="1811"/>
      <c r="D7" s="1811"/>
      <c r="E7" s="1812"/>
    </row>
    <row r="8" spans="1:4" ht="19.5" customHeight="1">
      <c r="A8" s="1252" t="s">
        <v>585</v>
      </c>
      <c r="B8" s="1252"/>
      <c r="C8" s="1809"/>
      <c r="D8" s="1809"/>
    </row>
    <row r="9" spans="1:4" ht="22.5" customHeight="1" thickBot="1">
      <c r="A9" s="1709" t="s">
        <v>777</v>
      </c>
      <c r="B9" s="1150"/>
      <c r="C9" s="1150"/>
      <c r="D9" s="1155" t="s">
        <v>6</v>
      </c>
    </row>
    <row r="10" spans="1:4" ht="43.5" customHeight="1" thickTop="1">
      <c r="A10" s="1813" t="s">
        <v>304</v>
      </c>
      <c r="B10" s="1773" t="s">
        <v>239</v>
      </c>
      <c r="C10" s="1808" t="s">
        <v>7</v>
      </c>
      <c r="D10" s="1814" t="s">
        <v>8</v>
      </c>
    </row>
    <row r="11" spans="1:4" s="1335" customFormat="1" ht="12" customHeight="1" thickBot="1">
      <c r="A11" s="1815">
        <v>1</v>
      </c>
      <c r="B11" s="1816">
        <v>2</v>
      </c>
      <c r="C11" s="1817">
        <v>3</v>
      </c>
      <c r="D11" s="1818">
        <v>3</v>
      </c>
    </row>
    <row r="12" spans="1:4" ht="27" customHeight="1" thickBot="1" thickTop="1">
      <c r="A12" s="1819" t="s">
        <v>316</v>
      </c>
      <c r="B12" s="1774" t="s">
        <v>9</v>
      </c>
      <c r="C12" s="1820">
        <f>SUM(C13:C15)</f>
        <v>3587981</v>
      </c>
      <c r="D12" s="1810">
        <f>SUM(D13:D15)</f>
        <v>4754423</v>
      </c>
    </row>
    <row r="13" spans="1:4" s="1286" customFormat="1" ht="25.5" customHeight="1" thickTop="1">
      <c r="A13" s="1821" t="s">
        <v>749</v>
      </c>
      <c r="B13" s="1775" t="s">
        <v>10</v>
      </c>
      <c r="C13" s="1175">
        <v>2000000</v>
      </c>
      <c r="D13" s="1822">
        <v>3500000</v>
      </c>
    </row>
    <row r="14" spans="1:4" s="1286" customFormat="1" ht="25.5" customHeight="1">
      <c r="A14" s="1823" t="s">
        <v>751</v>
      </c>
      <c r="B14" s="1798" t="s">
        <v>11</v>
      </c>
      <c r="C14" s="1695">
        <v>8854</v>
      </c>
      <c r="D14" s="1824">
        <v>130000</v>
      </c>
    </row>
    <row r="15" spans="1:4" s="1286" customFormat="1" ht="30" customHeight="1" thickBot="1">
      <c r="A15" s="1821" t="s">
        <v>753</v>
      </c>
      <c r="B15" s="1133" t="s">
        <v>12</v>
      </c>
      <c r="C15" s="1175">
        <v>1579127</v>
      </c>
      <c r="D15" s="1822">
        <v>1124423</v>
      </c>
    </row>
    <row r="16" spans="1:4" ht="27" customHeight="1" thickBot="1" thickTop="1">
      <c r="A16" s="1819" t="s">
        <v>322</v>
      </c>
      <c r="B16" s="1774" t="s">
        <v>13</v>
      </c>
      <c r="C16" s="1820">
        <f>SUM(C17:C19)</f>
        <v>2454600</v>
      </c>
      <c r="D16" s="1810">
        <f>SUM(D17:D19)</f>
        <v>3564423</v>
      </c>
    </row>
    <row r="17" spans="1:4" s="1286" customFormat="1" ht="25.5" customHeight="1" thickTop="1">
      <c r="A17" s="1821" t="s">
        <v>749</v>
      </c>
      <c r="B17" s="1775" t="s">
        <v>10</v>
      </c>
      <c r="C17" s="1175">
        <v>1385000</v>
      </c>
      <c r="D17" s="1822">
        <v>2310000</v>
      </c>
    </row>
    <row r="18" spans="1:4" s="1286" customFormat="1" ht="25.5" customHeight="1">
      <c r="A18" s="1825" t="s">
        <v>751</v>
      </c>
      <c r="B18" s="1826" t="s">
        <v>11</v>
      </c>
      <c r="C18" s="1690">
        <v>8000</v>
      </c>
      <c r="D18" s="1824">
        <v>130000</v>
      </c>
    </row>
    <row r="19" spans="1:4" s="1286" customFormat="1" ht="30" customHeight="1" thickBot="1">
      <c r="A19" s="1827" t="s">
        <v>753</v>
      </c>
      <c r="B19" s="1828" t="s">
        <v>12</v>
      </c>
      <c r="C19" s="1702">
        <v>1061600</v>
      </c>
      <c r="D19" s="1829">
        <v>1124423</v>
      </c>
    </row>
    <row r="20" spans="1:4" ht="36.75" customHeight="1" thickBot="1" thickTop="1">
      <c r="A20" s="1819" t="s">
        <v>327</v>
      </c>
      <c r="B20" s="1830" t="s">
        <v>14</v>
      </c>
      <c r="C20" s="1820">
        <f aca="true" t="shared" si="0" ref="C20:D23">C12-C16</f>
        <v>1133381</v>
      </c>
      <c r="D20" s="1810">
        <f t="shared" si="0"/>
        <v>1190000</v>
      </c>
    </row>
    <row r="21" spans="1:4" s="1286" customFormat="1" ht="25.5" customHeight="1" thickTop="1">
      <c r="A21" s="1821" t="s">
        <v>749</v>
      </c>
      <c r="B21" s="1775" t="s">
        <v>10</v>
      </c>
      <c r="C21" s="1175">
        <f t="shared" si="0"/>
        <v>615000</v>
      </c>
      <c r="D21" s="1822">
        <f t="shared" si="0"/>
        <v>1190000</v>
      </c>
    </row>
    <row r="22" spans="1:4" s="1286" customFormat="1" ht="25.5" customHeight="1">
      <c r="A22" s="1825" t="s">
        <v>751</v>
      </c>
      <c r="B22" s="1826" t="s">
        <v>11</v>
      </c>
      <c r="C22" s="1690">
        <f t="shared" si="0"/>
        <v>854</v>
      </c>
      <c r="D22" s="1824">
        <f t="shared" si="0"/>
        <v>0</v>
      </c>
    </row>
    <row r="23" spans="1:4" s="1286" customFormat="1" ht="30" customHeight="1" thickBot="1">
      <c r="A23" s="1827" t="s">
        <v>753</v>
      </c>
      <c r="B23" s="1828" t="s">
        <v>12</v>
      </c>
      <c r="C23" s="1702">
        <f t="shared" si="0"/>
        <v>517527</v>
      </c>
      <c r="D23" s="1829">
        <f t="shared" si="0"/>
        <v>0</v>
      </c>
    </row>
    <row r="24" spans="1:3" ht="19.5" thickTop="1">
      <c r="A24" s="1831"/>
      <c r="B24" s="1831"/>
      <c r="C24" s="1806"/>
    </row>
    <row r="25" ht="12.75">
      <c r="A25" s="102" t="s">
        <v>739</v>
      </c>
    </row>
    <row r="26" spans="1:4" ht="12.75">
      <c r="A26" s="102" t="s">
        <v>297</v>
      </c>
      <c r="C26" s="1832"/>
      <c r="D26" s="1832"/>
    </row>
    <row r="27" ht="12.75">
      <c r="A27" s="102" t="s">
        <v>780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199"/>
  <sheetViews>
    <sheetView zoomScale="95" zoomScaleNormal="95" workbookViewId="0" topLeftCell="A7">
      <pane xSplit="4" ySplit="3" topLeftCell="E142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A146" sqref="A146:A148"/>
    </sheetView>
  </sheetViews>
  <sheetFormatPr defaultColWidth="9.00390625" defaultRowHeight="12.75"/>
  <cols>
    <col min="1" max="1" width="5.125" style="1841" customWidth="1"/>
    <col min="2" max="2" width="5.625" style="1841" customWidth="1"/>
    <col min="3" max="3" width="7.75390625" style="1841" customWidth="1"/>
    <col min="4" max="4" width="6.125" style="1842" customWidth="1"/>
    <col min="5" max="5" width="42.375" style="1843" customWidth="1"/>
    <col min="6" max="6" width="12.375" style="1843" customWidth="1"/>
    <col min="7" max="7" width="9.00390625" style="1844" customWidth="1"/>
    <col min="8" max="8" width="9.875" style="1845" customWidth="1"/>
    <col min="9" max="9" width="8.625" style="1845" customWidth="1"/>
    <col min="10" max="10" width="11.75390625" style="1845" customWidth="1"/>
    <col min="11" max="11" width="11.625" style="1845" customWidth="1"/>
    <col min="12" max="12" width="12.125" style="1845" customWidth="1"/>
    <col min="13" max="13" width="3.625" style="1845" hidden="1" customWidth="1"/>
    <col min="14" max="14" width="0.2421875" style="1845" hidden="1" customWidth="1"/>
    <col min="15" max="15" width="11.00390625" style="1845" customWidth="1"/>
    <col min="16" max="16" width="11.875" style="1845" customWidth="1"/>
    <col min="17" max="17" width="11.00390625" style="1845" customWidth="1"/>
    <col min="18" max="18" width="9.125" style="1845" customWidth="1"/>
    <col min="19" max="16384" width="9.125" style="1841" customWidth="1"/>
  </cols>
  <sheetData>
    <row r="1" ht="12.75">
      <c r="K1" s="1846" t="s">
        <v>46</v>
      </c>
    </row>
    <row r="2" spans="10:11" ht="12.75">
      <c r="J2" s="1847" t="s">
        <v>47</v>
      </c>
      <c r="K2" s="6" t="s">
        <v>299</v>
      </c>
    </row>
    <row r="3" spans="10:11" ht="12.75">
      <c r="J3" s="1848" t="s">
        <v>48</v>
      </c>
      <c r="K3" s="4" t="s">
        <v>16</v>
      </c>
    </row>
    <row r="4" spans="10:11" ht="12.75">
      <c r="J4" s="1848"/>
      <c r="K4" s="4"/>
    </row>
    <row r="5" spans="2:15" ht="24.75" customHeight="1">
      <c r="B5" s="1849" t="s">
        <v>49</v>
      </c>
      <c r="E5" s="1850"/>
      <c r="F5" s="1850"/>
      <c r="G5" s="1851"/>
      <c r="H5" s="1852"/>
      <c r="I5" s="1852"/>
      <c r="J5" s="1852"/>
      <c r="K5" s="1852"/>
      <c r="L5" s="1852"/>
      <c r="M5" s="1852"/>
      <c r="N5" s="1852"/>
      <c r="O5" s="1852"/>
    </row>
    <row r="6" spans="1:15" ht="13.5" thickBot="1">
      <c r="A6" s="1709" t="s">
        <v>777</v>
      </c>
      <c r="B6" s="1853"/>
      <c r="K6" s="1854"/>
      <c r="L6" s="1855" t="s">
        <v>50</v>
      </c>
      <c r="M6" s="1856"/>
      <c r="N6" s="1855" t="s">
        <v>50</v>
      </c>
      <c r="O6" s="1855"/>
    </row>
    <row r="7" spans="1:15" ht="53.25" customHeight="1" thickTop="1">
      <c r="A7" s="1857" t="s">
        <v>304</v>
      </c>
      <c r="B7" s="1858" t="s">
        <v>238</v>
      </c>
      <c r="C7" s="1859" t="s">
        <v>51</v>
      </c>
      <c r="D7" s="1859" t="s">
        <v>539</v>
      </c>
      <c r="E7" s="1860" t="s">
        <v>52</v>
      </c>
      <c r="F7" s="1861" t="s">
        <v>53</v>
      </c>
      <c r="G7" s="2467" t="s">
        <v>54</v>
      </c>
      <c r="H7" s="2468"/>
      <c r="I7" s="1859" t="s">
        <v>55</v>
      </c>
      <c r="J7" s="2469" t="s">
        <v>56</v>
      </c>
      <c r="K7" s="2470"/>
      <c r="L7" s="2471"/>
      <c r="M7" s="1862"/>
      <c r="N7" s="1863"/>
      <c r="O7" s="1864"/>
    </row>
    <row r="8" spans="1:19" ht="39" customHeight="1">
      <c r="A8" s="1865"/>
      <c r="B8" s="1866"/>
      <c r="C8" s="1867"/>
      <c r="D8" s="1867"/>
      <c r="E8" s="1868"/>
      <c r="F8" s="1869" t="s">
        <v>57</v>
      </c>
      <c r="G8" s="1870" t="s">
        <v>58</v>
      </c>
      <c r="H8" s="1870" t="s">
        <v>59</v>
      </c>
      <c r="I8" s="1869" t="s">
        <v>60</v>
      </c>
      <c r="J8" s="1871" t="s">
        <v>61</v>
      </c>
      <c r="K8" s="1872" t="s">
        <v>62</v>
      </c>
      <c r="L8" s="1873" t="s">
        <v>63</v>
      </c>
      <c r="M8" s="1874"/>
      <c r="N8" s="1875" t="s">
        <v>63</v>
      </c>
      <c r="O8" s="1876"/>
      <c r="S8" s="1845"/>
    </row>
    <row r="9" spans="1:15" s="1883" customFormat="1" ht="12">
      <c r="A9" s="1877">
        <v>1</v>
      </c>
      <c r="B9" s="1878">
        <v>2</v>
      </c>
      <c r="C9" s="1879">
        <v>3</v>
      </c>
      <c r="D9" s="1878">
        <v>4</v>
      </c>
      <c r="E9" s="1879">
        <v>5</v>
      </c>
      <c r="F9" s="1879">
        <v>6</v>
      </c>
      <c r="G9" s="1879">
        <v>7</v>
      </c>
      <c r="H9" s="1879">
        <v>8</v>
      </c>
      <c r="I9" s="1879">
        <v>9</v>
      </c>
      <c r="J9" s="1879">
        <v>10</v>
      </c>
      <c r="K9" s="1879">
        <v>11</v>
      </c>
      <c r="L9" s="1880">
        <v>12</v>
      </c>
      <c r="M9" s="1881"/>
      <c r="N9" s="1880">
        <v>12</v>
      </c>
      <c r="O9" s="1882"/>
    </row>
    <row r="10" spans="1:19" s="1895" customFormat="1" ht="21" customHeight="1">
      <c r="A10" s="1884" t="s">
        <v>316</v>
      </c>
      <c r="B10" s="1885"/>
      <c r="C10" s="1885"/>
      <c r="D10" s="1885"/>
      <c r="E10" s="1886" t="s">
        <v>64</v>
      </c>
      <c r="F10" s="1886"/>
      <c r="G10" s="1887"/>
      <c r="H10" s="1888"/>
      <c r="I10" s="1889"/>
      <c r="J10" s="1890">
        <f>SUM(J11:J48)</f>
        <v>31205</v>
      </c>
      <c r="K10" s="1890">
        <f>SUM(K11:K48)</f>
        <v>21490</v>
      </c>
      <c r="L10" s="1891">
        <f>SUM(L11:L48)</f>
        <v>20290</v>
      </c>
      <c r="M10" s="1892"/>
      <c r="N10" s="1891">
        <f>SUM(N11:N48)</f>
        <v>5900</v>
      </c>
      <c r="O10" s="1893"/>
      <c r="P10" s="1893"/>
      <c r="Q10" s="1893"/>
      <c r="R10" s="1894"/>
      <c r="S10" s="1894"/>
    </row>
    <row r="11" spans="1:19" s="1907" customFormat="1" ht="18" customHeight="1">
      <c r="A11" s="1896">
        <v>1</v>
      </c>
      <c r="B11" s="1897">
        <v>600</v>
      </c>
      <c r="C11" s="1898">
        <v>60015</v>
      </c>
      <c r="D11" s="1899">
        <v>6050</v>
      </c>
      <c r="E11" s="1900" t="s">
        <v>65</v>
      </c>
      <c r="F11" s="1898" t="s">
        <v>66</v>
      </c>
      <c r="G11" s="1901">
        <v>2006</v>
      </c>
      <c r="H11" s="1901">
        <v>2012</v>
      </c>
      <c r="I11" s="1902">
        <v>300</v>
      </c>
      <c r="J11" s="1903">
        <v>50</v>
      </c>
      <c r="K11" s="1903">
        <v>50</v>
      </c>
      <c r="L11" s="1904">
        <v>100</v>
      </c>
      <c r="M11" s="1905"/>
      <c r="N11" s="1904">
        <v>0</v>
      </c>
      <c r="O11" s="1906"/>
      <c r="P11" s="1845"/>
      <c r="Q11" s="1843"/>
      <c r="R11" s="1843"/>
      <c r="S11" s="1843"/>
    </row>
    <row r="12" spans="1:15" s="1910" customFormat="1" ht="18" customHeight="1">
      <c r="A12" s="1896">
        <v>2</v>
      </c>
      <c r="B12" s="1908">
        <v>600</v>
      </c>
      <c r="C12" s="1898">
        <v>60015</v>
      </c>
      <c r="D12" s="1899">
        <v>6050</v>
      </c>
      <c r="E12" s="1909" t="s">
        <v>67</v>
      </c>
      <c r="F12" s="1898" t="s">
        <v>66</v>
      </c>
      <c r="G12" s="1901">
        <v>2008</v>
      </c>
      <c r="H12" s="1901">
        <v>2009</v>
      </c>
      <c r="I12" s="1902">
        <v>500</v>
      </c>
      <c r="J12" s="1903">
        <v>300</v>
      </c>
      <c r="K12" s="1903">
        <v>0</v>
      </c>
      <c r="L12" s="1904">
        <v>0</v>
      </c>
      <c r="M12" s="1905"/>
      <c r="N12" s="1904">
        <v>0</v>
      </c>
      <c r="O12" s="1906"/>
    </row>
    <row r="13" spans="1:15" s="1910" customFormat="1" ht="18.75" customHeight="1">
      <c r="A13" s="1896">
        <v>3</v>
      </c>
      <c r="B13" s="1908">
        <v>600</v>
      </c>
      <c r="C13" s="1898">
        <v>60015</v>
      </c>
      <c r="D13" s="1899">
        <v>6050</v>
      </c>
      <c r="E13" s="1909" t="s">
        <v>68</v>
      </c>
      <c r="F13" s="1898" t="s">
        <v>66</v>
      </c>
      <c r="G13" s="1901">
        <v>2008</v>
      </c>
      <c r="H13" s="1901">
        <v>2012</v>
      </c>
      <c r="I13" s="1902">
        <v>1620</v>
      </c>
      <c r="J13" s="1903">
        <v>50</v>
      </c>
      <c r="K13" s="1903">
        <v>500</v>
      </c>
      <c r="L13" s="1904">
        <v>500</v>
      </c>
      <c r="M13" s="1905"/>
      <c r="N13" s="1904">
        <v>800</v>
      </c>
      <c r="O13" s="1906"/>
    </row>
    <row r="14" spans="1:19" s="1895" customFormat="1" ht="18" customHeight="1">
      <c r="A14" s="1896">
        <v>4</v>
      </c>
      <c r="B14" s="1897">
        <v>600</v>
      </c>
      <c r="C14" s="1898">
        <v>60015</v>
      </c>
      <c r="D14" s="1898">
        <v>6050</v>
      </c>
      <c r="E14" s="1909" t="s">
        <v>69</v>
      </c>
      <c r="F14" s="1898" t="s">
        <v>66</v>
      </c>
      <c r="G14" s="1911">
        <v>2006</v>
      </c>
      <c r="H14" s="1912" t="s">
        <v>70</v>
      </c>
      <c r="I14" s="1902">
        <v>3980</v>
      </c>
      <c r="J14" s="1903">
        <v>3900</v>
      </c>
      <c r="K14" s="1903">
        <v>0</v>
      </c>
      <c r="L14" s="1904">
        <v>0</v>
      </c>
      <c r="M14" s="1905"/>
      <c r="N14" s="1904">
        <v>0</v>
      </c>
      <c r="O14" s="1906"/>
      <c r="P14" s="1894"/>
      <c r="Q14" s="1894"/>
      <c r="R14" s="1894"/>
      <c r="S14" s="1894"/>
    </row>
    <row r="15" spans="1:19" s="1917" customFormat="1" ht="17.25">
      <c r="A15" s="1896">
        <v>5</v>
      </c>
      <c r="B15" s="1897">
        <v>600</v>
      </c>
      <c r="C15" s="1898">
        <v>60015</v>
      </c>
      <c r="D15" s="1898">
        <v>6050</v>
      </c>
      <c r="E15" s="1909" t="s">
        <v>71</v>
      </c>
      <c r="F15" s="1898" t="s">
        <v>66</v>
      </c>
      <c r="G15" s="1911">
        <v>2007</v>
      </c>
      <c r="H15" s="1912" t="s">
        <v>72</v>
      </c>
      <c r="I15" s="1902">
        <f>15021-200</f>
        <v>14821</v>
      </c>
      <c r="J15" s="1902">
        <f>4700-200</f>
        <v>4500</v>
      </c>
      <c r="K15" s="1902">
        <v>6400</v>
      </c>
      <c r="L15" s="1913">
        <v>1000</v>
      </c>
      <c r="M15" s="1914"/>
      <c r="N15" s="1913">
        <v>1500</v>
      </c>
      <c r="O15" s="1915"/>
      <c r="P15" s="1916"/>
      <c r="Q15" s="1916"/>
      <c r="R15" s="1916"/>
      <c r="S15" s="1916"/>
    </row>
    <row r="16" spans="1:15" s="1910" customFormat="1" ht="21.75" customHeight="1">
      <c r="A16" s="1896">
        <v>6</v>
      </c>
      <c r="B16" s="1908">
        <v>600</v>
      </c>
      <c r="C16" s="1898">
        <v>60015</v>
      </c>
      <c r="D16" s="1899">
        <v>6050</v>
      </c>
      <c r="E16" s="1909" t="s">
        <v>73</v>
      </c>
      <c r="F16" s="1898" t="s">
        <v>66</v>
      </c>
      <c r="G16" s="1901">
        <v>2009</v>
      </c>
      <c r="H16" s="1901">
        <v>2011</v>
      </c>
      <c r="I16" s="1902">
        <v>4300</v>
      </c>
      <c r="J16" s="1903">
        <v>300</v>
      </c>
      <c r="K16" s="1903">
        <v>1000</v>
      </c>
      <c r="L16" s="1904">
        <v>3000</v>
      </c>
      <c r="M16" s="1905"/>
      <c r="N16" s="1904">
        <v>1000</v>
      </c>
      <c r="O16" s="1906"/>
    </row>
    <row r="17" spans="1:15" s="1910" customFormat="1" ht="18" customHeight="1">
      <c r="A17" s="1896">
        <v>7</v>
      </c>
      <c r="B17" s="1908">
        <v>600</v>
      </c>
      <c r="C17" s="1898">
        <v>60015</v>
      </c>
      <c r="D17" s="1899">
        <v>6050</v>
      </c>
      <c r="E17" s="1909" t="s">
        <v>74</v>
      </c>
      <c r="F17" s="1898" t="s">
        <v>66</v>
      </c>
      <c r="G17" s="1901">
        <v>2008</v>
      </c>
      <c r="H17" s="1901">
        <v>2010</v>
      </c>
      <c r="I17" s="1902">
        <v>1220</v>
      </c>
      <c r="J17" s="1903">
        <v>70</v>
      </c>
      <c r="K17" s="1903">
        <v>100</v>
      </c>
      <c r="L17" s="1904">
        <v>1000</v>
      </c>
      <c r="M17" s="1905"/>
      <c r="N17" s="1904">
        <v>0</v>
      </c>
      <c r="O17" s="1906"/>
    </row>
    <row r="18" spans="1:18" s="1907" customFormat="1" ht="18.75" customHeight="1">
      <c r="A18" s="1896">
        <v>8</v>
      </c>
      <c r="B18" s="1897">
        <v>600</v>
      </c>
      <c r="C18" s="1898">
        <v>60015</v>
      </c>
      <c r="D18" s="1899">
        <v>6050</v>
      </c>
      <c r="E18" s="1918" t="s">
        <v>75</v>
      </c>
      <c r="F18" s="1898" t="s">
        <v>66</v>
      </c>
      <c r="G18" s="1919" t="s">
        <v>76</v>
      </c>
      <c r="H18" s="1919" t="s">
        <v>76</v>
      </c>
      <c r="I18" s="1919" t="s">
        <v>76</v>
      </c>
      <c r="J18" s="1903">
        <v>390</v>
      </c>
      <c r="K18" s="1903">
        <v>300</v>
      </c>
      <c r="L18" s="1904">
        <v>300</v>
      </c>
      <c r="M18" s="1905"/>
      <c r="N18" s="1904"/>
      <c r="O18" s="1906"/>
      <c r="P18" s="1843"/>
      <c r="Q18" s="1843"/>
      <c r="R18" s="1843"/>
    </row>
    <row r="19" spans="1:19" s="1917" customFormat="1" ht="25.5">
      <c r="A19" s="1896">
        <v>9</v>
      </c>
      <c r="B19" s="1897">
        <v>600</v>
      </c>
      <c r="C19" s="1898">
        <v>60016</v>
      </c>
      <c r="D19" s="1899">
        <v>6050</v>
      </c>
      <c r="E19" s="1900" t="s">
        <v>77</v>
      </c>
      <c r="F19" s="1898" t="s">
        <v>66</v>
      </c>
      <c r="G19" s="1911">
        <v>2006</v>
      </c>
      <c r="H19" s="1920">
        <v>2012</v>
      </c>
      <c r="I19" s="1902">
        <f>6187.1-100</f>
        <v>6087.1</v>
      </c>
      <c r="J19" s="1902">
        <f>950-100</f>
        <v>850</v>
      </c>
      <c r="K19" s="1902">
        <v>1100</v>
      </c>
      <c r="L19" s="1913">
        <v>1200</v>
      </c>
      <c r="M19" s="1914"/>
      <c r="N19" s="1913">
        <v>0</v>
      </c>
      <c r="O19" s="1915"/>
      <c r="P19" s="1916"/>
      <c r="Q19" s="1916"/>
      <c r="R19" s="1916"/>
      <c r="S19" s="1916"/>
    </row>
    <row r="20" spans="1:19" s="1917" customFormat="1" ht="25.5">
      <c r="A20" s="1896">
        <v>10</v>
      </c>
      <c r="B20" s="1897">
        <v>600</v>
      </c>
      <c r="C20" s="1898">
        <v>60016</v>
      </c>
      <c r="D20" s="1899">
        <v>6050</v>
      </c>
      <c r="E20" s="1900" t="s">
        <v>78</v>
      </c>
      <c r="F20" s="1898" t="s">
        <v>66</v>
      </c>
      <c r="G20" s="1901">
        <v>2006</v>
      </c>
      <c r="H20" s="1921">
        <v>2012</v>
      </c>
      <c r="I20" s="1902">
        <v>5900</v>
      </c>
      <c r="J20" s="1902">
        <v>1000</v>
      </c>
      <c r="K20" s="1902">
        <v>1500</v>
      </c>
      <c r="L20" s="1913">
        <v>1000</v>
      </c>
      <c r="M20" s="1914"/>
      <c r="N20" s="1913">
        <v>0</v>
      </c>
      <c r="O20" s="1915"/>
      <c r="P20" s="1916"/>
      <c r="Q20" s="1916"/>
      <c r="R20" s="1916"/>
      <c r="S20" s="1916"/>
    </row>
    <row r="21" spans="1:19" s="1917" customFormat="1" ht="18" customHeight="1">
      <c r="A21" s="1896">
        <v>11</v>
      </c>
      <c r="B21" s="1897">
        <v>600</v>
      </c>
      <c r="C21" s="1898">
        <v>60016</v>
      </c>
      <c r="D21" s="1899">
        <v>6050</v>
      </c>
      <c r="E21" s="1900" t="s">
        <v>79</v>
      </c>
      <c r="F21" s="1898" t="s">
        <v>66</v>
      </c>
      <c r="G21" s="1901">
        <v>2006</v>
      </c>
      <c r="H21" s="1921">
        <v>2009</v>
      </c>
      <c r="I21" s="1902">
        <f>1301.8+100</f>
        <v>1401.8</v>
      </c>
      <c r="J21" s="1902">
        <f>1200+100</f>
        <v>1300</v>
      </c>
      <c r="K21" s="1902">
        <v>0</v>
      </c>
      <c r="L21" s="1913">
        <v>0</v>
      </c>
      <c r="M21" s="1914"/>
      <c r="N21" s="1913">
        <v>0</v>
      </c>
      <c r="O21" s="1915"/>
      <c r="P21" s="1916"/>
      <c r="Q21" s="1916"/>
      <c r="R21" s="1916"/>
      <c r="S21" s="1916"/>
    </row>
    <row r="22" spans="1:19" s="1917" customFormat="1" ht="38.25">
      <c r="A22" s="1896">
        <v>12</v>
      </c>
      <c r="B22" s="1897">
        <v>600</v>
      </c>
      <c r="C22" s="1898">
        <v>60016</v>
      </c>
      <c r="D22" s="1899">
        <v>6050</v>
      </c>
      <c r="E22" s="1900" t="s">
        <v>771</v>
      </c>
      <c r="F22" s="1898" t="s">
        <v>66</v>
      </c>
      <c r="G22" s="1901">
        <v>2007</v>
      </c>
      <c r="H22" s="1921">
        <v>2010</v>
      </c>
      <c r="I22" s="1902">
        <v>4723.6</v>
      </c>
      <c r="J22" s="1902">
        <v>3500</v>
      </c>
      <c r="K22" s="1902">
        <v>1200</v>
      </c>
      <c r="L22" s="1913">
        <v>0</v>
      </c>
      <c r="M22" s="1914"/>
      <c r="N22" s="1913">
        <v>0</v>
      </c>
      <c r="O22" s="1915"/>
      <c r="P22" s="1916"/>
      <c r="Q22" s="1916"/>
      <c r="R22" s="1916"/>
      <c r="S22" s="1916"/>
    </row>
    <row r="23" spans="1:19" s="1923" customFormat="1" ht="17.25" customHeight="1">
      <c r="A23" s="1896">
        <v>13</v>
      </c>
      <c r="B23" s="1897">
        <v>600</v>
      </c>
      <c r="C23" s="1898">
        <v>60016</v>
      </c>
      <c r="D23" s="1899">
        <v>6050</v>
      </c>
      <c r="E23" s="1900" t="s">
        <v>80</v>
      </c>
      <c r="F23" s="1898" t="s">
        <v>66</v>
      </c>
      <c r="G23" s="1901">
        <v>2008</v>
      </c>
      <c r="H23" s="1901">
        <v>2009</v>
      </c>
      <c r="I23" s="1902">
        <v>250</v>
      </c>
      <c r="J23" s="1903">
        <v>200</v>
      </c>
      <c r="K23" s="1903">
        <v>0</v>
      </c>
      <c r="L23" s="1904">
        <v>0</v>
      </c>
      <c r="M23" s="1905"/>
      <c r="N23" s="1904">
        <v>0</v>
      </c>
      <c r="O23" s="1906"/>
      <c r="P23" s="1922"/>
      <c r="Q23" s="1910"/>
      <c r="R23" s="1910"/>
      <c r="S23" s="1910"/>
    </row>
    <row r="24" spans="1:19" s="1923" customFormat="1" ht="17.25" customHeight="1">
      <c r="A24" s="1896"/>
      <c r="B24" s="1897">
        <v>600</v>
      </c>
      <c r="C24" s="1898">
        <v>60016</v>
      </c>
      <c r="D24" s="1899">
        <v>6050</v>
      </c>
      <c r="E24" s="1900" t="s">
        <v>778</v>
      </c>
      <c r="F24" s="1898" t="s">
        <v>66</v>
      </c>
      <c r="G24" s="1901">
        <v>2009</v>
      </c>
      <c r="H24" s="2387">
        <v>2009</v>
      </c>
      <c r="I24" s="1902">
        <v>3.904</v>
      </c>
      <c r="J24" s="1903">
        <v>3.904</v>
      </c>
      <c r="K24" s="1903">
        <v>0</v>
      </c>
      <c r="L24" s="1904">
        <v>0</v>
      </c>
      <c r="M24" s="1905"/>
      <c r="N24" s="1904"/>
      <c r="O24" s="1906"/>
      <c r="P24" s="1922"/>
      <c r="Q24" s="1910"/>
      <c r="R24" s="1910"/>
      <c r="S24" s="1910"/>
    </row>
    <row r="25" spans="1:19" s="1917" customFormat="1" ht="18" customHeight="1">
      <c r="A25" s="1896">
        <v>14</v>
      </c>
      <c r="B25" s="1897">
        <v>600</v>
      </c>
      <c r="C25" s="1898">
        <v>60016</v>
      </c>
      <c r="D25" s="1899">
        <v>6050</v>
      </c>
      <c r="E25" s="1900" t="s">
        <v>81</v>
      </c>
      <c r="F25" s="1898" t="s">
        <v>66</v>
      </c>
      <c r="G25" s="1901">
        <v>2007</v>
      </c>
      <c r="H25" s="1921">
        <v>2009</v>
      </c>
      <c r="I25" s="1902">
        <v>2200</v>
      </c>
      <c r="J25" s="1902">
        <v>2100</v>
      </c>
      <c r="K25" s="1902">
        <v>0</v>
      </c>
      <c r="L25" s="1913">
        <v>0</v>
      </c>
      <c r="M25" s="1914"/>
      <c r="N25" s="1913">
        <v>0</v>
      </c>
      <c r="O25" s="1915"/>
      <c r="P25" s="1916"/>
      <c r="Q25" s="1916"/>
      <c r="R25" s="1916"/>
      <c r="S25" s="1916"/>
    </row>
    <row r="26" spans="1:19" s="1907" customFormat="1" ht="18" customHeight="1">
      <c r="A26" s="1896">
        <v>15</v>
      </c>
      <c r="B26" s="1908">
        <v>600</v>
      </c>
      <c r="C26" s="1898">
        <v>60016</v>
      </c>
      <c r="D26" s="1898">
        <v>6050</v>
      </c>
      <c r="E26" s="1918" t="s">
        <v>82</v>
      </c>
      <c r="F26" s="1924" t="s">
        <v>83</v>
      </c>
      <c r="G26" s="1901">
        <v>1998</v>
      </c>
      <c r="H26" s="1901" t="s">
        <v>84</v>
      </c>
      <c r="I26" s="1902">
        <v>5003</v>
      </c>
      <c r="J26" s="1902">
        <v>100</v>
      </c>
      <c r="K26" s="1902">
        <v>700</v>
      </c>
      <c r="L26" s="1913">
        <v>750</v>
      </c>
      <c r="M26" s="1914"/>
      <c r="N26" s="1913">
        <v>400</v>
      </c>
      <c r="O26" s="1915"/>
      <c r="P26" s="1843"/>
      <c r="Q26" s="1843"/>
      <c r="R26" s="1843"/>
      <c r="S26" s="1843"/>
    </row>
    <row r="27" spans="1:18" s="1923" customFormat="1" ht="18" customHeight="1">
      <c r="A27" s="1896">
        <v>16</v>
      </c>
      <c r="B27" s="1908">
        <v>600</v>
      </c>
      <c r="C27" s="1898">
        <v>60016</v>
      </c>
      <c r="D27" s="1899">
        <v>6050</v>
      </c>
      <c r="E27" s="1918" t="s">
        <v>85</v>
      </c>
      <c r="F27" s="1924" t="s">
        <v>83</v>
      </c>
      <c r="G27" s="1901">
        <v>2005</v>
      </c>
      <c r="H27" s="1919" t="s">
        <v>84</v>
      </c>
      <c r="I27" s="1902">
        <f>9430+500</f>
        <v>9930</v>
      </c>
      <c r="J27" s="1903">
        <v>600</v>
      </c>
      <c r="K27" s="1903">
        <v>100</v>
      </c>
      <c r="L27" s="1904">
        <v>500</v>
      </c>
      <c r="M27" s="1905"/>
      <c r="N27" s="1904">
        <v>500</v>
      </c>
      <c r="O27" s="1906"/>
      <c r="P27" s="1910"/>
      <c r="Q27" s="1910"/>
      <c r="R27" s="1910"/>
    </row>
    <row r="28" spans="1:19" s="1907" customFormat="1" ht="18" customHeight="1">
      <c r="A28" s="1896">
        <v>17</v>
      </c>
      <c r="B28" s="1897">
        <v>600</v>
      </c>
      <c r="C28" s="1898">
        <v>60016</v>
      </c>
      <c r="D28" s="1899">
        <v>6050</v>
      </c>
      <c r="E28" s="1900" t="s">
        <v>86</v>
      </c>
      <c r="F28" s="1898" t="s">
        <v>83</v>
      </c>
      <c r="G28" s="1901">
        <v>2008</v>
      </c>
      <c r="H28" s="1901">
        <v>2011</v>
      </c>
      <c r="I28" s="1902">
        <v>900</v>
      </c>
      <c r="J28" s="1903">
        <v>200</v>
      </c>
      <c r="K28" s="1903">
        <v>200</v>
      </c>
      <c r="L28" s="1904">
        <v>500</v>
      </c>
      <c r="M28" s="1905"/>
      <c r="N28" s="1904">
        <v>0</v>
      </c>
      <c r="O28" s="1906"/>
      <c r="P28" s="1845"/>
      <c r="Q28" s="1843"/>
      <c r="R28" s="1843"/>
      <c r="S28" s="1843"/>
    </row>
    <row r="29" spans="1:18" s="1907" customFormat="1" ht="18.75" customHeight="1">
      <c r="A29" s="1896">
        <v>18</v>
      </c>
      <c r="B29" s="1897">
        <v>600</v>
      </c>
      <c r="C29" s="1898">
        <v>60016</v>
      </c>
      <c r="D29" s="1899">
        <v>6050</v>
      </c>
      <c r="E29" s="1918" t="s">
        <v>87</v>
      </c>
      <c r="F29" s="1898" t="s">
        <v>66</v>
      </c>
      <c r="G29" s="1919" t="s">
        <v>76</v>
      </c>
      <c r="H29" s="1919" t="s">
        <v>76</v>
      </c>
      <c r="I29" s="1919" t="s">
        <v>76</v>
      </c>
      <c r="J29" s="1903">
        <v>250</v>
      </c>
      <c r="K29" s="1903">
        <v>200</v>
      </c>
      <c r="L29" s="1904">
        <v>200</v>
      </c>
      <c r="M29" s="1905"/>
      <c r="N29" s="1904"/>
      <c r="O29" s="1906"/>
      <c r="P29" s="1843"/>
      <c r="Q29" s="1843"/>
      <c r="R29" s="1843"/>
    </row>
    <row r="30" spans="1:19" s="1907" customFormat="1" ht="18" customHeight="1">
      <c r="A30" s="1896">
        <v>19</v>
      </c>
      <c r="B30" s="1897">
        <v>600</v>
      </c>
      <c r="C30" s="1898">
        <v>60016</v>
      </c>
      <c r="D30" s="1899">
        <v>6050</v>
      </c>
      <c r="E30" s="1900" t="s">
        <v>65</v>
      </c>
      <c r="F30" s="1898" t="s">
        <v>66</v>
      </c>
      <c r="G30" s="1901">
        <v>2006</v>
      </c>
      <c r="H30" s="1901">
        <v>2012</v>
      </c>
      <c r="I30" s="1902">
        <v>350</v>
      </c>
      <c r="J30" s="1903">
        <v>50</v>
      </c>
      <c r="K30" s="1903">
        <v>100</v>
      </c>
      <c r="L30" s="1904">
        <v>100</v>
      </c>
      <c r="M30" s="1905"/>
      <c r="N30" s="1904">
        <v>0</v>
      </c>
      <c r="O30" s="1906"/>
      <c r="P30" s="1845"/>
      <c r="Q30" s="1843"/>
      <c r="R30" s="1843"/>
      <c r="S30" s="1843"/>
    </row>
    <row r="31" spans="1:19" s="1907" customFormat="1" ht="18" customHeight="1">
      <c r="A31" s="1896">
        <v>20</v>
      </c>
      <c r="B31" s="1897">
        <v>600</v>
      </c>
      <c r="C31" s="1898">
        <v>60017</v>
      </c>
      <c r="D31" s="1899">
        <v>6050</v>
      </c>
      <c r="E31" s="1925" t="s">
        <v>88</v>
      </c>
      <c r="F31" s="1898" t="s">
        <v>66</v>
      </c>
      <c r="G31" s="1901">
        <v>2008</v>
      </c>
      <c r="H31" s="1901">
        <v>2009</v>
      </c>
      <c r="I31" s="1902">
        <v>1020</v>
      </c>
      <c r="J31" s="1903">
        <v>820</v>
      </c>
      <c r="K31" s="1903">
        <v>0</v>
      </c>
      <c r="L31" s="1904">
        <v>0</v>
      </c>
      <c r="M31" s="1905"/>
      <c r="N31" s="1904">
        <v>0</v>
      </c>
      <c r="O31" s="1906"/>
      <c r="P31" s="1845"/>
      <c r="Q31" s="1843"/>
      <c r="R31" s="1843"/>
      <c r="S31" s="1843"/>
    </row>
    <row r="32" spans="1:19" s="1907" customFormat="1" ht="18" customHeight="1">
      <c r="A32" s="1896">
        <v>21</v>
      </c>
      <c r="B32" s="1897">
        <v>600</v>
      </c>
      <c r="C32" s="1898">
        <v>60017</v>
      </c>
      <c r="D32" s="1899">
        <v>6050</v>
      </c>
      <c r="E32" s="1900" t="s">
        <v>89</v>
      </c>
      <c r="F32" s="1898" t="s">
        <v>66</v>
      </c>
      <c r="G32" s="1901">
        <v>2008</v>
      </c>
      <c r="H32" s="1901">
        <v>2009</v>
      </c>
      <c r="I32" s="1902">
        <v>340</v>
      </c>
      <c r="J32" s="1903">
        <v>140</v>
      </c>
      <c r="K32" s="1903">
        <v>0</v>
      </c>
      <c r="L32" s="1904">
        <v>0</v>
      </c>
      <c r="M32" s="1905"/>
      <c r="N32" s="1904">
        <v>0</v>
      </c>
      <c r="O32" s="1906"/>
      <c r="P32" s="1845"/>
      <c r="Q32" s="1843"/>
      <c r="R32" s="1843"/>
      <c r="S32" s="1843"/>
    </row>
    <row r="33" spans="1:19" s="1907" customFormat="1" ht="16.5" customHeight="1">
      <c r="A33" s="1896">
        <v>22</v>
      </c>
      <c r="B33" s="1897">
        <v>600</v>
      </c>
      <c r="C33" s="1898">
        <v>60017</v>
      </c>
      <c r="D33" s="1899">
        <v>6050</v>
      </c>
      <c r="E33" s="1900" t="s">
        <v>90</v>
      </c>
      <c r="F33" s="1898" t="s">
        <v>83</v>
      </c>
      <c r="G33" s="1901">
        <v>2008</v>
      </c>
      <c r="H33" s="1901" t="s">
        <v>84</v>
      </c>
      <c r="I33" s="1902">
        <v>6500</v>
      </c>
      <c r="J33" s="1903">
        <v>200</v>
      </c>
      <c r="K33" s="1903">
        <v>200</v>
      </c>
      <c r="L33" s="1904">
        <v>1800</v>
      </c>
      <c r="M33" s="1905"/>
      <c r="N33" s="1904">
        <v>0</v>
      </c>
      <c r="O33" s="1906"/>
      <c r="P33" s="1845"/>
      <c r="Q33" s="1843"/>
      <c r="R33" s="1843"/>
      <c r="S33" s="1843"/>
    </row>
    <row r="34" spans="1:18" s="1907" customFormat="1" ht="18" customHeight="1">
      <c r="A34" s="1896">
        <v>23</v>
      </c>
      <c r="B34" s="1908">
        <v>600</v>
      </c>
      <c r="C34" s="1898">
        <v>60053</v>
      </c>
      <c r="D34" s="1899">
        <v>6050</v>
      </c>
      <c r="E34" s="1900" t="s">
        <v>91</v>
      </c>
      <c r="F34" s="1898" t="s">
        <v>92</v>
      </c>
      <c r="G34" s="1901">
        <v>2006</v>
      </c>
      <c r="H34" s="1901">
        <v>2011</v>
      </c>
      <c r="I34" s="1902">
        <v>2900</v>
      </c>
      <c r="J34" s="1903">
        <v>1000</v>
      </c>
      <c r="K34" s="1903">
        <v>700</v>
      </c>
      <c r="L34" s="1904">
        <v>1200</v>
      </c>
      <c r="M34" s="1905"/>
      <c r="N34" s="1904">
        <v>0</v>
      </c>
      <c r="O34" s="1906"/>
      <c r="P34" s="1843"/>
      <c r="Q34" s="1843"/>
      <c r="R34" s="1843"/>
    </row>
    <row r="35" spans="1:18" s="1907" customFormat="1" ht="18" customHeight="1">
      <c r="A35" s="1896">
        <v>24</v>
      </c>
      <c r="B35" s="1908">
        <v>700</v>
      </c>
      <c r="C35" s="1898">
        <v>70095</v>
      </c>
      <c r="D35" s="1898">
        <v>6050</v>
      </c>
      <c r="E35" s="1926" t="s">
        <v>93</v>
      </c>
      <c r="F35" s="1898" t="s">
        <v>83</v>
      </c>
      <c r="G35" s="1901">
        <v>1996</v>
      </c>
      <c r="H35" s="1919" t="s">
        <v>84</v>
      </c>
      <c r="I35" s="1902">
        <v>45000</v>
      </c>
      <c r="J35" s="1903">
        <v>4600</v>
      </c>
      <c r="K35" s="1903">
        <v>4500</v>
      </c>
      <c r="L35" s="1904">
        <v>5200</v>
      </c>
      <c r="M35" s="1905"/>
      <c r="N35" s="1904">
        <v>0</v>
      </c>
      <c r="O35" s="1906"/>
      <c r="P35" s="1843"/>
      <c r="Q35" s="1843"/>
      <c r="R35" s="1843"/>
    </row>
    <row r="36" spans="1:18" s="1907" customFormat="1" ht="19.5" customHeight="1">
      <c r="A36" s="1896">
        <v>25</v>
      </c>
      <c r="B36" s="1908">
        <v>710</v>
      </c>
      <c r="C36" s="1898">
        <v>71035</v>
      </c>
      <c r="D36" s="1898">
        <v>6050</v>
      </c>
      <c r="E36" s="1918" t="s">
        <v>94</v>
      </c>
      <c r="F36" s="1924" t="s">
        <v>83</v>
      </c>
      <c r="G36" s="1919">
        <v>2000</v>
      </c>
      <c r="H36" s="1919" t="s">
        <v>84</v>
      </c>
      <c r="I36" s="1927">
        <v>7300</v>
      </c>
      <c r="J36" s="1928">
        <v>500</v>
      </c>
      <c r="K36" s="1928">
        <v>800</v>
      </c>
      <c r="L36" s="1929">
        <v>800</v>
      </c>
      <c r="M36" s="1930"/>
      <c r="N36" s="1904">
        <v>800</v>
      </c>
      <c r="O36" s="1906"/>
      <c r="P36" s="1843"/>
      <c r="Q36" s="1843"/>
      <c r="R36" s="1843"/>
    </row>
    <row r="37" spans="1:18" s="1907" customFormat="1" ht="19.5" customHeight="1">
      <c r="A37" s="1896">
        <v>26</v>
      </c>
      <c r="B37" s="1908">
        <v>750</v>
      </c>
      <c r="C37" s="1898">
        <v>75023</v>
      </c>
      <c r="D37" s="1898">
        <v>6050</v>
      </c>
      <c r="E37" s="1918" t="s">
        <v>432</v>
      </c>
      <c r="F37" s="1924" t="s">
        <v>95</v>
      </c>
      <c r="G37" s="1919">
        <v>2009</v>
      </c>
      <c r="H37" s="1919">
        <v>2009</v>
      </c>
      <c r="I37" s="1927">
        <v>835</v>
      </c>
      <c r="J37" s="1928">
        <v>835</v>
      </c>
      <c r="K37" s="1928">
        <v>0</v>
      </c>
      <c r="L37" s="1929">
        <v>0</v>
      </c>
      <c r="M37" s="1931"/>
      <c r="N37" s="1932"/>
      <c r="O37" s="1906"/>
      <c r="P37" s="1843"/>
      <c r="Q37" s="1843"/>
      <c r="R37" s="1843"/>
    </row>
    <row r="38" spans="1:18" s="1907" customFormat="1" ht="19.5" customHeight="1">
      <c r="A38" s="1896">
        <v>27</v>
      </c>
      <c r="B38" s="1908">
        <v>750</v>
      </c>
      <c r="C38" s="1898">
        <v>75411</v>
      </c>
      <c r="D38" s="1898">
        <v>6050</v>
      </c>
      <c r="E38" s="1933" t="s">
        <v>96</v>
      </c>
      <c r="F38" s="1934" t="s">
        <v>97</v>
      </c>
      <c r="G38" s="1935">
        <v>2007</v>
      </c>
      <c r="H38" s="1935">
        <v>2009</v>
      </c>
      <c r="I38" s="1936">
        <f>1142.2+50</f>
        <v>1192.2</v>
      </c>
      <c r="J38" s="1937">
        <v>50</v>
      </c>
      <c r="K38" s="1937">
        <v>0</v>
      </c>
      <c r="L38" s="1938">
        <v>0</v>
      </c>
      <c r="M38" s="1931"/>
      <c r="N38" s="1932"/>
      <c r="O38" s="1906"/>
      <c r="P38" s="1843"/>
      <c r="Q38" s="1843"/>
      <c r="R38" s="1843"/>
    </row>
    <row r="39" spans="1:18" s="1907" customFormat="1" ht="19.5" customHeight="1">
      <c r="A39" s="1896"/>
      <c r="B39" s="1908">
        <v>758</v>
      </c>
      <c r="C39" s="1898">
        <v>75818</v>
      </c>
      <c r="D39" s="1898">
        <v>6800</v>
      </c>
      <c r="E39" s="1933" t="s">
        <v>98</v>
      </c>
      <c r="F39" s="1934" t="s">
        <v>83</v>
      </c>
      <c r="G39" s="1935">
        <v>2009</v>
      </c>
      <c r="H39" s="1935">
        <v>2009</v>
      </c>
      <c r="I39" s="1936">
        <f>J39</f>
        <v>146.096</v>
      </c>
      <c r="J39" s="1937">
        <v>146.096</v>
      </c>
      <c r="K39" s="1937">
        <v>0</v>
      </c>
      <c r="L39" s="1938">
        <v>0</v>
      </c>
      <c r="M39" s="1931"/>
      <c r="N39" s="1932"/>
      <c r="O39" s="1906"/>
      <c r="P39" s="1843"/>
      <c r="Q39" s="1843"/>
      <c r="R39" s="1843"/>
    </row>
    <row r="40" spans="1:19" s="1907" customFormat="1" ht="28.5" customHeight="1">
      <c r="A40" s="1896">
        <v>28</v>
      </c>
      <c r="B40" s="1897">
        <v>900</v>
      </c>
      <c r="C40" s="1898">
        <v>90015</v>
      </c>
      <c r="D40" s="1898">
        <v>6050</v>
      </c>
      <c r="E40" s="1900" t="s">
        <v>99</v>
      </c>
      <c r="F40" s="1898" t="s">
        <v>66</v>
      </c>
      <c r="G40" s="1919" t="s">
        <v>76</v>
      </c>
      <c r="H40" s="1919" t="s">
        <v>76</v>
      </c>
      <c r="I40" s="1919" t="s">
        <v>76</v>
      </c>
      <c r="J40" s="1903">
        <v>140</v>
      </c>
      <c r="K40" s="1903">
        <v>200</v>
      </c>
      <c r="L40" s="1904">
        <v>200</v>
      </c>
      <c r="M40" s="1905"/>
      <c r="N40" s="1904">
        <v>100</v>
      </c>
      <c r="O40" s="1906"/>
      <c r="P40" s="1845"/>
      <c r="Q40" s="1843"/>
      <c r="R40" s="1843"/>
      <c r="S40" s="1843"/>
    </row>
    <row r="41" spans="1:19" s="1907" customFormat="1" ht="22.5" customHeight="1">
      <c r="A41" s="1896">
        <v>29</v>
      </c>
      <c r="B41" s="1897">
        <v>900</v>
      </c>
      <c r="C41" s="1898">
        <v>90015</v>
      </c>
      <c r="D41" s="1898">
        <v>6050</v>
      </c>
      <c r="E41" s="1900" t="s">
        <v>100</v>
      </c>
      <c r="F41" s="1898" t="s">
        <v>66</v>
      </c>
      <c r="G41" s="1919" t="s">
        <v>76</v>
      </c>
      <c r="H41" s="1919" t="s">
        <v>76</v>
      </c>
      <c r="I41" s="1919" t="s">
        <v>76</v>
      </c>
      <c r="J41" s="1903">
        <v>140</v>
      </c>
      <c r="K41" s="1903">
        <v>140</v>
      </c>
      <c r="L41" s="1904">
        <v>140</v>
      </c>
      <c r="M41" s="1905"/>
      <c r="N41" s="1904">
        <v>100</v>
      </c>
      <c r="O41" s="1906"/>
      <c r="P41" s="1845"/>
      <c r="Q41" s="1843"/>
      <c r="R41" s="1843"/>
      <c r="S41" s="1843"/>
    </row>
    <row r="42" spans="1:18" s="1907" customFormat="1" ht="18" customHeight="1">
      <c r="A42" s="1896">
        <v>30</v>
      </c>
      <c r="B42" s="1897">
        <v>900</v>
      </c>
      <c r="C42" s="1898">
        <v>90095</v>
      </c>
      <c r="D42" s="1898">
        <v>6050</v>
      </c>
      <c r="E42" s="1918" t="s">
        <v>101</v>
      </c>
      <c r="F42" s="1924" t="s">
        <v>83</v>
      </c>
      <c r="G42" s="1919">
        <v>2008</v>
      </c>
      <c r="H42" s="1919" t="s">
        <v>84</v>
      </c>
      <c r="I42" s="1927">
        <v>600</v>
      </c>
      <c r="J42" s="1928">
        <v>200</v>
      </c>
      <c r="K42" s="1928">
        <v>200</v>
      </c>
      <c r="L42" s="1929">
        <v>200</v>
      </c>
      <c r="M42" s="1930"/>
      <c r="N42" s="1939">
        <v>100</v>
      </c>
      <c r="O42" s="1940"/>
      <c r="P42" s="1843"/>
      <c r="Q42" s="1843"/>
      <c r="R42" s="1843"/>
    </row>
    <row r="43" spans="1:18" s="1907" customFormat="1" ht="18" customHeight="1">
      <c r="A43" s="1896">
        <v>31</v>
      </c>
      <c r="B43" s="1897">
        <v>900</v>
      </c>
      <c r="C43" s="1898">
        <v>90095</v>
      </c>
      <c r="D43" s="1898">
        <v>6050</v>
      </c>
      <c r="E43" s="1918" t="s">
        <v>102</v>
      </c>
      <c r="F43" s="1924" t="s">
        <v>83</v>
      </c>
      <c r="G43" s="1919">
        <v>2005</v>
      </c>
      <c r="H43" s="1919">
        <v>2009</v>
      </c>
      <c r="I43" s="1927">
        <v>2000</v>
      </c>
      <c r="J43" s="1928">
        <v>1320</v>
      </c>
      <c r="K43" s="1928">
        <v>0</v>
      </c>
      <c r="L43" s="1929">
        <v>0</v>
      </c>
      <c r="M43" s="1930"/>
      <c r="N43" s="1939"/>
      <c r="O43" s="1940"/>
      <c r="P43" s="1843"/>
      <c r="Q43" s="1843"/>
      <c r="R43" s="1843"/>
    </row>
    <row r="44" spans="1:18" s="1942" customFormat="1" ht="18.75" customHeight="1">
      <c r="A44" s="1896">
        <v>32</v>
      </c>
      <c r="B44" s="1908">
        <v>900</v>
      </c>
      <c r="C44" s="1898">
        <v>90095</v>
      </c>
      <c r="D44" s="1898">
        <v>6050</v>
      </c>
      <c r="E44" s="1941" t="s">
        <v>103</v>
      </c>
      <c r="F44" s="1924" t="s">
        <v>83</v>
      </c>
      <c r="G44" s="1919">
        <v>1995</v>
      </c>
      <c r="H44" s="1919" t="s">
        <v>84</v>
      </c>
      <c r="I44" s="1927">
        <v>2940</v>
      </c>
      <c r="J44" s="1928">
        <v>100</v>
      </c>
      <c r="K44" s="1928">
        <v>100</v>
      </c>
      <c r="L44" s="1929">
        <v>100</v>
      </c>
      <c r="M44" s="1930"/>
      <c r="N44" s="1904">
        <v>200</v>
      </c>
      <c r="O44" s="1906"/>
      <c r="P44" s="1845"/>
      <c r="Q44" s="1845"/>
      <c r="R44" s="1845"/>
    </row>
    <row r="45" spans="1:18" s="1942" customFormat="1" ht="17.25" customHeight="1">
      <c r="A45" s="1896">
        <v>33</v>
      </c>
      <c r="B45" s="1908">
        <v>900</v>
      </c>
      <c r="C45" s="1898">
        <v>90095</v>
      </c>
      <c r="D45" s="1898">
        <v>6050</v>
      </c>
      <c r="E45" s="1918" t="s">
        <v>104</v>
      </c>
      <c r="F45" s="1924" t="s">
        <v>83</v>
      </c>
      <c r="G45" s="1919" t="s">
        <v>76</v>
      </c>
      <c r="H45" s="1919" t="s">
        <v>76</v>
      </c>
      <c r="I45" s="1919" t="s">
        <v>76</v>
      </c>
      <c r="J45" s="1928">
        <v>300</v>
      </c>
      <c r="K45" s="1928">
        <v>300</v>
      </c>
      <c r="L45" s="1929">
        <v>300</v>
      </c>
      <c r="M45" s="1930"/>
      <c r="N45" s="1904">
        <v>200</v>
      </c>
      <c r="O45" s="1906"/>
      <c r="P45" s="1848"/>
      <c r="Q45" s="1845"/>
      <c r="R45" s="1845"/>
    </row>
    <row r="46" spans="1:18" s="1942" customFormat="1" ht="18" customHeight="1">
      <c r="A46" s="1896">
        <v>34</v>
      </c>
      <c r="B46" s="1908">
        <v>900</v>
      </c>
      <c r="C46" s="1898">
        <v>90095</v>
      </c>
      <c r="D46" s="1898">
        <v>6050</v>
      </c>
      <c r="E46" s="1918" t="s">
        <v>105</v>
      </c>
      <c r="F46" s="1924" t="s">
        <v>83</v>
      </c>
      <c r="G46" s="1919" t="s">
        <v>76</v>
      </c>
      <c r="H46" s="1919" t="s">
        <v>76</v>
      </c>
      <c r="I46" s="1919" t="s">
        <v>76</v>
      </c>
      <c r="J46" s="1928">
        <v>200</v>
      </c>
      <c r="K46" s="1928">
        <v>400</v>
      </c>
      <c r="L46" s="1929">
        <v>200</v>
      </c>
      <c r="M46" s="1930"/>
      <c r="N46" s="1904">
        <v>200</v>
      </c>
      <c r="O46" s="1906"/>
      <c r="P46" s="1906"/>
      <c r="Q46" s="1906"/>
      <c r="R46" s="1845"/>
    </row>
    <row r="47" spans="1:18" s="1907" customFormat="1" ht="17.25" customHeight="1">
      <c r="A47" s="1896">
        <v>35</v>
      </c>
      <c r="B47" s="1943">
        <v>921</v>
      </c>
      <c r="C47" s="1944">
        <v>92106</v>
      </c>
      <c r="D47" s="1945">
        <v>6050</v>
      </c>
      <c r="E47" s="1946" t="s">
        <v>106</v>
      </c>
      <c r="F47" s="1944" t="s">
        <v>107</v>
      </c>
      <c r="G47" s="1947">
        <v>2004</v>
      </c>
      <c r="H47" s="1948">
        <v>2010</v>
      </c>
      <c r="I47" s="1949">
        <f>10502-500</f>
        <v>10002</v>
      </c>
      <c r="J47" s="1950">
        <f>1000-500</f>
        <v>500</v>
      </c>
      <c r="K47" s="1950">
        <v>500</v>
      </c>
      <c r="L47" s="1951">
        <v>0</v>
      </c>
      <c r="M47" s="1952"/>
      <c r="N47" s="1932"/>
      <c r="O47" s="1906"/>
      <c r="P47" s="1953"/>
      <c r="Q47" s="1843"/>
      <c r="R47" s="1843"/>
    </row>
    <row r="48" spans="1:18" s="1907" customFormat="1" ht="18" customHeight="1">
      <c r="A48" s="1896">
        <v>36</v>
      </c>
      <c r="B48" s="1908">
        <v>926</v>
      </c>
      <c r="C48" s="1898">
        <v>92601</v>
      </c>
      <c r="D48" s="1898">
        <v>6050</v>
      </c>
      <c r="E48" s="1918" t="s">
        <v>108</v>
      </c>
      <c r="F48" s="1924" t="s">
        <v>107</v>
      </c>
      <c r="G48" s="1919">
        <v>2005</v>
      </c>
      <c r="H48" s="1919">
        <v>2009</v>
      </c>
      <c r="I48" s="1927">
        <v>13373.8</v>
      </c>
      <c r="J48" s="1928">
        <v>300</v>
      </c>
      <c r="K48" s="1928">
        <v>0</v>
      </c>
      <c r="L48" s="1929">
        <v>0</v>
      </c>
      <c r="M48" s="1930"/>
      <c r="N48" s="1904">
        <v>0</v>
      </c>
      <c r="O48" s="1906"/>
      <c r="P48" s="1843"/>
      <c r="Q48" s="1843"/>
      <c r="R48" s="1843"/>
    </row>
    <row r="49" spans="1:19" s="1942" customFormat="1" ht="22.5" customHeight="1" hidden="1">
      <c r="A49" s="1896"/>
      <c r="B49" s="1908"/>
      <c r="C49" s="1898"/>
      <c r="D49" s="1898"/>
      <c r="E49" s="1918"/>
      <c r="F49" s="1924"/>
      <c r="G49" s="1919"/>
      <c r="H49" s="1919"/>
      <c r="I49" s="1927"/>
      <c r="J49" s="1928"/>
      <c r="K49" s="1928"/>
      <c r="L49" s="1929"/>
      <c r="M49" s="1930"/>
      <c r="N49" s="1904"/>
      <c r="O49" s="1906"/>
      <c r="P49" s="1845"/>
      <c r="Q49" s="1845"/>
      <c r="R49" s="1845"/>
      <c r="S49" s="1845"/>
    </row>
    <row r="50" spans="1:19" s="1942" customFormat="1" ht="22.5" customHeight="1" hidden="1">
      <c r="A50" s="1896"/>
      <c r="B50" s="1908"/>
      <c r="C50" s="1898"/>
      <c r="D50" s="1898"/>
      <c r="E50" s="1918"/>
      <c r="F50" s="1924"/>
      <c r="G50" s="1919"/>
      <c r="H50" s="1919"/>
      <c r="I50" s="1927"/>
      <c r="J50" s="1928"/>
      <c r="K50" s="1928"/>
      <c r="L50" s="1929"/>
      <c r="M50" s="1930"/>
      <c r="N50" s="1904"/>
      <c r="O50" s="1906"/>
      <c r="P50" s="1848"/>
      <c r="Q50" s="1845"/>
      <c r="R50" s="1845"/>
      <c r="S50" s="1845"/>
    </row>
    <row r="51" spans="1:19" s="1942" customFormat="1" ht="22.5" customHeight="1" hidden="1">
      <c r="A51" s="1896"/>
      <c r="B51" s="1908"/>
      <c r="C51" s="1898"/>
      <c r="D51" s="1899"/>
      <c r="E51" s="1941"/>
      <c r="F51" s="1924"/>
      <c r="G51" s="1919"/>
      <c r="H51" s="1919"/>
      <c r="I51" s="1927"/>
      <c r="J51" s="1928"/>
      <c r="K51" s="1928"/>
      <c r="L51" s="1929"/>
      <c r="M51" s="1930"/>
      <c r="N51" s="1904"/>
      <c r="O51" s="1906"/>
      <c r="P51" s="1845"/>
      <c r="Q51" s="1845"/>
      <c r="R51" s="1845"/>
      <c r="S51" s="1845"/>
    </row>
    <row r="52" spans="1:19" s="1942" customFormat="1" ht="27" customHeight="1" hidden="1">
      <c r="A52" s="1896"/>
      <c r="B52" s="1908"/>
      <c r="C52" s="1898"/>
      <c r="D52" s="1899"/>
      <c r="E52" s="1941"/>
      <c r="F52" s="1924"/>
      <c r="G52" s="1919"/>
      <c r="H52" s="1919"/>
      <c r="I52" s="1927"/>
      <c r="J52" s="1928"/>
      <c r="K52" s="1928"/>
      <c r="L52" s="1929"/>
      <c r="M52" s="1930"/>
      <c r="N52" s="1904"/>
      <c r="O52" s="1906"/>
      <c r="P52" s="1845"/>
      <c r="Q52" s="1845"/>
      <c r="R52" s="1845"/>
      <c r="S52" s="1845"/>
    </row>
    <row r="53" spans="1:19" ht="12.75" hidden="1">
      <c r="A53" s="1954"/>
      <c r="J53" s="1955"/>
      <c r="K53" s="1955"/>
      <c r="L53" s="1956"/>
      <c r="M53" s="1957"/>
      <c r="N53" s="1932"/>
      <c r="O53" s="1906"/>
      <c r="S53" s="1845"/>
    </row>
    <row r="54" spans="1:19" s="1907" customFormat="1" ht="12.75" hidden="1">
      <c r="A54" s="1896"/>
      <c r="B54" s="1908"/>
      <c r="C54" s="1898"/>
      <c r="D54" s="1958"/>
      <c r="E54" s="1900"/>
      <c r="F54" s="1898"/>
      <c r="G54" s="1901"/>
      <c r="H54" s="1919"/>
      <c r="I54" s="1902"/>
      <c r="J54" s="1903"/>
      <c r="K54" s="1903"/>
      <c r="L54" s="1904"/>
      <c r="M54" s="1905"/>
      <c r="N54" s="1904"/>
      <c r="O54" s="1906"/>
      <c r="P54" s="1843"/>
      <c r="Q54" s="1843"/>
      <c r="R54" s="1843"/>
      <c r="S54" s="1843"/>
    </row>
    <row r="55" spans="1:19" s="1907" customFormat="1" ht="19.5" customHeight="1" hidden="1">
      <c r="A55" s="1896"/>
      <c r="B55" s="1908"/>
      <c r="C55" s="1898"/>
      <c r="D55" s="1958"/>
      <c r="E55" s="1900"/>
      <c r="F55" s="1898"/>
      <c r="G55" s="1901"/>
      <c r="H55" s="1919"/>
      <c r="I55" s="1902"/>
      <c r="J55" s="1903"/>
      <c r="K55" s="1903"/>
      <c r="L55" s="1904"/>
      <c r="M55" s="1905"/>
      <c r="N55" s="1904"/>
      <c r="O55" s="1906"/>
      <c r="P55" s="1843"/>
      <c r="Q55" s="1843"/>
      <c r="R55" s="1843"/>
      <c r="S55" s="1843"/>
    </row>
    <row r="56" spans="1:19" s="1907" customFormat="1" ht="26.25" customHeight="1" hidden="1">
      <c r="A56" s="1896"/>
      <c r="B56" s="1908"/>
      <c r="C56" s="1898"/>
      <c r="D56" s="1898"/>
      <c r="E56" s="1941"/>
      <c r="F56" s="1924"/>
      <c r="G56" s="1919"/>
      <c r="H56" s="1919"/>
      <c r="I56" s="1927"/>
      <c r="J56" s="1928"/>
      <c r="K56" s="1928"/>
      <c r="L56" s="1929"/>
      <c r="M56" s="1930"/>
      <c r="N56" s="1904"/>
      <c r="O56" s="1906"/>
      <c r="P56" s="1953"/>
      <c r="Q56" s="1843"/>
      <c r="R56" s="1843"/>
      <c r="S56" s="1843"/>
    </row>
    <row r="57" spans="1:19" s="1907" customFormat="1" ht="23.25" customHeight="1" hidden="1">
      <c r="A57" s="1896"/>
      <c r="B57" s="1908"/>
      <c r="C57" s="1898"/>
      <c r="D57" s="1898"/>
      <c r="E57" s="1918"/>
      <c r="F57" s="1924"/>
      <c r="G57" s="1919"/>
      <c r="H57" s="1919"/>
      <c r="I57" s="1927"/>
      <c r="J57" s="1928"/>
      <c r="K57" s="1928"/>
      <c r="L57" s="1929"/>
      <c r="M57" s="1930"/>
      <c r="N57" s="1904"/>
      <c r="O57" s="1906"/>
      <c r="P57" s="1953"/>
      <c r="Q57" s="1843"/>
      <c r="R57" s="1843"/>
      <c r="S57" s="1843"/>
    </row>
    <row r="58" spans="1:19" s="1907" customFormat="1" ht="41.25" customHeight="1" hidden="1">
      <c r="A58" s="2451"/>
      <c r="B58" s="2454"/>
      <c r="C58" s="2457"/>
      <c r="D58" s="1899"/>
      <c r="E58" s="2458"/>
      <c r="F58" s="2441"/>
      <c r="G58" s="2444"/>
      <c r="H58" s="2445"/>
      <c r="I58" s="2448"/>
      <c r="J58" s="1928"/>
      <c r="K58" s="2461"/>
      <c r="L58" s="1959"/>
      <c r="M58" s="1960"/>
      <c r="N58" s="2464"/>
      <c r="O58" s="1906"/>
      <c r="P58" s="1953"/>
      <c r="Q58" s="1843"/>
      <c r="R58" s="1843"/>
      <c r="S58" s="1843"/>
    </row>
    <row r="59" spans="1:19" s="1907" customFormat="1" ht="25.5" customHeight="1" hidden="1">
      <c r="A59" s="2452"/>
      <c r="B59" s="2455"/>
      <c r="C59" s="2442"/>
      <c r="D59" s="1899"/>
      <c r="E59" s="2459"/>
      <c r="F59" s="2442"/>
      <c r="G59" s="2442"/>
      <c r="H59" s="2446"/>
      <c r="I59" s="2449"/>
      <c r="J59" s="1928"/>
      <c r="K59" s="2462"/>
      <c r="L59" s="1962"/>
      <c r="M59" s="1931"/>
      <c r="N59" s="2465"/>
      <c r="O59" s="1906"/>
      <c r="P59" s="1843"/>
      <c r="Q59" s="1843"/>
      <c r="R59" s="1843"/>
      <c r="S59" s="1843"/>
    </row>
    <row r="60" spans="1:19" s="1907" customFormat="1" ht="25.5" customHeight="1" hidden="1">
      <c r="A60" s="2453"/>
      <c r="B60" s="2456"/>
      <c r="C60" s="2443"/>
      <c r="D60" s="1899"/>
      <c r="E60" s="2460"/>
      <c r="F60" s="2443"/>
      <c r="G60" s="2443"/>
      <c r="H60" s="2447"/>
      <c r="I60" s="2450"/>
      <c r="J60" s="1928"/>
      <c r="K60" s="2463"/>
      <c r="L60" s="1963"/>
      <c r="M60" s="1964"/>
      <c r="N60" s="2466"/>
      <c r="O60" s="1906"/>
      <c r="P60" s="1843"/>
      <c r="Q60" s="1843"/>
      <c r="R60" s="1843"/>
      <c r="S60" s="1843"/>
    </row>
    <row r="61" spans="1:17" s="1972" customFormat="1" ht="19.5" customHeight="1">
      <c r="A61" s="1884" t="s">
        <v>322</v>
      </c>
      <c r="B61" s="1965"/>
      <c r="C61" s="1965"/>
      <c r="D61" s="1885"/>
      <c r="E61" s="1886" t="s">
        <v>109</v>
      </c>
      <c r="F61" s="1886"/>
      <c r="G61" s="1966"/>
      <c r="H61" s="1966"/>
      <c r="I61" s="1967"/>
      <c r="J61" s="1968">
        <f>SUM(J66:J111)</f>
        <v>14294.6</v>
      </c>
      <c r="K61" s="1968">
        <f>SUM(K66:K111)</f>
        <v>29295</v>
      </c>
      <c r="L61" s="1969">
        <f>SUM(L66:L111)</f>
        <v>25515</v>
      </c>
      <c r="M61" s="1970"/>
      <c r="N61" s="1969" t="e">
        <f>SUM(N72:N143)</f>
        <v>#REF!</v>
      </c>
      <c r="O61" s="1971"/>
      <c r="P61" s="1971"/>
      <c r="Q61" s="1971"/>
    </row>
    <row r="62" spans="1:16" s="1972" customFormat="1" ht="24.75" customHeight="1" hidden="1">
      <c r="A62" s="1973"/>
      <c r="B62" s="1965"/>
      <c r="C62" s="1965"/>
      <c r="D62" s="1974"/>
      <c r="E62" s="1975"/>
      <c r="F62" s="1886"/>
      <c r="G62" s="1966"/>
      <c r="H62" s="1966"/>
      <c r="I62" s="1967"/>
      <c r="J62" s="1968"/>
      <c r="K62" s="1968"/>
      <c r="L62" s="1969"/>
      <c r="M62" s="1976"/>
      <c r="N62" s="1977"/>
      <c r="O62" s="1971"/>
      <c r="P62" s="1978"/>
    </row>
    <row r="63" spans="1:16" s="1972" customFormat="1" ht="24.75" customHeight="1" hidden="1">
      <c r="A63" s="1973"/>
      <c r="B63" s="1965"/>
      <c r="C63" s="1965"/>
      <c r="D63" s="1974"/>
      <c r="E63" s="1975"/>
      <c r="F63" s="1886"/>
      <c r="G63" s="1966"/>
      <c r="H63" s="1966"/>
      <c r="I63" s="1967"/>
      <c r="J63" s="1968"/>
      <c r="K63" s="1968"/>
      <c r="L63" s="1969"/>
      <c r="M63" s="1976"/>
      <c r="N63" s="1977"/>
      <c r="O63" s="1971"/>
      <c r="P63" s="1978"/>
    </row>
    <row r="64" spans="1:16" s="1972" customFormat="1" ht="24.75" customHeight="1" hidden="1">
      <c r="A64" s="1973"/>
      <c r="B64" s="1965"/>
      <c r="C64" s="1965"/>
      <c r="D64" s="1974"/>
      <c r="E64" s="1975"/>
      <c r="F64" s="1886"/>
      <c r="G64" s="1966"/>
      <c r="H64" s="1966"/>
      <c r="I64" s="1967"/>
      <c r="J64" s="1968"/>
      <c r="K64" s="1968"/>
      <c r="L64" s="1969"/>
      <c r="M64" s="1976"/>
      <c r="N64" s="1977"/>
      <c r="O64" s="1971"/>
      <c r="P64" s="1978"/>
    </row>
    <row r="65" spans="1:16" s="1972" customFormat="1" ht="24.75" customHeight="1" hidden="1">
      <c r="A65" s="1973"/>
      <c r="B65" s="1965"/>
      <c r="C65" s="1965"/>
      <c r="D65" s="1974"/>
      <c r="E65" s="1975"/>
      <c r="F65" s="1886"/>
      <c r="G65" s="1966"/>
      <c r="H65" s="1966"/>
      <c r="I65" s="1967"/>
      <c r="J65" s="1968"/>
      <c r="K65" s="1968"/>
      <c r="L65" s="1969"/>
      <c r="M65" s="1976"/>
      <c r="N65" s="1977"/>
      <c r="O65" s="1971"/>
      <c r="P65" s="1978"/>
    </row>
    <row r="66" spans="1:12" s="1922" customFormat="1" ht="25.5">
      <c r="A66" s="1896">
        <v>37</v>
      </c>
      <c r="B66" s="1897">
        <v>500</v>
      </c>
      <c r="C66" s="1898">
        <v>50095</v>
      </c>
      <c r="D66" s="1899">
        <v>605</v>
      </c>
      <c r="E66" s="1900" t="s">
        <v>110</v>
      </c>
      <c r="F66" s="1898" t="s">
        <v>83</v>
      </c>
      <c r="G66" s="1898">
        <v>2009</v>
      </c>
      <c r="H66" s="1898">
        <v>2010</v>
      </c>
      <c r="I66" s="1902">
        <v>220</v>
      </c>
      <c r="J66" s="1902">
        <v>20</v>
      </c>
      <c r="K66" s="1902">
        <v>200</v>
      </c>
      <c r="L66" s="1913">
        <v>0</v>
      </c>
    </row>
    <row r="67" spans="1:19" s="1895" customFormat="1" ht="25.5" customHeight="1">
      <c r="A67" s="1896">
        <v>38</v>
      </c>
      <c r="B67" s="1897">
        <v>600</v>
      </c>
      <c r="C67" s="1898">
        <v>60015</v>
      </c>
      <c r="D67" s="1899">
        <v>6050</v>
      </c>
      <c r="E67" s="1900" t="s">
        <v>111</v>
      </c>
      <c r="F67" s="1898" t="s">
        <v>66</v>
      </c>
      <c r="G67" s="1911">
        <v>2007</v>
      </c>
      <c r="H67" s="1912" t="s">
        <v>112</v>
      </c>
      <c r="I67" s="1902">
        <v>5991.8</v>
      </c>
      <c r="J67" s="1903">
        <v>0</v>
      </c>
      <c r="K67" s="1903">
        <v>3500</v>
      </c>
      <c r="L67" s="1904">
        <v>0</v>
      </c>
      <c r="M67" s="1905"/>
      <c r="N67" s="1904">
        <v>0</v>
      </c>
      <c r="O67" s="1906"/>
      <c r="P67" s="1979"/>
      <c r="Q67" s="1894"/>
      <c r="R67" s="1894"/>
      <c r="S67" s="1894"/>
    </row>
    <row r="68" spans="1:19" s="1895" customFormat="1" ht="18" customHeight="1">
      <c r="A68" s="1896">
        <v>39</v>
      </c>
      <c r="B68" s="1897">
        <v>600</v>
      </c>
      <c r="C68" s="1898">
        <v>60015</v>
      </c>
      <c r="D68" s="1898">
        <v>6050</v>
      </c>
      <c r="E68" s="1909" t="s">
        <v>113</v>
      </c>
      <c r="F68" s="1898" t="s">
        <v>66</v>
      </c>
      <c r="G68" s="1911">
        <v>2007</v>
      </c>
      <c r="H68" s="1912" t="s">
        <v>72</v>
      </c>
      <c r="I68" s="1902">
        <v>2359</v>
      </c>
      <c r="J68" s="1903">
        <v>0</v>
      </c>
      <c r="K68" s="1903">
        <v>250</v>
      </c>
      <c r="L68" s="1904">
        <v>2000</v>
      </c>
      <c r="M68" s="1905"/>
      <c r="N68" s="1904">
        <v>0</v>
      </c>
      <c r="O68" s="1906"/>
      <c r="P68" s="1894"/>
      <c r="Q68" s="1894"/>
      <c r="R68" s="1894"/>
      <c r="S68" s="1894"/>
    </row>
    <row r="69" spans="1:19" s="1895" customFormat="1" ht="25.5">
      <c r="A69" s="1896">
        <v>40</v>
      </c>
      <c r="B69" s="1897">
        <v>600</v>
      </c>
      <c r="C69" s="1898">
        <v>60015</v>
      </c>
      <c r="D69" s="1898">
        <v>6050</v>
      </c>
      <c r="E69" s="1909" t="s">
        <v>114</v>
      </c>
      <c r="F69" s="1898" t="s">
        <v>66</v>
      </c>
      <c r="G69" s="1911">
        <v>2007</v>
      </c>
      <c r="H69" s="1912" t="s">
        <v>115</v>
      </c>
      <c r="I69" s="1902">
        <v>2246</v>
      </c>
      <c r="J69" s="1903">
        <v>0</v>
      </c>
      <c r="K69" s="1903">
        <v>220</v>
      </c>
      <c r="L69" s="1904">
        <v>1000</v>
      </c>
      <c r="M69" s="1905"/>
      <c r="N69" s="1904">
        <v>0</v>
      </c>
      <c r="O69" s="1906"/>
      <c r="P69" s="1894"/>
      <c r="Q69" s="1894"/>
      <c r="R69" s="1894"/>
      <c r="S69" s="1894"/>
    </row>
    <row r="70" spans="1:15" s="1910" customFormat="1" ht="38.25">
      <c r="A70" s="1896">
        <v>41</v>
      </c>
      <c r="B70" s="1908">
        <v>600</v>
      </c>
      <c r="C70" s="1898">
        <v>60015</v>
      </c>
      <c r="D70" s="1899">
        <v>6050</v>
      </c>
      <c r="E70" s="1909" t="s">
        <v>116</v>
      </c>
      <c r="F70" s="1898" t="s">
        <v>66</v>
      </c>
      <c r="G70" s="1901">
        <v>2006</v>
      </c>
      <c r="H70" s="1901">
        <v>2011</v>
      </c>
      <c r="I70" s="1902">
        <v>1500</v>
      </c>
      <c r="J70" s="1903">
        <v>0</v>
      </c>
      <c r="K70" s="1903">
        <v>500</v>
      </c>
      <c r="L70" s="1904">
        <v>700</v>
      </c>
      <c r="M70" s="1905"/>
      <c r="N70" s="1904">
        <v>0</v>
      </c>
      <c r="O70" s="1906"/>
    </row>
    <row r="71" spans="1:15" s="1910" customFormat="1" ht="18.75" customHeight="1">
      <c r="A71" s="1896">
        <v>42</v>
      </c>
      <c r="B71" s="1908">
        <v>600</v>
      </c>
      <c r="C71" s="1898">
        <v>60015</v>
      </c>
      <c r="D71" s="1899">
        <v>6050</v>
      </c>
      <c r="E71" s="1909" t="s">
        <v>117</v>
      </c>
      <c r="F71" s="1898" t="s">
        <v>66</v>
      </c>
      <c r="G71" s="1901">
        <v>2008</v>
      </c>
      <c r="H71" s="1901">
        <v>2010</v>
      </c>
      <c r="I71" s="1902">
        <v>310</v>
      </c>
      <c r="J71" s="1903">
        <v>0</v>
      </c>
      <c r="K71" s="1903">
        <v>300</v>
      </c>
      <c r="L71" s="1904">
        <v>0</v>
      </c>
      <c r="M71" s="1905"/>
      <c r="N71" s="1904">
        <v>0</v>
      </c>
      <c r="O71" s="1906"/>
    </row>
    <row r="72" spans="1:12" s="1922" customFormat="1" ht="25.5">
      <c r="A72" s="1896">
        <v>43</v>
      </c>
      <c r="B72" s="1897">
        <v>600</v>
      </c>
      <c r="C72" s="1898">
        <v>60015</v>
      </c>
      <c r="D72" s="1899">
        <v>6050</v>
      </c>
      <c r="E72" s="1980" t="s">
        <v>118</v>
      </c>
      <c r="F72" s="1898" t="s">
        <v>66</v>
      </c>
      <c r="G72" s="1898">
        <v>2010</v>
      </c>
      <c r="H72" s="1898">
        <v>2013</v>
      </c>
      <c r="I72" s="1902">
        <v>4000</v>
      </c>
      <c r="J72" s="1902">
        <v>0</v>
      </c>
      <c r="K72" s="1902">
        <v>500</v>
      </c>
      <c r="L72" s="1913">
        <v>2000</v>
      </c>
    </row>
    <row r="73" spans="1:15" s="1910" customFormat="1" ht="18" customHeight="1">
      <c r="A73" s="1896">
        <v>44</v>
      </c>
      <c r="B73" s="1908">
        <v>600</v>
      </c>
      <c r="C73" s="1898">
        <v>60015</v>
      </c>
      <c r="D73" s="1899">
        <v>6050</v>
      </c>
      <c r="E73" s="1909" t="s">
        <v>119</v>
      </c>
      <c r="F73" s="1898" t="s">
        <v>66</v>
      </c>
      <c r="G73" s="1901">
        <v>2010</v>
      </c>
      <c r="H73" s="1901">
        <v>2011</v>
      </c>
      <c r="I73" s="1902">
        <v>1000</v>
      </c>
      <c r="J73" s="1903">
        <v>0</v>
      </c>
      <c r="K73" s="1903">
        <v>500</v>
      </c>
      <c r="L73" s="1904">
        <v>500</v>
      </c>
      <c r="M73" s="1905"/>
      <c r="N73" s="1904">
        <v>0</v>
      </c>
      <c r="O73" s="1906"/>
    </row>
    <row r="74" spans="1:19" s="1907" customFormat="1" ht="18" customHeight="1">
      <c r="A74" s="1896">
        <v>45</v>
      </c>
      <c r="B74" s="1897">
        <v>600</v>
      </c>
      <c r="C74" s="1898">
        <v>60015</v>
      </c>
      <c r="D74" s="1899">
        <v>6050</v>
      </c>
      <c r="E74" s="1925" t="s">
        <v>120</v>
      </c>
      <c r="F74" s="1898" t="s">
        <v>66</v>
      </c>
      <c r="G74" s="1901">
        <v>2011</v>
      </c>
      <c r="H74" s="1901">
        <v>2012</v>
      </c>
      <c r="I74" s="1902">
        <v>3000</v>
      </c>
      <c r="J74" s="1903">
        <v>0</v>
      </c>
      <c r="K74" s="1903">
        <v>0</v>
      </c>
      <c r="L74" s="1904">
        <v>1000</v>
      </c>
      <c r="M74" s="1905"/>
      <c r="N74" s="1904">
        <v>0</v>
      </c>
      <c r="O74" s="1906"/>
      <c r="P74" s="1845"/>
      <c r="Q74" s="1843"/>
      <c r="R74" s="1843"/>
      <c r="S74" s="1843"/>
    </row>
    <row r="75" spans="1:19" s="1907" customFormat="1" ht="18" customHeight="1">
      <c r="A75" s="1896">
        <v>46</v>
      </c>
      <c r="B75" s="1897">
        <v>600</v>
      </c>
      <c r="C75" s="1898">
        <v>60015</v>
      </c>
      <c r="D75" s="1899">
        <v>6050</v>
      </c>
      <c r="E75" s="1925" t="s">
        <v>121</v>
      </c>
      <c r="F75" s="1898" t="s">
        <v>122</v>
      </c>
      <c r="G75" s="1901">
        <v>2009</v>
      </c>
      <c r="H75" s="1901">
        <v>2011</v>
      </c>
      <c r="I75" s="1902">
        <f>SUM(J75:L75)</f>
        <v>700</v>
      </c>
      <c r="J75" s="1903">
        <v>100</v>
      </c>
      <c r="K75" s="1903">
        <v>300</v>
      </c>
      <c r="L75" s="1904">
        <v>300</v>
      </c>
      <c r="M75" s="1905"/>
      <c r="N75" s="1904"/>
      <c r="O75" s="1906"/>
      <c r="P75" s="1845"/>
      <c r="Q75" s="1843"/>
      <c r="R75" s="1843"/>
      <c r="S75" s="1843"/>
    </row>
    <row r="76" spans="1:15" s="1910" customFormat="1" ht="20.25" customHeight="1">
      <c r="A76" s="1896">
        <v>47</v>
      </c>
      <c r="B76" s="1908">
        <v>600</v>
      </c>
      <c r="C76" s="1898">
        <v>60016</v>
      </c>
      <c r="D76" s="1899">
        <v>6050</v>
      </c>
      <c r="E76" s="1909" t="s">
        <v>123</v>
      </c>
      <c r="F76" s="1898" t="s">
        <v>66</v>
      </c>
      <c r="G76" s="1901">
        <v>2009</v>
      </c>
      <c r="H76" s="1901">
        <v>2010</v>
      </c>
      <c r="I76" s="1902">
        <v>2800</v>
      </c>
      <c r="J76" s="1903">
        <v>200</v>
      </c>
      <c r="K76" s="1903">
        <v>2600</v>
      </c>
      <c r="L76" s="1904">
        <v>0</v>
      </c>
      <c r="M76" s="1905"/>
      <c r="N76" s="1904"/>
      <c r="O76" s="1906"/>
    </row>
    <row r="77" spans="1:19" s="1907" customFormat="1" ht="18" customHeight="1">
      <c r="A77" s="1896">
        <v>48</v>
      </c>
      <c r="B77" s="1897">
        <v>600</v>
      </c>
      <c r="C77" s="1898">
        <v>60016</v>
      </c>
      <c r="D77" s="1899">
        <v>6050</v>
      </c>
      <c r="E77" s="1900" t="s">
        <v>124</v>
      </c>
      <c r="F77" s="1898" t="s">
        <v>66</v>
      </c>
      <c r="G77" s="1901">
        <v>2006</v>
      </c>
      <c r="H77" s="1901">
        <v>2011</v>
      </c>
      <c r="I77" s="1902">
        <v>853</v>
      </c>
      <c r="J77" s="1903">
        <v>0</v>
      </c>
      <c r="K77" s="1903">
        <v>0</v>
      </c>
      <c r="L77" s="1904">
        <v>800</v>
      </c>
      <c r="M77" s="1905"/>
      <c r="N77" s="1904">
        <v>0</v>
      </c>
      <c r="O77" s="1906"/>
      <c r="P77" s="1845"/>
      <c r="Q77" s="1843"/>
      <c r="R77" s="1843"/>
      <c r="S77" s="1843"/>
    </row>
    <row r="78" spans="1:19" s="1907" customFormat="1" ht="18" customHeight="1">
      <c r="A78" s="1896">
        <v>49</v>
      </c>
      <c r="B78" s="1897">
        <v>600</v>
      </c>
      <c r="C78" s="1898">
        <v>60016</v>
      </c>
      <c r="D78" s="1899">
        <v>6050</v>
      </c>
      <c r="E78" s="1900" t="s">
        <v>125</v>
      </c>
      <c r="F78" s="1898" t="s">
        <v>66</v>
      </c>
      <c r="G78" s="1901">
        <v>2006</v>
      </c>
      <c r="H78" s="1901">
        <v>2011</v>
      </c>
      <c r="I78" s="1902">
        <v>430</v>
      </c>
      <c r="J78" s="1903">
        <v>0</v>
      </c>
      <c r="K78" s="1903">
        <v>0</v>
      </c>
      <c r="L78" s="1904">
        <v>400</v>
      </c>
      <c r="M78" s="1905"/>
      <c r="N78" s="1904">
        <v>0</v>
      </c>
      <c r="O78" s="1906"/>
      <c r="P78" s="1845"/>
      <c r="Q78" s="1843"/>
      <c r="R78" s="1843"/>
      <c r="S78" s="1843"/>
    </row>
    <row r="79" spans="1:18" s="1907" customFormat="1" ht="29.25" customHeight="1">
      <c r="A79" s="1896">
        <v>50</v>
      </c>
      <c r="B79" s="1897">
        <v>600</v>
      </c>
      <c r="C79" s="1898">
        <v>60016</v>
      </c>
      <c r="D79" s="1899">
        <v>6050</v>
      </c>
      <c r="E79" s="1900" t="s">
        <v>126</v>
      </c>
      <c r="F79" s="1898" t="s">
        <v>83</v>
      </c>
      <c r="G79" s="1901">
        <v>2007</v>
      </c>
      <c r="H79" s="1901">
        <v>2010</v>
      </c>
      <c r="I79" s="1902">
        <v>1200</v>
      </c>
      <c r="J79" s="1903">
        <v>100</v>
      </c>
      <c r="K79" s="1903">
        <v>500</v>
      </c>
      <c r="L79" s="1904">
        <v>500</v>
      </c>
      <c r="M79" s="1905"/>
      <c r="N79" s="1904">
        <v>0</v>
      </c>
      <c r="O79" s="1906"/>
      <c r="P79" s="1843"/>
      <c r="Q79" s="1843"/>
      <c r="R79" s="1843"/>
    </row>
    <row r="80" spans="1:19" s="1907" customFormat="1" ht="27.75" customHeight="1">
      <c r="A80" s="1896">
        <v>51</v>
      </c>
      <c r="B80" s="1908">
        <v>600</v>
      </c>
      <c r="C80" s="1898">
        <v>60016</v>
      </c>
      <c r="D80" s="1899">
        <v>6050</v>
      </c>
      <c r="E80" s="1900" t="s">
        <v>127</v>
      </c>
      <c r="F80" s="1898" t="s">
        <v>83</v>
      </c>
      <c r="G80" s="1901">
        <v>2007</v>
      </c>
      <c r="H80" s="1901" t="s">
        <v>84</v>
      </c>
      <c r="I80" s="1902">
        <v>2700</v>
      </c>
      <c r="J80" s="1903">
        <v>500</v>
      </c>
      <c r="K80" s="1903">
        <v>1000</v>
      </c>
      <c r="L80" s="1904">
        <v>1000</v>
      </c>
      <c r="M80" s="1905"/>
      <c r="N80" s="1904"/>
      <c r="O80" s="1906"/>
      <c r="P80" s="1845"/>
      <c r="Q80" s="1843"/>
      <c r="R80" s="1843"/>
      <c r="S80" s="1843"/>
    </row>
    <row r="81" spans="1:18" s="1923" customFormat="1" ht="18" customHeight="1">
      <c r="A81" s="1896">
        <v>52</v>
      </c>
      <c r="B81" s="1908">
        <v>600</v>
      </c>
      <c r="C81" s="1898">
        <v>60016</v>
      </c>
      <c r="D81" s="1899">
        <v>6050</v>
      </c>
      <c r="E81" s="1918" t="s">
        <v>128</v>
      </c>
      <c r="F81" s="1924" t="s">
        <v>83</v>
      </c>
      <c r="G81" s="1901">
        <v>2006</v>
      </c>
      <c r="H81" s="1919" t="s">
        <v>84</v>
      </c>
      <c r="I81" s="1902">
        <v>3200</v>
      </c>
      <c r="J81" s="1903">
        <v>100</v>
      </c>
      <c r="K81" s="1903">
        <v>300</v>
      </c>
      <c r="L81" s="1904">
        <v>300</v>
      </c>
      <c r="M81" s="1905"/>
      <c r="N81" s="1904">
        <v>500</v>
      </c>
      <c r="O81" s="1906"/>
      <c r="P81" s="1910"/>
      <c r="Q81" s="1910"/>
      <c r="R81" s="1910"/>
    </row>
    <row r="82" spans="1:18" s="1907" customFormat="1" ht="20.25" customHeight="1">
      <c r="A82" s="1896">
        <v>53</v>
      </c>
      <c r="B82" s="1897">
        <v>600</v>
      </c>
      <c r="C82" s="1898">
        <v>60017</v>
      </c>
      <c r="D82" s="1899">
        <v>6050</v>
      </c>
      <c r="E82" s="1900" t="s">
        <v>129</v>
      </c>
      <c r="F82" s="1898" t="s">
        <v>83</v>
      </c>
      <c r="G82" s="1901">
        <v>2008</v>
      </c>
      <c r="H82" s="1901">
        <v>2010</v>
      </c>
      <c r="I82" s="1902">
        <v>300</v>
      </c>
      <c r="J82" s="1903">
        <v>100</v>
      </c>
      <c r="K82" s="1903">
        <v>100</v>
      </c>
      <c r="L82" s="1904">
        <v>0</v>
      </c>
      <c r="M82" s="1905"/>
      <c r="N82" s="1904"/>
      <c r="O82" s="1906"/>
      <c r="P82" s="1843"/>
      <c r="Q82" s="1843"/>
      <c r="R82" s="1843"/>
    </row>
    <row r="83" spans="1:19" s="1907" customFormat="1" ht="18" customHeight="1">
      <c r="A83" s="1896">
        <v>54</v>
      </c>
      <c r="B83" s="1897">
        <v>600</v>
      </c>
      <c r="C83" s="1898">
        <v>60017</v>
      </c>
      <c r="D83" s="1899">
        <v>6050</v>
      </c>
      <c r="E83" s="1900" t="s">
        <v>130</v>
      </c>
      <c r="F83" s="1898" t="s">
        <v>66</v>
      </c>
      <c r="G83" s="1901">
        <v>2011</v>
      </c>
      <c r="H83" s="1901">
        <v>2013</v>
      </c>
      <c r="I83" s="1902">
        <v>2600</v>
      </c>
      <c r="J83" s="1903">
        <v>0</v>
      </c>
      <c r="K83" s="1903">
        <v>0</v>
      </c>
      <c r="L83" s="1904">
        <v>100</v>
      </c>
      <c r="M83" s="1905"/>
      <c r="N83" s="1904">
        <v>0</v>
      </c>
      <c r="O83" s="1906"/>
      <c r="P83" s="1845"/>
      <c r="Q83" s="1843"/>
      <c r="R83" s="1843"/>
      <c r="S83" s="1843"/>
    </row>
    <row r="84" spans="1:19" s="1907" customFormat="1" ht="18" customHeight="1">
      <c r="A84" s="1896">
        <v>55</v>
      </c>
      <c r="B84" s="1897">
        <v>600</v>
      </c>
      <c r="C84" s="1898">
        <v>60017</v>
      </c>
      <c r="D84" s="1899">
        <v>6050</v>
      </c>
      <c r="E84" s="1925" t="s">
        <v>131</v>
      </c>
      <c r="F84" s="1898" t="s">
        <v>66</v>
      </c>
      <c r="G84" s="1901">
        <v>2011</v>
      </c>
      <c r="H84" s="1901">
        <v>2011</v>
      </c>
      <c r="I84" s="1902">
        <v>400</v>
      </c>
      <c r="J84" s="1903">
        <v>0</v>
      </c>
      <c r="K84" s="1903">
        <v>0</v>
      </c>
      <c r="L84" s="1904">
        <v>400</v>
      </c>
      <c r="M84" s="1905"/>
      <c r="N84" s="1904">
        <v>0</v>
      </c>
      <c r="O84" s="1906"/>
      <c r="P84" s="1845"/>
      <c r="Q84" s="1843"/>
      <c r="R84" s="1843"/>
      <c r="S84" s="1843"/>
    </row>
    <row r="85" spans="1:19" s="1907" customFormat="1" ht="18" customHeight="1">
      <c r="A85" s="1896">
        <v>56</v>
      </c>
      <c r="B85" s="1897">
        <v>600</v>
      </c>
      <c r="C85" s="1898">
        <v>60017</v>
      </c>
      <c r="D85" s="1899">
        <v>6050</v>
      </c>
      <c r="E85" s="1925" t="s">
        <v>132</v>
      </c>
      <c r="F85" s="1898" t="s">
        <v>66</v>
      </c>
      <c r="G85" s="1901">
        <v>2010</v>
      </c>
      <c r="H85" s="1901">
        <v>2010</v>
      </c>
      <c r="I85" s="1902">
        <v>200</v>
      </c>
      <c r="J85" s="1903">
        <v>0</v>
      </c>
      <c r="K85" s="1903">
        <v>0</v>
      </c>
      <c r="L85" s="1904">
        <v>200</v>
      </c>
      <c r="M85" s="1905"/>
      <c r="N85" s="1904">
        <v>0</v>
      </c>
      <c r="O85" s="1906"/>
      <c r="P85" s="1845"/>
      <c r="Q85" s="1843"/>
      <c r="R85" s="1843"/>
      <c r="S85" s="1843"/>
    </row>
    <row r="86" spans="1:18" s="1907" customFormat="1" ht="18" customHeight="1">
      <c r="A86" s="1896">
        <v>57</v>
      </c>
      <c r="B86" s="1897">
        <v>600</v>
      </c>
      <c r="C86" s="1898">
        <v>60017</v>
      </c>
      <c r="D86" s="1899">
        <v>6050</v>
      </c>
      <c r="E86" s="1900" t="s">
        <v>133</v>
      </c>
      <c r="F86" s="1898" t="s">
        <v>66</v>
      </c>
      <c r="G86" s="1901">
        <v>2007</v>
      </c>
      <c r="H86" s="1901">
        <v>2011</v>
      </c>
      <c r="I86" s="1902">
        <v>1400</v>
      </c>
      <c r="J86" s="1903">
        <v>0</v>
      </c>
      <c r="K86" s="1903">
        <v>700</v>
      </c>
      <c r="L86" s="1904">
        <v>700</v>
      </c>
      <c r="M86" s="1905"/>
      <c r="N86" s="1904">
        <v>0</v>
      </c>
      <c r="O86" s="1906"/>
      <c r="P86" s="1843"/>
      <c r="Q86" s="1843"/>
      <c r="R86" s="1843"/>
    </row>
    <row r="87" spans="1:18" s="1907" customFormat="1" ht="18" customHeight="1">
      <c r="A87" s="1896">
        <v>58</v>
      </c>
      <c r="B87" s="1897">
        <v>801</v>
      </c>
      <c r="C87" s="1898">
        <v>80101</v>
      </c>
      <c r="D87" s="1898">
        <v>6050</v>
      </c>
      <c r="E87" s="1926" t="s">
        <v>134</v>
      </c>
      <c r="F87" s="1898" t="s">
        <v>135</v>
      </c>
      <c r="G87" s="1919">
        <v>2009</v>
      </c>
      <c r="H87" s="1919">
        <v>2009</v>
      </c>
      <c r="I87" s="1927">
        <v>118.6</v>
      </c>
      <c r="J87" s="1928">
        <v>118.6</v>
      </c>
      <c r="K87" s="1928">
        <v>0</v>
      </c>
      <c r="L87" s="1929">
        <v>0</v>
      </c>
      <c r="M87" s="1930"/>
      <c r="N87" s="1904">
        <v>0</v>
      </c>
      <c r="O87" s="1906"/>
      <c r="P87" s="1843"/>
      <c r="Q87" s="1843"/>
      <c r="R87" s="1843"/>
    </row>
    <row r="88" spans="1:18" s="1907" customFormat="1" ht="18" customHeight="1">
      <c r="A88" s="1896">
        <v>59</v>
      </c>
      <c r="B88" s="1897">
        <v>801</v>
      </c>
      <c r="C88" s="1898">
        <v>80104</v>
      </c>
      <c r="D88" s="1898">
        <v>6210</v>
      </c>
      <c r="E88" s="1926" t="s">
        <v>136</v>
      </c>
      <c r="F88" s="1898" t="s">
        <v>135</v>
      </c>
      <c r="G88" s="1919">
        <v>2009</v>
      </c>
      <c r="H88" s="1919">
        <v>2009</v>
      </c>
      <c r="I88" s="1927">
        <v>360</v>
      </c>
      <c r="J88" s="1928">
        <v>360</v>
      </c>
      <c r="K88" s="1928">
        <v>0</v>
      </c>
      <c r="L88" s="1929">
        <v>0</v>
      </c>
      <c r="M88" s="1930"/>
      <c r="N88" s="1904"/>
      <c r="O88" s="1906"/>
      <c r="P88" s="1843"/>
      <c r="Q88" s="1843"/>
      <c r="R88" s="1843"/>
    </row>
    <row r="89" spans="1:18" s="1907" customFormat="1" ht="17.25" customHeight="1">
      <c r="A89" s="1896">
        <v>60</v>
      </c>
      <c r="B89" s="1897">
        <v>801</v>
      </c>
      <c r="C89" s="1898">
        <v>80110</v>
      </c>
      <c r="D89" s="1898">
        <v>6050</v>
      </c>
      <c r="E89" s="1926" t="s">
        <v>134</v>
      </c>
      <c r="F89" s="1898" t="s">
        <v>135</v>
      </c>
      <c r="G89" s="1919">
        <v>2009</v>
      </c>
      <c r="H89" s="1919">
        <v>2009</v>
      </c>
      <c r="I89" s="1927">
        <v>70.9</v>
      </c>
      <c r="J89" s="1928">
        <v>70.9</v>
      </c>
      <c r="K89" s="1928">
        <v>0</v>
      </c>
      <c r="L89" s="1929">
        <v>0</v>
      </c>
      <c r="M89" s="1930"/>
      <c r="N89" s="1904">
        <v>0</v>
      </c>
      <c r="O89" s="1906"/>
      <c r="P89" s="1843"/>
      <c r="Q89" s="1843"/>
      <c r="R89" s="1843"/>
    </row>
    <row r="90" spans="1:18" s="1907" customFormat="1" ht="18" customHeight="1">
      <c r="A90" s="1896">
        <v>61</v>
      </c>
      <c r="B90" s="1908">
        <v>801</v>
      </c>
      <c r="C90" s="1898">
        <v>80114</v>
      </c>
      <c r="D90" s="1898">
        <v>6050</v>
      </c>
      <c r="E90" s="1926" t="s">
        <v>137</v>
      </c>
      <c r="F90" s="1898" t="s">
        <v>135</v>
      </c>
      <c r="G90" s="1919">
        <v>2009</v>
      </c>
      <c r="H90" s="1919">
        <v>2009</v>
      </c>
      <c r="I90" s="1927">
        <v>200</v>
      </c>
      <c r="J90" s="1928">
        <v>200</v>
      </c>
      <c r="K90" s="1928">
        <v>0</v>
      </c>
      <c r="L90" s="1929">
        <v>0</v>
      </c>
      <c r="M90" s="1930"/>
      <c r="N90" s="1904">
        <v>0</v>
      </c>
      <c r="O90" s="1906"/>
      <c r="P90" s="1843"/>
      <c r="Q90" s="1843"/>
      <c r="R90" s="1843"/>
    </row>
    <row r="91" spans="1:18" s="1907" customFormat="1" ht="18" customHeight="1">
      <c r="A91" s="1896">
        <v>62</v>
      </c>
      <c r="B91" s="1897">
        <v>801</v>
      </c>
      <c r="C91" s="1898">
        <v>80120</v>
      </c>
      <c r="D91" s="1898">
        <v>6050</v>
      </c>
      <c r="E91" s="1900" t="s">
        <v>765</v>
      </c>
      <c r="F91" s="1898" t="s">
        <v>138</v>
      </c>
      <c r="G91" s="1919">
        <v>2008</v>
      </c>
      <c r="H91" s="1919">
        <v>2009</v>
      </c>
      <c r="I91" s="1927">
        <v>2245</v>
      </c>
      <c r="J91" s="1928">
        <v>2245</v>
      </c>
      <c r="K91" s="1928">
        <v>0</v>
      </c>
      <c r="L91" s="1929">
        <v>0</v>
      </c>
      <c r="M91" s="1930"/>
      <c r="N91" s="1904"/>
      <c r="O91" s="1906"/>
      <c r="P91" s="1843"/>
      <c r="Q91" s="1843"/>
      <c r="R91" s="1843"/>
    </row>
    <row r="92" spans="1:18" s="1907" customFormat="1" ht="17.25" customHeight="1">
      <c r="A92" s="1896">
        <v>63</v>
      </c>
      <c r="B92" s="1897">
        <v>801</v>
      </c>
      <c r="C92" s="1898">
        <v>80120</v>
      </c>
      <c r="D92" s="1898">
        <v>6050</v>
      </c>
      <c r="E92" s="1926" t="s">
        <v>134</v>
      </c>
      <c r="F92" s="1898" t="s">
        <v>135</v>
      </c>
      <c r="G92" s="1919">
        <v>2009</v>
      </c>
      <c r="H92" s="1919">
        <v>2009</v>
      </c>
      <c r="I92" s="1927">
        <v>98.4</v>
      </c>
      <c r="J92" s="1928">
        <v>98.4</v>
      </c>
      <c r="K92" s="1928">
        <v>0</v>
      </c>
      <c r="L92" s="1929">
        <v>0</v>
      </c>
      <c r="M92" s="1930"/>
      <c r="N92" s="1904">
        <v>0</v>
      </c>
      <c r="O92" s="1906"/>
      <c r="P92" s="1843"/>
      <c r="Q92" s="1843"/>
      <c r="R92" s="1843"/>
    </row>
    <row r="93" spans="1:18" s="1907" customFormat="1" ht="17.25" customHeight="1">
      <c r="A93" s="1896">
        <v>64</v>
      </c>
      <c r="B93" s="1897">
        <v>801</v>
      </c>
      <c r="C93" s="1898">
        <v>80130</v>
      </c>
      <c r="D93" s="1898">
        <v>6050</v>
      </c>
      <c r="E93" s="1926" t="s">
        <v>134</v>
      </c>
      <c r="F93" s="1898" t="s">
        <v>135</v>
      </c>
      <c r="G93" s="1919">
        <v>2009</v>
      </c>
      <c r="H93" s="1919">
        <v>2009</v>
      </c>
      <c r="I93" s="1927">
        <v>123.5</v>
      </c>
      <c r="J93" s="1928">
        <v>123.5</v>
      </c>
      <c r="K93" s="1928">
        <v>0</v>
      </c>
      <c r="L93" s="1929">
        <v>0</v>
      </c>
      <c r="M93" s="1930"/>
      <c r="N93" s="1904">
        <v>0</v>
      </c>
      <c r="O93" s="1906"/>
      <c r="P93" s="1843"/>
      <c r="Q93" s="1843"/>
      <c r="R93" s="1843"/>
    </row>
    <row r="94" spans="1:18" s="1907" customFormat="1" ht="17.25" customHeight="1">
      <c r="A94" s="1896">
        <v>65</v>
      </c>
      <c r="B94" s="1897">
        <v>801</v>
      </c>
      <c r="C94" s="1898">
        <v>80140</v>
      </c>
      <c r="D94" s="1898">
        <v>6050</v>
      </c>
      <c r="E94" s="1926" t="s">
        <v>134</v>
      </c>
      <c r="F94" s="1898" t="s">
        <v>135</v>
      </c>
      <c r="G94" s="1919">
        <v>2009</v>
      </c>
      <c r="H94" s="1919">
        <v>2009</v>
      </c>
      <c r="I94" s="1927">
        <v>41.6</v>
      </c>
      <c r="J94" s="1928">
        <v>41.6</v>
      </c>
      <c r="K94" s="1928">
        <v>0</v>
      </c>
      <c r="L94" s="1929">
        <v>0</v>
      </c>
      <c r="M94" s="1930"/>
      <c r="N94" s="1904">
        <v>0</v>
      </c>
      <c r="O94" s="1906"/>
      <c r="P94" s="1843"/>
      <c r="Q94" s="1843"/>
      <c r="R94" s="1843"/>
    </row>
    <row r="95" spans="1:18" s="1907" customFormat="1" ht="17.25" customHeight="1">
      <c r="A95" s="1896">
        <v>66</v>
      </c>
      <c r="B95" s="1897">
        <v>801</v>
      </c>
      <c r="C95" s="1898">
        <v>80195</v>
      </c>
      <c r="D95" s="1898">
        <v>6050</v>
      </c>
      <c r="E95" s="1926" t="s">
        <v>134</v>
      </c>
      <c r="F95" s="1898" t="s">
        <v>135</v>
      </c>
      <c r="G95" s="1919">
        <v>2009</v>
      </c>
      <c r="H95" s="1919">
        <v>2009</v>
      </c>
      <c r="I95" s="1927">
        <v>2495</v>
      </c>
      <c r="J95" s="1928">
        <v>2495</v>
      </c>
      <c r="K95" s="1928">
        <v>0</v>
      </c>
      <c r="L95" s="1929">
        <v>0</v>
      </c>
      <c r="M95" s="1930"/>
      <c r="N95" s="1904">
        <v>0</v>
      </c>
      <c r="O95" s="1906"/>
      <c r="P95" s="1843"/>
      <c r="Q95" s="1843"/>
      <c r="R95" s="1843"/>
    </row>
    <row r="96" spans="1:18" s="1907" customFormat="1" ht="17.25" customHeight="1">
      <c r="A96" s="1896">
        <v>105</v>
      </c>
      <c r="B96" s="1897">
        <v>801</v>
      </c>
      <c r="C96" s="1898">
        <v>80195</v>
      </c>
      <c r="D96" s="1898">
        <v>6050</v>
      </c>
      <c r="E96" s="1926" t="s">
        <v>762</v>
      </c>
      <c r="F96" s="1898" t="s">
        <v>135</v>
      </c>
      <c r="G96" s="1919">
        <v>2009</v>
      </c>
      <c r="H96" s="1919">
        <v>2009</v>
      </c>
      <c r="I96" s="1927">
        <f>SUM(J96:L96)</f>
        <v>25000</v>
      </c>
      <c r="J96" s="1928">
        <v>2170</v>
      </c>
      <c r="K96" s="1928">
        <v>11415</v>
      </c>
      <c r="L96" s="1929">
        <v>11415</v>
      </c>
      <c r="M96" s="1930"/>
      <c r="N96" s="1904">
        <v>0</v>
      </c>
      <c r="O96" s="1906"/>
      <c r="P96" s="1843"/>
      <c r="Q96" s="1843"/>
      <c r="R96" s="1843"/>
    </row>
    <row r="97" spans="1:18" s="1907" customFormat="1" ht="38.25">
      <c r="A97" s="1896">
        <v>67</v>
      </c>
      <c r="B97" s="1897">
        <v>801</v>
      </c>
      <c r="C97" s="1898">
        <v>80195</v>
      </c>
      <c r="D97" s="1898">
        <v>6050</v>
      </c>
      <c r="E97" s="1900" t="s">
        <v>139</v>
      </c>
      <c r="F97" s="1898" t="s">
        <v>135</v>
      </c>
      <c r="G97" s="1919">
        <v>2009</v>
      </c>
      <c r="H97" s="1919">
        <v>2010</v>
      </c>
      <c r="I97" s="1927">
        <v>4048.4</v>
      </c>
      <c r="J97" s="1928">
        <v>2395.3</v>
      </c>
      <c r="K97" s="1928">
        <v>883.1</v>
      </c>
      <c r="L97" s="1929">
        <v>0</v>
      </c>
      <c r="M97" s="1930"/>
      <c r="N97" s="1904"/>
      <c r="O97" s="1906"/>
      <c r="P97" s="1843"/>
      <c r="Q97" s="1843"/>
      <c r="R97" s="1843"/>
    </row>
    <row r="98" spans="1:18" s="1907" customFormat="1" ht="21" customHeight="1">
      <c r="A98" s="1896">
        <v>68</v>
      </c>
      <c r="B98" s="1908">
        <v>851</v>
      </c>
      <c r="C98" s="1899">
        <v>85154</v>
      </c>
      <c r="D98" s="1898">
        <v>6050</v>
      </c>
      <c r="E98" s="1900" t="s">
        <v>140</v>
      </c>
      <c r="F98" s="1898" t="s">
        <v>141</v>
      </c>
      <c r="G98" s="1919">
        <v>2009</v>
      </c>
      <c r="H98" s="1919">
        <v>2009</v>
      </c>
      <c r="I98" s="1927">
        <v>100</v>
      </c>
      <c r="J98" s="1928">
        <v>100</v>
      </c>
      <c r="K98" s="1928">
        <v>0</v>
      </c>
      <c r="L98" s="1929">
        <v>0</v>
      </c>
      <c r="M98" s="1930"/>
      <c r="N98" s="1904"/>
      <c r="O98" s="1906"/>
      <c r="P98" s="1843"/>
      <c r="Q98" s="1843"/>
      <c r="R98" s="1843"/>
    </row>
    <row r="99" spans="1:18" s="1907" customFormat="1" ht="39.75" customHeight="1">
      <c r="A99" s="1896">
        <v>69</v>
      </c>
      <c r="B99" s="1897">
        <v>852</v>
      </c>
      <c r="C99" s="1898">
        <v>85219</v>
      </c>
      <c r="D99" s="1898">
        <v>6050</v>
      </c>
      <c r="E99" s="1900" t="s">
        <v>142</v>
      </c>
      <c r="F99" s="1898" t="s">
        <v>143</v>
      </c>
      <c r="G99" s="1901">
        <v>2009</v>
      </c>
      <c r="H99" s="1919">
        <v>2009</v>
      </c>
      <c r="I99" s="1927">
        <v>400</v>
      </c>
      <c r="J99" s="1928">
        <v>400</v>
      </c>
      <c r="K99" s="1928">
        <v>0</v>
      </c>
      <c r="L99" s="1929">
        <v>0</v>
      </c>
      <c r="M99" s="1930"/>
      <c r="N99" s="1904">
        <v>0</v>
      </c>
      <c r="O99" s="1906"/>
      <c r="P99" s="1843"/>
      <c r="Q99" s="1843"/>
      <c r="R99" s="1843"/>
    </row>
    <row r="100" spans="1:19" s="1907" customFormat="1" ht="27" customHeight="1">
      <c r="A100" s="1896">
        <v>70</v>
      </c>
      <c r="B100" s="1897">
        <v>853</v>
      </c>
      <c r="C100" s="1898">
        <v>85305</v>
      </c>
      <c r="D100" s="1899">
        <v>6210</v>
      </c>
      <c r="E100" s="1900" t="s">
        <v>144</v>
      </c>
      <c r="F100" s="1898" t="s">
        <v>143</v>
      </c>
      <c r="G100" s="1901">
        <v>2009</v>
      </c>
      <c r="H100" s="1901">
        <v>2009</v>
      </c>
      <c r="I100" s="1902">
        <v>166</v>
      </c>
      <c r="J100" s="1903">
        <v>166</v>
      </c>
      <c r="K100" s="1903">
        <v>0</v>
      </c>
      <c r="L100" s="1904">
        <v>0</v>
      </c>
      <c r="M100" s="1905"/>
      <c r="N100" s="1904"/>
      <c r="O100" s="1906"/>
      <c r="P100" s="1845"/>
      <c r="Q100" s="1843"/>
      <c r="R100" s="1843"/>
      <c r="S100" s="1843"/>
    </row>
    <row r="101" spans="1:19" s="1907" customFormat="1" ht="38.25">
      <c r="A101" s="1896">
        <v>109</v>
      </c>
      <c r="B101" s="1897">
        <v>853</v>
      </c>
      <c r="C101" s="1898">
        <v>85305</v>
      </c>
      <c r="D101" s="1899">
        <v>6050</v>
      </c>
      <c r="E101" s="2375" t="s">
        <v>772</v>
      </c>
      <c r="F101" s="1898" t="s">
        <v>83</v>
      </c>
      <c r="G101" s="1901">
        <v>2009</v>
      </c>
      <c r="H101" s="1901">
        <v>2011</v>
      </c>
      <c r="I101" s="1902">
        <v>78.5</v>
      </c>
      <c r="J101" s="1903">
        <v>78.5</v>
      </c>
      <c r="K101" s="1903">
        <v>1560</v>
      </c>
      <c r="L101" s="1904">
        <v>200</v>
      </c>
      <c r="M101" s="1905"/>
      <c r="N101" s="1904"/>
      <c r="O101" s="1906"/>
      <c r="P101" s="1845"/>
      <c r="Q101" s="1843"/>
      <c r="R101" s="1843"/>
      <c r="S101" s="1843"/>
    </row>
    <row r="102" spans="1:19" s="1907" customFormat="1" ht="17.25" customHeight="1">
      <c r="A102" s="1896">
        <v>71</v>
      </c>
      <c r="B102" s="1897">
        <v>854</v>
      </c>
      <c r="C102" s="1898">
        <v>85407</v>
      </c>
      <c r="D102" s="1899">
        <v>6050</v>
      </c>
      <c r="E102" s="1900" t="s">
        <v>145</v>
      </c>
      <c r="F102" s="1898" t="s">
        <v>135</v>
      </c>
      <c r="G102" s="1901">
        <v>2009</v>
      </c>
      <c r="H102" s="1901">
        <v>2009</v>
      </c>
      <c r="I102" s="1902">
        <v>70</v>
      </c>
      <c r="J102" s="1903">
        <v>70</v>
      </c>
      <c r="K102" s="1903">
        <v>0</v>
      </c>
      <c r="L102" s="1904">
        <v>0</v>
      </c>
      <c r="M102" s="1905"/>
      <c r="N102" s="1904"/>
      <c r="O102" s="1906"/>
      <c r="P102" s="1845"/>
      <c r="Q102" s="1843"/>
      <c r="R102" s="1843"/>
      <c r="S102" s="1843"/>
    </row>
    <row r="103" spans="1:19" s="1907" customFormat="1" ht="38.25">
      <c r="A103" s="1896">
        <v>72</v>
      </c>
      <c r="B103" s="1897">
        <v>854</v>
      </c>
      <c r="C103" s="1898">
        <v>85410</v>
      </c>
      <c r="D103" s="1899">
        <v>6050</v>
      </c>
      <c r="E103" s="1900" t="s">
        <v>139</v>
      </c>
      <c r="F103" s="1898" t="s">
        <v>135</v>
      </c>
      <c r="G103" s="1901">
        <v>2009</v>
      </c>
      <c r="H103" s="1901">
        <v>2010</v>
      </c>
      <c r="I103" s="1902">
        <v>3731.6</v>
      </c>
      <c r="J103" s="1903">
        <v>0</v>
      </c>
      <c r="K103" s="1903">
        <v>966.9</v>
      </c>
      <c r="L103" s="1904">
        <v>0</v>
      </c>
      <c r="M103" s="1905"/>
      <c r="N103" s="1904"/>
      <c r="O103" s="1906"/>
      <c r="P103" s="1845"/>
      <c r="Q103" s="1843"/>
      <c r="R103" s="1843"/>
      <c r="S103" s="1843"/>
    </row>
    <row r="104" spans="1:18" s="1907" customFormat="1" ht="18" customHeight="1">
      <c r="A104" s="1896">
        <v>73</v>
      </c>
      <c r="B104" s="1897">
        <v>854</v>
      </c>
      <c r="C104" s="1898">
        <v>85410</v>
      </c>
      <c r="D104" s="1898">
        <v>6050</v>
      </c>
      <c r="E104" s="1926" t="s">
        <v>146</v>
      </c>
      <c r="F104" s="1898" t="s">
        <v>135</v>
      </c>
      <c r="G104" s="1901">
        <v>2009</v>
      </c>
      <c r="H104" s="1919">
        <v>2009</v>
      </c>
      <c r="I104" s="1927">
        <v>112.1</v>
      </c>
      <c r="J104" s="1928">
        <v>112.1</v>
      </c>
      <c r="K104" s="1928">
        <v>0</v>
      </c>
      <c r="L104" s="1929">
        <v>0</v>
      </c>
      <c r="M104" s="1930"/>
      <c r="N104" s="1904">
        <v>0</v>
      </c>
      <c r="O104" s="1906"/>
      <c r="P104" s="1843"/>
      <c r="Q104" s="1843"/>
      <c r="R104" s="1843"/>
    </row>
    <row r="105" spans="1:18" s="1907" customFormat="1" ht="25.5">
      <c r="A105" s="1896">
        <v>74</v>
      </c>
      <c r="B105" s="1897">
        <v>854</v>
      </c>
      <c r="C105" s="1898">
        <v>85417</v>
      </c>
      <c r="D105" s="1898">
        <v>6050</v>
      </c>
      <c r="E105" s="1900" t="s">
        <v>147</v>
      </c>
      <c r="F105" s="1898" t="s">
        <v>135</v>
      </c>
      <c r="G105" s="1901">
        <v>2009</v>
      </c>
      <c r="H105" s="1919">
        <v>2009</v>
      </c>
      <c r="I105" s="1927">
        <v>41.2</v>
      </c>
      <c r="J105" s="1928">
        <v>41.2</v>
      </c>
      <c r="K105" s="1928">
        <v>0</v>
      </c>
      <c r="L105" s="1929">
        <v>0</v>
      </c>
      <c r="M105" s="1930"/>
      <c r="N105" s="1904">
        <v>0</v>
      </c>
      <c r="O105" s="1906"/>
      <c r="P105" s="1843"/>
      <c r="Q105" s="1843"/>
      <c r="R105" s="1843"/>
    </row>
    <row r="106" spans="1:18" s="1907" customFormat="1" ht="18" customHeight="1">
      <c r="A106" s="1896">
        <v>75</v>
      </c>
      <c r="B106" s="1897">
        <v>900</v>
      </c>
      <c r="C106" s="1898">
        <v>90013</v>
      </c>
      <c r="D106" s="1898">
        <v>6050</v>
      </c>
      <c r="E106" s="1900" t="s">
        <v>148</v>
      </c>
      <c r="F106" s="1898" t="s">
        <v>83</v>
      </c>
      <c r="G106" s="1901">
        <v>2009</v>
      </c>
      <c r="H106" s="1919">
        <v>2011</v>
      </c>
      <c r="I106" s="1902">
        <v>5000</v>
      </c>
      <c r="J106" s="1903">
        <v>500</v>
      </c>
      <c r="K106" s="1903">
        <v>2500</v>
      </c>
      <c r="L106" s="1904">
        <v>2000</v>
      </c>
      <c r="M106" s="1905"/>
      <c r="N106" s="1904">
        <v>0</v>
      </c>
      <c r="O106" s="1906"/>
      <c r="P106" s="1843"/>
      <c r="Q106" s="1843"/>
      <c r="R106" s="1843"/>
    </row>
    <row r="107" spans="1:18" s="1907" customFormat="1" ht="18" customHeight="1">
      <c r="A107" s="1896"/>
      <c r="B107" s="1897">
        <v>900</v>
      </c>
      <c r="C107" s="1898">
        <v>90095</v>
      </c>
      <c r="D107" s="1898">
        <v>6050</v>
      </c>
      <c r="E107" s="1900" t="s">
        <v>779</v>
      </c>
      <c r="F107" s="1898" t="s">
        <v>66</v>
      </c>
      <c r="G107" s="1901">
        <v>2009</v>
      </c>
      <c r="H107" s="1919">
        <v>2009</v>
      </c>
      <c r="I107" s="1902">
        <v>21.5</v>
      </c>
      <c r="J107" s="1903">
        <v>21.5</v>
      </c>
      <c r="K107" s="1903">
        <v>0</v>
      </c>
      <c r="L107" s="1904">
        <v>0</v>
      </c>
      <c r="M107" s="1905"/>
      <c r="N107" s="1904"/>
      <c r="O107" s="1906"/>
      <c r="P107" s="1843"/>
      <c r="Q107" s="1843"/>
      <c r="R107" s="1843"/>
    </row>
    <row r="108" spans="1:18" s="1907" customFormat="1" ht="29.25" customHeight="1">
      <c r="A108" s="1896">
        <v>76</v>
      </c>
      <c r="B108" s="1897">
        <v>900</v>
      </c>
      <c r="C108" s="1898">
        <v>90095</v>
      </c>
      <c r="D108" s="1898">
        <v>6050</v>
      </c>
      <c r="E108" s="1941" t="s">
        <v>149</v>
      </c>
      <c r="F108" s="1924" t="s">
        <v>150</v>
      </c>
      <c r="G108" s="1919">
        <v>2009</v>
      </c>
      <c r="H108" s="1919">
        <v>2010</v>
      </c>
      <c r="I108" s="1927">
        <f>J108+K108</f>
        <v>1000</v>
      </c>
      <c r="J108" s="1928">
        <f>1000-500</f>
        <v>500</v>
      </c>
      <c r="K108" s="1928">
        <v>500</v>
      </c>
      <c r="L108" s="1929">
        <v>0</v>
      </c>
      <c r="M108" s="1930"/>
      <c r="N108" s="1904">
        <v>1000</v>
      </c>
      <c r="O108" s="1906"/>
      <c r="P108" s="1843"/>
      <c r="Q108" s="1843"/>
      <c r="R108" s="1843"/>
    </row>
    <row r="109" spans="1:18" s="1907" customFormat="1" ht="18" customHeight="1">
      <c r="A109" s="1896">
        <v>77</v>
      </c>
      <c r="B109" s="1908">
        <v>921</v>
      </c>
      <c r="C109" s="1898">
        <v>92118</v>
      </c>
      <c r="D109" s="1899">
        <v>6220</v>
      </c>
      <c r="E109" s="1941" t="s">
        <v>151</v>
      </c>
      <c r="F109" s="1981" t="s">
        <v>143</v>
      </c>
      <c r="G109" s="1901">
        <v>2009</v>
      </c>
      <c r="H109" s="1919">
        <v>2009</v>
      </c>
      <c r="I109" s="1982">
        <v>357</v>
      </c>
      <c r="J109" s="1903">
        <v>357</v>
      </c>
      <c r="K109" s="1903">
        <v>0</v>
      </c>
      <c r="L109" s="1904">
        <v>0</v>
      </c>
      <c r="M109" s="1905"/>
      <c r="N109" s="1904"/>
      <c r="O109" s="1906"/>
      <c r="P109" s="1843"/>
      <c r="Q109" s="1843"/>
      <c r="R109" s="1843"/>
    </row>
    <row r="110" spans="1:18" s="1907" customFormat="1" ht="18" customHeight="1">
      <c r="A110" s="1896">
        <v>106</v>
      </c>
      <c r="B110" s="2014">
        <v>926</v>
      </c>
      <c r="C110" s="2015">
        <v>92601</v>
      </c>
      <c r="D110" s="2015">
        <v>6050</v>
      </c>
      <c r="E110" s="2016" t="s">
        <v>763</v>
      </c>
      <c r="F110" s="2015" t="s">
        <v>107</v>
      </c>
      <c r="G110" s="1919">
        <v>2009</v>
      </c>
      <c r="H110" s="1919">
        <v>2009</v>
      </c>
      <c r="I110" s="1927">
        <v>160</v>
      </c>
      <c r="J110" s="1928">
        <v>160</v>
      </c>
      <c r="K110" s="1928">
        <v>0</v>
      </c>
      <c r="L110" s="1929">
        <v>0</v>
      </c>
      <c r="M110" s="1930"/>
      <c r="N110" s="1904"/>
      <c r="O110" s="1906"/>
      <c r="P110" s="1843"/>
      <c r="Q110" s="1843"/>
      <c r="R110" s="1843"/>
    </row>
    <row r="111" spans="1:18" s="1907" customFormat="1" ht="18" customHeight="1" thickBot="1">
      <c r="A111" s="1896">
        <v>107</v>
      </c>
      <c r="B111" s="2014">
        <v>926</v>
      </c>
      <c r="C111" s="2015">
        <v>92601</v>
      </c>
      <c r="D111" s="2015">
        <v>6050</v>
      </c>
      <c r="E111" s="2016" t="s">
        <v>764</v>
      </c>
      <c r="F111" s="2015" t="s">
        <v>107</v>
      </c>
      <c r="G111" s="1919">
        <v>2009</v>
      </c>
      <c r="H111" s="1919">
        <v>2009</v>
      </c>
      <c r="I111" s="1927">
        <v>350</v>
      </c>
      <c r="J111" s="1928">
        <v>350</v>
      </c>
      <c r="K111" s="1928">
        <v>0</v>
      </c>
      <c r="L111" s="1929">
        <v>0</v>
      </c>
      <c r="M111" s="1930"/>
      <c r="N111" s="1904"/>
      <c r="O111" s="1906"/>
      <c r="P111" s="1843"/>
      <c r="Q111" s="1843"/>
      <c r="R111" s="1843"/>
    </row>
    <row r="112" spans="1:28" s="1994" customFormat="1" ht="27" customHeight="1" thickBot="1" thickTop="1">
      <c r="A112" s="1983"/>
      <c r="B112" s="1984"/>
      <c r="C112" s="1984"/>
      <c r="D112" s="1985"/>
      <c r="E112" s="1986" t="s">
        <v>152</v>
      </c>
      <c r="F112" s="1986"/>
      <c r="G112" s="1987"/>
      <c r="H112" s="1988"/>
      <c r="I112" s="1988"/>
      <c r="J112" s="1989">
        <f>J10+J61</f>
        <v>45499.6</v>
      </c>
      <c r="K112" s="1989">
        <f>K10+K61</f>
        <v>50785</v>
      </c>
      <c r="L112" s="1990">
        <f>L10+L61</f>
        <v>45805</v>
      </c>
      <c r="M112" s="1991"/>
      <c r="N112" s="1992" t="e">
        <f>#REF!+#REF!+N77</f>
        <v>#REF!</v>
      </c>
      <c r="O112" s="1993"/>
      <c r="P112" s="1972"/>
      <c r="Q112" s="1972"/>
      <c r="R112" s="1972"/>
      <c r="S112" s="1972"/>
      <c r="T112" s="1972"/>
      <c r="U112" s="1972"/>
      <c r="V112" s="1972"/>
      <c r="W112" s="1972"/>
      <c r="X112" s="1972"/>
      <c r="Y112" s="1972"/>
      <c r="Z112" s="1972"/>
      <c r="AA112" s="1972"/>
      <c r="AB112" s="1972"/>
    </row>
    <row r="113" spans="1:16" s="1972" customFormat="1" ht="35.25" thickTop="1">
      <c r="A113" s="1995" t="s">
        <v>327</v>
      </c>
      <c r="B113" s="1996"/>
      <c r="C113" s="1996"/>
      <c r="D113" s="1997"/>
      <c r="E113" s="1998" t="s">
        <v>153</v>
      </c>
      <c r="F113" s="1999"/>
      <c r="G113" s="2000"/>
      <c r="H113" s="2000"/>
      <c r="I113" s="2001"/>
      <c r="J113" s="2002">
        <f>SUM(J114:J143)</f>
        <v>41454.5</v>
      </c>
      <c r="K113" s="2002">
        <f>SUM(K114:K143)</f>
        <v>44699.2</v>
      </c>
      <c r="L113" s="1969">
        <f>SUM(L114:L143)</f>
        <v>70576.7</v>
      </c>
      <c r="M113" s="1970"/>
      <c r="N113" s="1969">
        <f>SUM(N114:N119)</f>
        <v>14700</v>
      </c>
      <c r="O113" s="1971"/>
      <c r="P113" s="1978"/>
    </row>
    <row r="114" spans="1:16" s="1910" customFormat="1" ht="17.25" customHeight="1">
      <c r="A114" s="1896">
        <v>77</v>
      </c>
      <c r="B114" s="1908">
        <v>600</v>
      </c>
      <c r="C114" s="1898">
        <v>60015</v>
      </c>
      <c r="D114" s="1899">
        <v>6050</v>
      </c>
      <c r="E114" s="1909" t="s">
        <v>154</v>
      </c>
      <c r="F114" s="1908" t="s">
        <v>66</v>
      </c>
      <c r="G114" s="1901">
        <v>2007</v>
      </c>
      <c r="H114" s="1901">
        <v>2012</v>
      </c>
      <c r="I114" s="1982">
        <v>10000</v>
      </c>
      <c r="J114" s="1903">
        <v>0</v>
      </c>
      <c r="K114" s="1903">
        <v>0</v>
      </c>
      <c r="L114" s="1904">
        <v>5900</v>
      </c>
      <c r="M114" s="1905"/>
      <c r="N114" s="1904">
        <v>0</v>
      </c>
      <c r="O114" s="1906"/>
      <c r="P114" s="2003"/>
    </row>
    <row r="115" spans="1:19" s="1917" customFormat="1" ht="18" customHeight="1">
      <c r="A115" s="1896">
        <v>78</v>
      </c>
      <c r="B115" s="1908">
        <v>600</v>
      </c>
      <c r="C115" s="1898">
        <v>60015</v>
      </c>
      <c r="D115" s="1899">
        <v>6050</v>
      </c>
      <c r="E115" s="1900" t="s">
        <v>155</v>
      </c>
      <c r="F115" s="1898" t="s">
        <v>66</v>
      </c>
      <c r="G115" s="2004" t="s">
        <v>156</v>
      </c>
      <c r="H115" s="1912" t="s">
        <v>115</v>
      </c>
      <c r="I115" s="1902">
        <v>4433.7</v>
      </c>
      <c r="J115" s="1902">
        <v>1600</v>
      </c>
      <c r="K115" s="1902">
        <v>600</v>
      </c>
      <c r="L115" s="1913">
        <v>600</v>
      </c>
      <c r="M115" s="1914"/>
      <c r="N115" s="1913">
        <v>700</v>
      </c>
      <c r="O115" s="1915"/>
      <c r="P115" s="1916"/>
      <c r="Q115" s="1916"/>
      <c r="R115" s="1916"/>
      <c r="S115" s="1916"/>
    </row>
    <row r="116" spans="1:19" s="1923" customFormat="1" ht="25.5">
      <c r="A116" s="1896">
        <v>79</v>
      </c>
      <c r="B116" s="1908">
        <v>600</v>
      </c>
      <c r="C116" s="1898">
        <v>60015</v>
      </c>
      <c r="D116" s="1899">
        <v>6050</v>
      </c>
      <c r="E116" s="1909" t="s">
        <v>157</v>
      </c>
      <c r="F116" s="1898" t="s">
        <v>66</v>
      </c>
      <c r="G116" s="1901">
        <v>2008</v>
      </c>
      <c r="H116" s="1901">
        <v>2013</v>
      </c>
      <c r="I116" s="1902">
        <v>46804.9</v>
      </c>
      <c r="J116" s="1903">
        <v>2000</v>
      </c>
      <c r="K116" s="1903">
        <v>8000</v>
      </c>
      <c r="L116" s="1904">
        <v>16000</v>
      </c>
      <c r="M116" s="1905"/>
      <c r="N116" s="1904">
        <v>10000</v>
      </c>
      <c r="O116" s="1906"/>
      <c r="P116" s="1922"/>
      <c r="Q116" s="1910"/>
      <c r="R116" s="1910"/>
      <c r="S116" s="1910"/>
    </row>
    <row r="117" ht="12.75" hidden="1"/>
    <row r="118" spans="1:16" s="1972" customFormat="1" ht="25.5">
      <c r="A118" s="1896">
        <v>81</v>
      </c>
      <c r="B118" s="1908">
        <v>600</v>
      </c>
      <c r="C118" s="1898">
        <v>60015</v>
      </c>
      <c r="D118" s="1899">
        <v>6050</v>
      </c>
      <c r="E118" s="1909" t="s">
        <v>159</v>
      </c>
      <c r="F118" s="1908" t="s">
        <v>66</v>
      </c>
      <c r="G118" s="1901">
        <v>2007</v>
      </c>
      <c r="H118" s="1901">
        <v>2012</v>
      </c>
      <c r="I118" s="1982">
        <f>10699.2+4500</f>
        <v>15199.2</v>
      </c>
      <c r="J118" s="1903">
        <f>200+4500</f>
        <v>4700</v>
      </c>
      <c r="K118" s="1903">
        <v>4300</v>
      </c>
      <c r="L118" s="1904">
        <v>1000</v>
      </c>
      <c r="M118" s="1905"/>
      <c r="N118" s="1904">
        <v>0</v>
      </c>
      <c r="O118" s="1906"/>
      <c r="P118" s="1978"/>
    </row>
    <row r="119" spans="1:16" s="1972" customFormat="1" ht="18" customHeight="1">
      <c r="A119" s="1896">
        <v>82</v>
      </c>
      <c r="B119" s="1908">
        <v>600</v>
      </c>
      <c r="C119" s="1898">
        <v>60015</v>
      </c>
      <c r="D119" s="1899">
        <v>6050</v>
      </c>
      <c r="E119" s="1909" t="s">
        <v>160</v>
      </c>
      <c r="F119" s="1908" t="s">
        <v>66</v>
      </c>
      <c r="G119" s="1901">
        <v>2006</v>
      </c>
      <c r="H119" s="1901">
        <v>2012</v>
      </c>
      <c r="I119" s="1982">
        <v>11062.6</v>
      </c>
      <c r="J119" s="1903">
        <v>0</v>
      </c>
      <c r="K119" s="1903">
        <v>0</v>
      </c>
      <c r="L119" s="1904">
        <v>0</v>
      </c>
      <c r="M119" s="1905"/>
      <c r="N119" s="1904">
        <v>4000</v>
      </c>
      <c r="O119" s="1906"/>
      <c r="P119" s="1978"/>
    </row>
    <row r="120" spans="1:16" s="1972" customFormat="1" ht="24">
      <c r="A120" s="1896">
        <v>82</v>
      </c>
      <c r="B120" s="1897">
        <v>600</v>
      </c>
      <c r="C120" s="1898">
        <v>60015</v>
      </c>
      <c r="D120" s="1898">
        <v>6050</v>
      </c>
      <c r="E120" s="1909" t="s">
        <v>773</v>
      </c>
      <c r="F120" s="2005" t="s">
        <v>66</v>
      </c>
      <c r="G120" s="1901">
        <v>2007</v>
      </c>
      <c r="H120" s="1901">
        <v>2010</v>
      </c>
      <c r="I120" s="1982">
        <v>22479.4</v>
      </c>
      <c r="J120" s="1903">
        <v>10000</v>
      </c>
      <c r="K120" s="1903">
        <v>3271</v>
      </c>
      <c r="L120" s="1904">
        <v>4000</v>
      </c>
      <c r="M120" s="1905"/>
      <c r="N120" s="1904">
        <v>0</v>
      </c>
      <c r="O120" s="1906"/>
      <c r="P120" s="1978"/>
    </row>
    <row r="121" spans="1:18" s="1907" customFormat="1" ht="25.5" customHeight="1">
      <c r="A121" s="1896">
        <v>83</v>
      </c>
      <c r="B121" s="1897">
        <v>600</v>
      </c>
      <c r="C121" s="1898">
        <v>60016</v>
      </c>
      <c r="D121" s="1899">
        <v>6050</v>
      </c>
      <c r="E121" s="1900" t="s">
        <v>161</v>
      </c>
      <c r="F121" s="1898" t="s">
        <v>83</v>
      </c>
      <c r="G121" s="1901">
        <v>2007</v>
      </c>
      <c r="H121" s="1901" t="s">
        <v>84</v>
      </c>
      <c r="I121" s="1902">
        <v>10000</v>
      </c>
      <c r="J121" s="1903">
        <v>1750</v>
      </c>
      <c r="K121" s="1903">
        <v>500</v>
      </c>
      <c r="L121" s="1904">
        <v>0</v>
      </c>
      <c r="M121" s="1905"/>
      <c r="N121" s="1904">
        <v>0</v>
      </c>
      <c r="O121" s="1906"/>
      <c r="P121" s="1843"/>
      <c r="Q121" s="1843"/>
      <c r="R121" s="1843"/>
    </row>
    <row r="122" spans="1:18" s="1923" customFormat="1" ht="18" customHeight="1">
      <c r="A122" s="1896">
        <v>84</v>
      </c>
      <c r="B122" s="1908">
        <v>600</v>
      </c>
      <c r="C122" s="1898">
        <v>60016</v>
      </c>
      <c r="D122" s="1899">
        <v>6050</v>
      </c>
      <c r="E122" s="1918" t="s">
        <v>162</v>
      </c>
      <c r="F122" s="1924" t="s">
        <v>83</v>
      </c>
      <c r="G122" s="1901">
        <v>1998</v>
      </c>
      <c r="H122" s="1901" t="s">
        <v>84</v>
      </c>
      <c r="I122" s="1902">
        <v>6740</v>
      </c>
      <c r="J122" s="1902">
        <v>1900</v>
      </c>
      <c r="K122" s="1902">
        <v>3100</v>
      </c>
      <c r="L122" s="1913">
        <v>1000</v>
      </c>
      <c r="M122" s="1914"/>
      <c r="N122" s="1913">
        <v>1000</v>
      </c>
      <c r="O122" s="1915"/>
      <c r="P122" s="1910"/>
      <c r="Q122" s="1910"/>
      <c r="R122" s="1910"/>
    </row>
    <row r="123" spans="1:18" s="1923" customFormat="1" ht="18" customHeight="1">
      <c r="A123" s="1896">
        <v>85</v>
      </c>
      <c r="B123" s="1908">
        <v>600</v>
      </c>
      <c r="C123" s="1898">
        <v>60016</v>
      </c>
      <c r="D123" s="1899">
        <v>6050</v>
      </c>
      <c r="E123" s="1918" t="s">
        <v>163</v>
      </c>
      <c r="F123" s="1924" t="s">
        <v>83</v>
      </c>
      <c r="G123" s="1901">
        <v>2007</v>
      </c>
      <c r="H123" s="1919" t="s">
        <v>84</v>
      </c>
      <c r="I123" s="1902">
        <v>2500</v>
      </c>
      <c r="J123" s="1903">
        <v>100</v>
      </c>
      <c r="K123" s="1903">
        <v>1500</v>
      </c>
      <c r="L123" s="1904">
        <v>100</v>
      </c>
      <c r="M123" s="1905"/>
      <c r="N123" s="1904">
        <v>600</v>
      </c>
      <c r="O123" s="1906"/>
      <c r="P123" s="1910"/>
      <c r="Q123" s="1910"/>
      <c r="R123" s="1910"/>
    </row>
    <row r="124" spans="1:19" s="1907" customFormat="1" ht="18" customHeight="1">
      <c r="A124" s="1896">
        <v>86</v>
      </c>
      <c r="B124" s="1908">
        <v>600</v>
      </c>
      <c r="C124" s="1898">
        <v>60016</v>
      </c>
      <c r="D124" s="1899">
        <v>6050</v>
      </c>
      <c r="E124" s="1900" t="s">
        <v>164</v>
      </c>
      <c r="F124" s="1898" t="s">
        <v>83</v>
      </c>
      <c r="G124" s="1901">
        <v>2006</v>
      </c>
      <c r="H124" s="1901">
        <v>2011</v>
      </c>
      <c r="I124" s="1902">
        <v>1200</v>
      </c>
      <c r="J124" s="1903">
        <v>500</v>
      </c>
      <c r="K124" s="1903">
        <v>100</v>
      </c>
      <c r="L124" s="1904">
        <v>0</v>
      </c>
      <c r="M124" s="1905"/>
      <c r="N124" s="1904"/>
      <c r="O124" s="1906"/>
      <c r="P124" s="1845"/>
      <c r="Q124" s="1843"/>
      <c r="R124" s="1843"/>
      <c r="S124" s="1843"/>
    </row>
    <row r="125" spans="1:19" s="1907" customFormat="1" ht="25.5">
      <c r="A125" s="1896">
        <v>87</v>
      </c>
      <c r="B125" s="1897">
        <v>754</v>
      </c>
      <c r="C125" s="1898">
        <v>75495</v>
      </c>
      <c r="D125" s="1899">
        <v>6050</v>
      </c>
      <c r="E125" s="1900" t="s">
        <v>165</v>
      </c>
      <c r="F125" s="1898" t="s">
        <v>92</v>
      </c>
      <c r="G125" s="1901">
        <v>2009</v>
      </c>
      <c r="H125" s="1901">
        <v>2011</v>
      </c>
      <c r="I125" s="1902">
        <f>SUM(J125:N125)</f>
        <v>11200</v>
      </c>
      <c r="J125" s="1903">
        <v>100</v>
      </c>
      <c r="K125" s="1903">
        <v>1300</v>
      </c>
      <c r="L125" s="1904">
        <v>1800</v>
      </c>
      <c r="M125" s="1905"/>
      <c r="N125" s="1904">
        <v>8000</v>
      </c>
      <c r="O125" s="1906"/>
      <c r="P125" s="1845"/>
      <c r="Q125" s="1843"/>
      <c r="R125" s="1843"/>
      <c r="S125" s="1843"/>
    </row>
    <row r="126" spans="1:18" s="1907" customFormat="1" ht="18" customHeight="1">
      <c r="A126" s="1896">
        <v>88</v>
      </c>
      <c r="B126" s="1897">
        <v>801</v>
      </c>
      <c r="C126" s="1898">
        <v>80101</v>
      </c>
      <c r="D126" s="1898">
        <v>6050</v>
      </c>
      <c r="E126" s="1926" t="s">
        <v>166</v>
      </c>
      <c r="F126" s="2006" t="s">
        <v>83</v>
      </c>
      <c r="G126" s="2007">
        <v>2008</v>
      </c>
      <c r="H126" s="2008">
        <v>2009</v>
      </c>
      <c r="I126" s="2009">
        <v>3100</v>
      </c>
      <c r="J126" s="2010">
        <v>2000</v>
      </c>
      <c r="K126" s="2010">
        <v>0</v>
      </c>
      <c r="L126" s="1932">
        <v>0</v>
      </c>
      <c r="M126" s="1952"/>
      <c r="N126" s="2011">
        <v>0</v>
      </c>
      <c r="O126" s="1940"/>
      <c r="P126" s="1843"/>
      <c r="Q126" s="1843"/>
      <c r="R126" s="1843"/>
    </row>
    <row r="127" spans="1:18" s="1907" customFormat="1" ht="18" customHeight="1">
      <c r="A127" s="1896">
        <v>89</v>
      </c>
      <c r="B127" s="1897">
        <v>801</v>
      </c>
      <c r="C127" s="1898">
        <v>80101</v>
      </c>
      <c r="D127" s="1898">
        <v>6050</v>
      </c>
      <c r="E127" s="1926" t="s">
        <v>167</v>
      </c>
      <c r="F127" s="1898" t="s">
        <v>83</v>
      </c>
      <c r="G127" s="1919">
        <v>2008</v>
      </c>
      <c r="H127" s="1919">
        <v>2009</v>
      </c>
      <c r="I127" s="1927">
        <v>1420</v>
      </c>
      <c r="J127" s="1928">
        <v>1420</v>
      </c>
      <c r="K127" s="1928">
        <v>0</v>
      </c>
      <c r="L127" s="1929">
        <v>0</v>
      </c>
      <c r="M127" s="1930"/>
      <c r="N127" s="1904"/>
      <c r="O127" s="1906"/>
      <c r="P127" s="1843"/>
      <c r="Q127" s="1843"/>
      <c r="R127" s="1843"/>
    </row>
    <row r="128" spans="1:18" s="1907" customFormat="1" ht="18" customHeight="1">
      <c r="A128" s="1896">
        <v>90</v>
      </c>
      <c r="B128" s="1897">
        <v>801</v>
      </c>
      <c r="C128" s="1898">
        <v>80101</v>
      </c>
      <c r="D128" s="1898">
        <v>6050</v>
      </c>
      <c r="E128" s="1926" t="s">
        <v>168</v>
      </c>
      <c r="F128" s="1898" t="s">
        <v>138</v>
      </c>
      <c r="G128" s="1919">
        <v>2008</v>
      </c>
      <c r="H128" s="1919">
        <v>2011</v>
      </c>
      <c r="I128" s="1927">
        <v>3000</v>
      </c>
      <c r="J128" s="1928">
        <v>500</v>
      </c>
      <c r="K128" s="1928">
        <v>1500</v>
      </c>
      <c r="L128" s="1929">
        <v>1000</v>
      </c>
      <c r="M128" s="1930"/>
      <c r="N128" s="1904"/>
      <c r="O128" s="1906"/>
      <c r="P128" s="1843"/>
      <c r="Q128" s="1843"/>
      <c r="R128" s="1843"/>
    </row>
    <row r="129" spans="1:18" s="1907" customFormat="1" ht="18" customHeight="1">
      <c r="A129" s="1896">
        <v>91</v>
      </c>
      <c r="B129" s="1897">
        <v>801</v>
      </c>
      <c r="C129" s="1898">
        <v>80110</v>
      </c>
      <c r="D129" s="1898">
        <v>6050</v>
      </c>
      <c r="E129" s="1926" t="s">
        <v>169</v>
      </c>
      <c r="F129" s="1898" t="s">
        <v>138</v>
      </c>
      <c r="G129" s="1901">
        <v>2007</v>
      </c>
      <c r="H129" s="1919">
        <v>2011</v>
      </c>
      <c r="I129" s="1902">
        <v>11500</v>
      </c>
      <c r="J129" s="1903">
        <v>500</v>
      </c>
      <c r="K129" s="1903">
        <v>4000</v>
      </c>
      <c r="L129" s="1904">
        <v>7000</v>
      </c>
      <c r="M129" s="1905"/>
      <c r="N129" s="1939">
        <v>900</v>
      </c>
      <c r="O129" s="1940"/>
      <c r="P129" s="1843"/>
      <c r="Q129" s="1843"/>
      <c r="R129" s="1843"/>
    </row>
    <row r="130" spans="1:18" s="1907" customFormat="1" ht="25.5">
      <c r="A130" s="1896">
        <v>92</v>
      </c>
      <c r="B130" s="1897">
        <v>900</v>
      </c>
      <c r="C130" s="1898">
        <v>90001</v>
      </c>
      <c r="D130" s="1898">
        <v>6050</v>
      </c>
      <c r="E130" s="1941" t="s">
        <v>170</v>
      </c>
      <c r="F130" s="2012" t="s">
        <v>83</v>
      </c>
      <c r="G130" s="1901">
        <v>2004</v>
      </c>
      <c r="H130" s="1919">
        <v>2011</v>
      </c>
      <c r="I130" s="1982">
        <v>7000</v>
      </c>
      <c r="J130" s="1903">
        <v>2000</v>
      </c>
      <c r="K130" s="1903">
        <v>2000</v>
      </c>
      <c r="L130" s="1904">
        <v>3000</v>
      </c>
      <c r="M130" s="1905"/>
      <c r="N130" s="1904">
        <v>3000</v>
      </c>
      <c r="O130" s="1906"/>
      <c r="P130" s="1843"/>
      <c r="Q130" s="1843"/>
      <c r="R130" s="1843"/>
    </row>
    <row r="131" spans="1:18" s="1907" customFormat="1" ht="25.5" customHeight="1">
      <c r="A131" s="1896">
        <v>93</v>
      </c>
      <c r="B131" s="1908">
        <v>900</v>
      </c>
      <c r="C131" s="1898">
        <v>90001</v>
      </c>
      <c r="D131" s="1898">
        <v>6050</v>
      </c>
      <c r="E131" s="1900" t="s">
        <v>171</v>
      </c>
      <c r="F131" s="1899" t="s">
        <v>83</v>
      </c>
      <c r="G131" s="1901">
        <v>2004</v>
      </c>
      <c r="H131" s="1919" t="s">
        <v>84</v>
      </c>
      <c r="I131" s="1902">
        <v>35000</v>
      </c>
      <c r="J131" s="1903">
        <v>3500</v>
      </c>
      <c r="K131" s="1903">
        <v>3000</v>
      </c>
      <c r="L131" s="1904">
        <v>6200</v>
      </c>
      <c r="M131" s="1905"/>
      <c r="N131" s="1904">
        <v>0</v>
      </c>
      <c r="O131" s="1906"/>
      <c r="P131" s="1843"/>
      <c r="Q131" s="1843"/>
      <c r="R131" s="1843"/>
    </row>
    <row r="132" spans="1:18" s="1907" customFormat="1" ht="18" customHeight="1">
      <c r="A132" s="1896">
        <v>94</v>
      </c>
      <c r="B132" s="1897">
        <v>900</v>
      </c>
      <c r="C132" s="1898">
        <v>90001</v>
      </c>
      <c r="D132" s="1898">
        <v>6050</v>
      </c>
      <c r="E132" s="1918" t="s">
        <v>172</v>
      </c>
      <c r="F132" s="1898" t="s">
        <v>83</v>
      </c>
      <c r="G132" s="1901">
        <v>2007</v>
      </c>
      <c r="H132" s="1919" t="s">
        <v>84</v>
      </c>
      <c r="I132" s="1902">
        <v>5000</v>
      </c>
      <c r="J132" s="1903">
        <v>500</v>
      </c>
      <c r="K132" s="1903">
        <v>500</v>
      </c>
      <c r="L132" s="1904">
        <v>500</v>
      </c>
      <c r="M132" s="1905"/>
      <c r="N132" s="1904">
        <v>500</v>
      </c>
      <c r="O132" s="1906"/>
      <c r="P132" s="1843"/>
      <c r="Q132" s="1843"/>
      <c r="R132" s="1843"/>
    </row>
    <row r="133" spans="1:18" s="1907" customFormat="1" ht="18" customHeight="1">
      <c r="A133" s="1896">
        <v>95</v>
      </c>
      <c r="B133" s="1908">
        <v>900</v>
      </c>
      <c r="C133" s="1898">
        <v>90001</v>
      </c>
      <c r="D133" s="1898">
        <v>6050</v>
      </c>
      <c r="E133" s="1918" t="s">
        <v>173</v>
      </c>
      <c r="F133" s="2013" t="s">
        <v>83</v>
      </c>
      <c r="G133" s="1947">
        <v>2004</v>
      </c>
      <c r="H133" s="1948" t="s">
        <v>84</v>
      </c>
      <c r="I133" s="1915">
        <v>6400</v>
      </c>
      <c r="J133" s="2010">
        <v>500</v>
      </c>
      <c r="K133" s="2010">
        <v>2500</v>
      </c>
      <c r="L133" s="1932">
        <v>2500</v>
      </c>
      <c r="M133" s="1952"/>
      <c r="N133" s="2011">
        <v>1000</v>
      </c>
      <c r="O133" s="1940"/>
      <c r="P133" s="1843"/>
      <c r="Q133" s="1843"/>
      <c r="R133" s="1843"/>
    </row>
    <row r="134" spans="1:18" s="1907" customFormat="1" ht="18.75" customHeight="1">
      <c r="A134" s="1896">
        <v>96</v>
      </c>
      <c r="B134" s="1897">
        <v>900</v>
      </c>
      <c r="C134" s="1898">
        <v>90001</v>
      </c>
      <c r="D134" s="1898">
        <v>6050</v>
      </c>
      <c r="E134" s="1918" t="s">
        <v>174</v>
      </c>
      <c r="F134" s="1924" t="s">
        <v>83</v>
      </c>
      <c r="G134" s="1919">
        <v>2007</v>
      </c>
      <c r="H134" s="1919" t="s">
        <v>84</v>
      </c>
      <c r="I134" s="1927">
        <v>3000</v>
      </c>
      <c r="J134" s="1928">
        <v>500</v>
      </c>
      <c r="K134" s="1928">
        <v>1000</v>
      </c>
      <c r="L134" s="1929">
        <v>1000</v>
      </c>
      <c r="M134" s="1930"/>
      <c r="N134" s="1904">
        <v>1000</v>
      </c>
      <c r="O134" s="1906"/>
      <c r="P134" s="1843"/>
      <c r="Q134" s="1843"/>
      <c r="R134" s="1843"/>
    </row>
    <row r="135" spans="1:18" s="1907" customFormat="1" ht="18.75" customHeight="1">
      <c r="A135" s="1896">
        <v>97</v>
      </c>
      <c r="B135" s="1897">
        <v>900</v>
      </c>
      <c r="C135" s="1898">
        <v>90001</v>
      </c>
      <c r="D135" s="1898">
        <v>6050</v>
      </c>
      <c r="E135" s="1918" t="s">
        <v>175</v>
      </c>
      <c r="F135" s="1924" t="s">
        <v>83</v>
      </c>
      <c r="G135" s="1919">
        <v>2000</v>
      </c>
      <c r="H135" s="1919" t="s">
        <v>84</v>
      </c>
      <c r="I135" s="1927">
        <v>2400</v>
      </c>
      <c r="J135" s="1928">
        <v>500</v>
      </c>
      <c r="K135" s="1928">
        <v>500</v>
      </c>
      <c r="L135" s="1929">
        <v>200</v>
      </c>
      <c r="M135" s="1930"/>
      <c r="N135" s="1904">
        <v>1000</v>
      </c>
      <c r="O135" s="1906"/>
      <c r="P135" s="1843"/>
      <c r="Q135" s="1843"/>
      <c r="R135" s="1843"/>
    </row>
    <row r="136" spans="1:18" s="1907" customFormat="1" ht="18.75" customHeight="1">
      <c r="A136" s="1896">
        <v>104</v>
      </c>
      <c r="B136" s="1897">
        <v>900</v>
      </c>
      <c r="C136" s="1898">
        <v>90001</v>
      </c>
      <c r="D136" s="1898">
        <v>6050</v>
      </c>
      <c r="E136" s="1918" t="s">
        <v>774</v>
      </c>
      <c r="F136" s="1924" t="s">
        <v>83</v>
      </c>
      <c r="G136" s="1919">
        <v>2009</v>
      </c>
      <c r="H136" s="1919">
        <v>2010</v>
      </c>
      <c r="I136" s="1927">
        <f>SUM(J136:L136)</f>
        <v>900</v>
      </c>
      <c r="J136" s="1928">
        <v>500</v>
      </c>
      <c r="K136" s="1928">
        <v>400</v>
      </c>
      <c r="L136" s="1929">
        <v>0</v>
      </c>
      <c r="M136" s="1930"/>
      <c r="N136" s="1904">
        <v>1000</v>
      </c>
      <c r="O136" s="1906"/>
      <c r="P136" s="1843"/>
      <c r="Q136" s="1843"/>
      <c r="R136" s="1843"/>
    </row>
    <row r="137" spans="1:18" s="1907" customFormat="1" ht="18.75" customHeight="1">
      <c r="A137" s="1896">
        <v>98</v>
      </c>
      <c r="B137" s="1897">
        <v>900</v>
      </c>
      <c r="C137" s="1898">
        <v>90001</v>
      </c>
      <c r="D137" s="1898">
        <v>6050</v>
      </c>
      <c r="E137" s="1918" t="s">
        <v>176</v>
      </c>
      <c r="F137" s="1924" t="s">
        <v>83</v>
      </c>
      <c r="G137" s="1919">
        <v>2008</v>
      </c>
      <c r="H137" s="1919">
        <v>2010</v>
      </c>
      <c r="I137" s="1927">
        <v>600</v>
      </c>
      <c r="J137" s="1928">
        <v>100</v>
      </c>
      <c r="K137" s="1928">
        <v>500</v>
      </c>
      <c r="L137" s="1929">
        <v>0</v>
      </c>
      <c r="M137" s="1930"/>
      <c r="N137" s="1904"/>
      <c r="O137" s="1906"/>
      <c r="P137" s="1843"/>
      <c r="Q137" s="1843"/>
      <c r="R137" s="1843"/>
    </row>
    <row r="138" spans="1:19" s="1907" customFormat="1" ht="19.5" customHeight="1">
      <c r="A138" s="1896">
        <v>99</v>
      </c>
      <c r="B138" s="1897">
        <v>900</v>
      </c>
      <c r="C138" s="1898">
        <v>90004</v>
      </c>
      <c r="D138" s="1898">
        <v>6050</v>
      </c>
      <c r="E138" s="1941" t="s">
        <v>769</v>
      </c>
      <c r="F138" s="1898" t="s">
        <v>66</v>
      </c>
      <c r="G138" s="1901">
        <v>2009</v>
      </c>
      <c r="H138" s="1901">
        <v>2009</v>
      </c>
      <c r="I138" s="1902">
        <v>5000</v>
      </c>
      <c r="J138" s="1903">
        <v>900</v>
      </c>
      <c r="K138" s="1903">
        <v>1000</v>
      </c>
      <c r="L138" s="1904">
        <v>1000</v>
      </c>
      <c r="M138" s="1905"/>
      <c r="N138" s="1904">
        <v>0</v>
      </c>
      <c r="O138" s="1906"/>
      <c r="P138" s="1845"/>
      <c r="Q138" s="1843"/>
      <c r="R138" s="1843"/>
      <c r="S138" s="1843"/>
    </row>
    <row r="139" spans="1:18" s="1907" customFormat="1" ht="16.5" customHeight="1">
      <c r="A139" s="1896">
        <v>100</v>
      </c>
      <c r="B139" s="1908">
        <v>900</v>
      </c>
      <c r="C139" s="1898">
        <v>90015</v>
      </c>
      <c r="D139" s="1898">
        <v>6050</v>
      </c>
      <c r="E139" s="1918" t="s">
        <v>177</v>
      </c>
      <c r="F139" s="1924" t="s">
        <v>83</v>
      </c>
      <c r="G139" s="1919">
        <v>2003</v>
      </c>
      <c r="H139" s="1919" t="s">
        <v>84</v>
      </c>
      <c r="I139" s="1927">
        <v>950</v>
      </c>
      <c r="J139" s="1928">
        <v>50</v>
      </c>
      <c r="K139" s="1928">
        <v>100</v>
      </c>
      <c r="L139" s="1929">
        <v>100</v>
      </c>
      <c r="M139" s="1930"/>
      <c r="N139" s="1904">
        <v>100</v>
      </c>
      <c r="O139" s="1906"/>
      <c r="P139" s="1843"/>
      <c r="Q139" s="1843"/>
      <c r="R139" s="1843"/>
    </row>
    <row r="140" spans="1:18" s="1907" customFormat="1" ht="18" customHeight="1">
      <c r="A140" s="1896">
        <v>101</v>
      </c>
      <c r="B140" s="1908">
        <v>921</v>
      </c>
      <c r="C140" s="1898">
        <v>92108</v>
      </c>
      <c r="D140" s="1899">
        <v>6050</v>
      </c>
      <c r="E140" s="1941" t="s">
        <v>178</v>
      </c>
      <c r="F140" s="1981" t="s">
        <v>107</v>
      </c>
      <c r="G140" s="1901">
        <v>2008</v>
      </c>
      <c r="H140" s="1919" t="s">
        <v>84</v>
      </c>
      <c r="I140" s="1982">
        <v>30000</v>
      </c>
      <c r="J140" s="1903">
        <v>1000</v>
      </c>
      <c r="K140" s="1903">
        <v>2000</v>
      </c>
      <c r="L140" s="1904">
        <v>10000</v>
      </c>
      <c r="M140" s="1905"/>
      <c r="N140" s="1904">
        <v>18000</v>
      </c>
      <c r="O140" s="1906"/>
      <c r="P140" s="1843"/>
      <c r="Q140" s="1843"/>
      <c r="R140" s="1843"/>
    </row>
    <row r="141" spans="1:18" s="1907" customFormat="1" ht="18" customHeight="1">
      <c r="A141" s="1896">
        <v>108</v>
      </c>
      <c r="B141" s="2365">
        <v>926</v>
      </c>
      <c r="C141" s="2015">
        <v>92601</v>
      </c>
      <c r="D141" s="2376">
        <v>6050</v>
      </c>
      <c r="E141" s="2377" t="s">
        <v>770</v>
      </c>
      <c r="F141" s="2378" t="s">
        <v>83</v>
      </c>
      <c r="G141" s="1901">
        <v>2009</v>
      </c>
      <c r="H141" s="1919">
        <v>2012</v>
      </c>
      <c r="I141" s="1982">
        <v>47651.1</v>
      </c>
      <c r="J141" s="1903">
        <v>734.5</v>
      </c>
      <c r="K141" s="1903">
        <v>3028.2</v>
      </c>
      <c r="L141" s="1904">
        <v>7676.7</v>
      </c>
      <c r="M141" s="1905"/>
      <c r="N141" s="1904"/>
      <c r="O141" s="1906"/>
      <c r="P141" s="1843"/>
      <c r="Q141" s="1843"/>
      <c r="R141" s="1843"/>
    </row>
    <row r="142" spans="1:18" s="1907" customFormat="1" ht="18" customHeight="1">
      <c r="A142" s="1896">
        <v>102</v>
      </c>
      <c r="B142" s="2014">
        <v>926</v>
      </c>
      <c r="C142" s="2015">
        <v>92601</v>
      </c>
      <c r="D142" s="2015">
        <v>6050</v>
      </c>
      <c r="E142" s="2016" t="s">
        <v>179</v>
      </c>
      <c r="F142" s="2015" t="s">
        <v>107</v>
      </c>
      <c r="G142" s="1919">
        <v>2008</v>
      </c>
      <c r="H142" s="1919">
        <v>2009</v>
      </c>
      <c r="I142" s="1927">
        <v>2000</v>
      </c>
      <c r="J142" s="1928">
        <v>1800</v>
      </c>
      <c r="K142" s="1928">
        <v>0</v>
      </c>
      <c r="L142" s="1929">
        <v>0</v>
      </c>
      <c r="M142" s="1930"/>
      <c r="N142" s="1904"/>
      <c r="O142" s="1906"/>
      <c r="P142" s="1843"/>
      <c r="Q142" s="1843"/>
      <c r="R142" s="1843"/>
    </row>
    <row r="143" spans="1:18" s="1907" customFormat="1" ht="20.25" customHeight="1" thickBot="1">
      <c r="A143" s="1896">
        <v>103</v>
      </c>
      <c r="B143" s="1897">
        <v>926</v>
      </c>
      <c r="C143" s="1898">
        <v>92601</v>
      </c>
      <c r="D143" s="1898">
        <v>6050</v>
      </c>
      <c r="E143" s="1926" t="s">
        <v>180</v>
      </c>
      <c r="F143" s="1898" t="s">
        <v>107</v>
      </c>
      <c r="G143" s="1919">
        <v>2008</v>
      </c>
      <c r="H143" s="1919">
        <v>2009</v>
      </c>
      <c r="I143" s="1927">
        <v>2000</v>
      </c>
      <c r="J143" s="1928">
        <v>1800</v>
      </c>
      <c r="K143" s="1928">
        <v>0</v>
      </c>
      <c r="L143" s="1929">
        <v>0</v>
      </c>
      <c r="M143" s="1930"/>
      <c r="N143" s="1904"/>
      <c r="O143" s="1906"/>
      <c r="P143" s="1843"/>
      <c r="Q143" s="1843"/>
      <c r="R143" s="1843"/>
    </row>
    <row r="144" spans="1:28" s="1994" customFormat="1" ht="24.75" customHeight="1" thickBot="1" thickTop="1">
      <c r="A144" s="2017"/>
      <c r="B144" s="2018"/>
      <c r="C144" s="2018"/>
      <c r="D144" s="2019"/>
      <c r="E144" s="2020" t="s">
        <v>181</v>
      </c>
      <c r="F144" s="2020"/>
      <c r="G144" s="2021"/>
      <c r="H144" s="2022"/>
      <c r="I144" s="2022"/>
      <c r="J144" s="2023">
        <f>J10+J61+J113</f>
        <v>86954.1</v>
      </c>
      <c r="K144" s="2023">
        <f>K10+K61+K113</f>
        <v>95484.2</v>
      </c>
      <c r="L144" s="1992">
        <f>L10+L61+L113</f>
        <v>116381.7</v>
      </c>
      <c r="M144" s="1991"/>
      <c r="N144" s="1992" t="e">
        <f>N10+N61+N113</f>
        <v>#REF!</v>
      </c>
      <c r="O144" s="1993"/>
      <c r="P144" s="1972"/>
      <c r="Q144" s="1972"/>
      <c r="R144" s="1972"/>
      <c r="S144" s="1972"/>
      <c r="T144" s="1972"/>
      <c r="U144" s="1972"/>
      <c r="V144" s="1972"/>
      <c r="W144" s="1972"/>
      <c r="X144" s="1972"/>
      <c r="Y144" s="1972"/>
      <c r="Z144" s="1972"/>
      <c r="AA144" s="1972"/>
      <c r="AB144" s="1972"/>
    </row>
    <row r="145" spans="2:28" s="1994" customFormat="1" ht="6" customHeight="1" thickTop="1">
      <c r="B145" s="2024"/>
      <c r="C145" s="2024"/>
      <c r="D145" s="2025"/>
      <c r="E145" s="2026"/>
      <c r="F145" s="2026"/>
      <c r="G145" s="2027"/>
      <c r="H145" s="2028"/>
      <c r="I145" s="2028"/>
      <c r="J145" s="1993"/>
      <c r="K145" s="1993"/>
      <c r="L145" s="1993"/>
      <c r="M145" s="1993"/>
      <c r="N145" s="1993"/>
      <c r="O145" s="1993"/>
      <c r="P145" s="1972"/>
      <c r="Q145" s="1972"/>
      <c r="R145" s="1972"/>
      <c r="S145" s="1972"/>
      <c r="T145" s="1972"/>
      <c r="U145" s="1972"/>
      <c r="V145" s="1972"/>
      <c r="W145" s="1972"/>
      <c r="X145" s="1972"/>
      <c r="Y145" s="1972"/>
      <c r="Z145" s="1972"/>
      <c r="AA145" s="1972"/>
      <c r="AB145" s="1972"/>
    </row>
    <row r="146" spans="1:5" s="1709" customFormat="1" ht="12.75">
      <c r="A146" s="102" t="s">
        <v>739</v>
      </c>
      <c r="B146" s="1833"/>
      <c r="D146" s="1710"/>
      <c r="E146" s="1834"/>
    </row>
    <row r="147" spans="1:10" s="1709" customFormat="1" ht="12.75">
      <c r="A147" s="102" t="s">
        <v>297</v>
      </c>
      <c r="B147" s="1833"/>
      <c r="D147" s="1710"/>
      <c r="E147" s="1834"/>
      <c r="J147" s="1709" t="s">
        <v>444</v>
      </c>
    </row>
    <row r="148" spans="1:10" s="1709" customFormat="1" ht="12.75">
      <c r="A148" s="102" t="s">
        <v>780</v>
      </c>
      <c r="B148" s="1833"/>
      <c r="D148" s="1710"/>
      <c r="E148" s="1834"/>
      <c r="J148" s="2029"/>
    </row>
    <row r="149" spans="2:19" s="2030" customFormat="1" ht="12.75">
      <c r="B149" s="2031"/>
      <c r="E149" s="2032"/>
      <c r="H149" s="2033"/>
      <c r="J149" s="2032"/>
      <c r="K149" s="2032"/>
      <c r="L149" s="2034"/>
      <c r="M149" s="2034"/>
      <c r="N149" s="2035"/>
      <c r="O149" s="2035"/>
      <c r="Q149" s="2032"/>
      <c r="R149" s="2036"/>
      <c r="S149" s="2033"/>
    </row>
    <row r="150" spans="2:19" s="2030" customFormat="1" ht="12.75">
      <c r="B150" s="2037"/>
      <c r="D150" s="2038"/>
      <c r="E150" s="2032"/>
      <c r="H150" s="2033"/>
      <c r="J150" s="2032"/>
      <c r="K150" s="2032"/>
      <c r="L150" s="2034"/>
      <c r="M150" s="2034"/>
      <c r="N150" s="2035"/>
      <c r="O150" s="2035"/>
      <c r="Q150" s="2032"/>
      <c r="R150" s="2036"/>
      <c r="S150" s="2033"/>
    </row>
    <row r="151" spans="4:21" ht="18.75">
      <c r="D151" s="2039"/>
      <c r="E151" s="2040"/>
      <c r="F151" s="2040"/>
      <c r="G151" s="2041"/>
      <c r="H151" s="2040"/>
      <c r="I151" s="2040"/>
      <c r="J151" s="2040"/>
      <c r="K151" s="2042"/>
      <c r="L151" s="2042"/>
      <c r="M151" s="2042"/>
      <c r="N151" s="2043"/>
      <c r="O151" s="2043"/>
      <c r="P151" s="2042"/>
      <c r="Q151" s="2042"/>
      <c r="R151" s="2042"/>
      <c r="S151" s="2042"/>
      <c r="T151" s="2042"/>
      <c r="U151" s="2042"/>
    </row>
    <row r="152" spans="4:55" s="2042" customFormat="1" ht="18">
      <c r="D152" s="2039"/>
      <c r="E152" s="1955"/>
      <c r="F152" s="1955"/>
      <c r="G152" s="2044"/>
      <c r="H152" s="1955"/>
      <c r="I152" s="1955"/>
      <c r="J152" s="1955"/>
      <c r="K152" s="2045"/>
      <c r="L152" s="2045"/>
      <c r="M152" s="2045"/>
      <c r="N152" s="2046"/>
      <c r="O152" s="2046"/>
      <c r="P152" s="2045"/>
      <c r="Q152" s="2045"/>
      <c r="R152" s="2045"/>
      <c r="S152" s="2045"/>
      <c r="T152" s="2045"/>
      <c r="U152" s="2045"/>
      <c r="V152" s="2045"/>
      <c r="W152" s="2045"/>
      <c r="X152" s="2045"/>
      <c r="Y152" s="2045"/>
      <c r="Z152" s="2045"/>
      <c r="AA152" s="2045"/>
      <c r="AB152" s="2045"/>
      <c r="AC152" s="2045"/>
      <c r="AD152" s="2045"/>
      <c r="AE152" s="2045"/>
      <c r="AF152" s="2045"/>
      <c r="AG152" s="2045"/>
      <c r="AH152" s="2045"/>
      <c r="AI152" s="2045"/>
      <c r="AJ152" s="2045"/>
      <c r="AK152" s="2045"/>
      <c r="AL152" s="2045"/>
      <c r="AM152" s="2045"/>
      <c r="AN152" s="2045"/>
      <c r="AO152" s="2045"/>
      <c r="AP152" s="2045"/>
      <c r="AQ152" s="2045"/>
      <c r="AR152" s="2045"/>
      <c r="AS152" s="2045"/>
      <c r="AT152" s="2045"/>
      <c r="AU152" s="2045"/>
      <c r="AV152" s="2045"/>
      <c r="AW152" s="2045"/>
      <c r="AX152" s="2045"/>
      <c r="AY152" s="2045"/>
      <c r="AZ152" s="2045"/>
      <c r="BA152" s="2045"/>
      <c r="BB152" s="2045"/>
      <c r="BC152" s="2045"/>
    </row>
    <row r="153" spans="4:15" s="2045" customFormat="1" ht="12.75">
      <c r="D153" s="2047"/>
      <c r="E153" s="1955"/>
      <c r="F153" s="1955"/>
      <c r="G153" s="2044"/>
      <c r="H153" s="1955"/>
      <c r="I153" s="1955"/>
      <c r="J153" s="1955"/>
      <c r="N153" s="2046"/>
      <c r="O153" s="2046"/>
    </row>
    <row r="154" spans="4:15" s="2045" customFormat="1" ht="12.75">
      <c r="D154" s="2047"/>
      <c r="E154" s="1955"/>
      <c r="F154" s="1955"/>
      <c r="G154" s="2044"/>
      <c r="H154" s="1955"/>
      <c r="I154" s="1955"/>
      <c r="J154" s="1955"/>
      <c r="N154" s="2046"/>
      <c r="O154" s="2046"/>
    </row>
    <row r="155" spans="4:21" s="2045" customFormat="1" ht="12.75">
      <c r="D155" s="2039"/>
      <c r="E155" s="2048"/>
      <c r="F155" s="2048"/>
      <c r="G155" s="1961"/>
      <c r="H155" s="2048"/>
      <c r="I155" s="2048"/>
      <c r="J155" s="2048"/>
      <c r="K155" s="2048"/>
      <c r="L155" s="2048"/>
      <c r="M155" s="2048"/>
      <c r="N155" s="1906"/>
      <c r="O155" s="1906"/>
      <c r="P155" s="2048"/>
      <c r="Q155" s="2048"/>
      <c r="R155" s="2048"/>
      <c r="S155" s="2048"/>
      <c r="T155" s="2048"/>
      <c r="U155" s="2048"/>
    </row>
    <row r="156" spans="4:55" s="2045" customFormat="1" ht="12.75">
      <c r="D156" s="2039"/>
      <c r="E156" s="2048"/>
      <c r="F156" s="2048"/>
      <c r="G156" s="1961"/>
      <c r="H156" s="2048"/>
      <c r="I156" s="2048"/>
      <c r="J156" s="2048"/>
      <c r="K156" s="2048"/>
      <c r="L156" s="2048"/>
      <c r="M156" s="2048"/>
      <c r="N156" s="1906"/>
      <c r="O156" s="1906"/>
      <c r="P156" s="2048"/>
      <c r="Q156" s="2048"/>
      <c r="R156" s="2048"/>
      <c r="S156" s="2048"/>
      <c r="T156" s="2048"/>
      <c r="U156" s="2048"/>
      <c r="V156" s="2048"/>
      <c r="W156" s="2048"/>
      <c r="X156" s="2048"/>
      <c r="Y156" s="2048"/>
      <c r="Z156" s="2048"/>
      <c r="AA156" s="2048"/>
      <c r="AB156" s="2048"/>
      <c r="AC156" s="2048"/>
      <c r="AD156" s="2048"/>
      <c r="AE156" s="2048"/>
      <c r="AF156" s="2048"/>
      <c r="AG156" s="2048"/>
      <c r="AH156" s="2048"/>
      <c r="AI156" s="2048"/>
      <c r="AJ156" s="2048"/>
      <c r="AK156" s="2048"/>
      <c r="AL156" s="2048"/>
      <c r="AM156" s="2048"/>
      <c r="AN156" s="2048"/>
      <c r="AO156" s="2048"/>
      <c r="AP156" s="2048"/>
      <c r="AQ156" s="2048"/>
      <c r="AR156" s="2048"/>
      <c r="AS156" s="2048"/>
      <c r="AT156" s="2048"/>
      <c r="AU156" s="2048"/>
      <c r="AV156" s="2048"/>
      <c r="AW156" s="2048"/>
      <c r="AX156" s="2048"/>
      <c r="AY156" s="2048"/>
      <c r="AZ156" s="2048"/>
      <c r="BA156" s="2048"/>
      <c r="BB156" s="2048"/>
      <c r="BC156" s="2048"/>
    </row>
    <row r="157" spans="4:27" s="2048" customFormat="1" ht="12.75">
      <c r="D157" s="2039"/>
      <c r="E157" s="2045"/>
      <c r="F157" s="2045"/>
      <c r="G157" s="1961"/>
      <c r="N157" s="2049"/>
      <c r="O157" s="2049"/>
      <c r="P157" s="1955"/>
      <c r="Q157" s="1955"/>
      <c r="R157" s="1955"/>
      <c r="S157" s="2045"/>
      <c r="T157" s="2045"/>
      <c r="U157" s="2045"/>
      <c r="V157" s="2045"/>
      <c r="W157" s="2045"/>
      <c r="X157" s="2045"/>
      <c r="Y157" s="2045"/>
      <c r="Z157" s="2045"/>
      <c r="AA157" s="2045"/>
    </row>
    <row r="158" spans="4:61" s="2048" customFormat="1" ht="12.75">
      <c r="D158" s="2039"/>
      <c r="E158" s="2045"/>
      <c r="F158" s="2045"/>
      <c r="G158" s="1961"/>
      <c r="N158" s="2049"/>
      <c r="O158" s="2049"/>
      <c r="P158" s="1955"/>
      <c r="Q158" s="1955"/>
      <c r="R158" s="1955"/>
      <c r="S158" s="2045"/>
      <c r="T158" s="2045"/>
      <c r="U158" s="2045"/>
      <c r="V158" s="2045"/>
      <c r="W158" s="2045"/>
      <c r="X158" s="2045"/>
      <c r="Y158" s="2045"/>
      <c r="Z158" s="2045"/>
      <c r="AA158" s="2045"/>
      <c r="AB158" s="2045"/>
      <c r="AC158" s="2045"/>
      <c r="AD158" s="2045"/>
      <c r="AE158" s="2045"/>
      <c r="AF158" s="2045"/>
      <c r="AG158" s="2045"/>
      <c r="AH158" s="2045"/>
      <c r="AI158" s="2045"/>
      <c r="AJ158" s="2045"/>
      <c r="AK158" s="2045"/>
      <c r="AL158" s="2045"/>
      <c r="AM158" s="2045"/>
      <c r="AN158" s="2045"/>
      <c r="AO158" s="2045"/>
      <c r="AP158" s="2045"/>
      <c r="AQ158" s="2045"/>
      <c r="AR158" s="2045"/>
      <c r="AS158" s="2045"/>
      <c r="AT158" s="2045"/>
      <c r="AU158" s="2045"/>
      <c r="AV158" s="2045"/>
      <c r="AW158" s="2045"/>
      <c r="AX158" s="2045"/>
      <c r="AY158" s="2045"/>
      <c r="AZ158" s="2045"/>
      <c r="BA158" s="2045"/>
      <c r="BB158" s="2045"/>
      <c r="BC158" s="2045"/>
      <c r="BD158" s="2045"/>
      <c r="BE158" s="2045"/>
      <c r="BF158" s="2045"/>
      <c r="BG158" s="2045"/>
      <c r="BH158" s="2045"/>
      <c r="BI158" s="2045"/>
    </row>
    <row r="159" spans="4:18" s="2045" customFormat="1" ht="12.75">
      <c r="D159" s="2039"/>
      <c r="G159" s="1961"/>
      <c r="H159" s="2048"/>
      <c r="I159" s="2048"/>
      <c r="J159" s="2048"/>
      <c r="K159" s="2048"/>
      <c r="L159" s="2048"/>
      <c r="M159" s="2048"/>
      <c r="N159" s="2049"/>
      <c r="O159" s="2049"/>
      <c r="P159" s="1955"/>
      <c r="Q159" s="1955"/>
      <c r="R159" s="1955"/>
    </row>
    <row r="160" spans="4:18" s="2045" customFormat="1" ht="12.75">
      <c r="D160" s="2039"/>
      <c r="E160" s="2050"/>
      <c r="F160" s="2050"/>
      <c r="G160" s="2051"/>
      <c r="H160" s="2052"/>
      <c r="I160" s="2052"/>
      <c r="J160" s="2052"/>
      <c r="K160" s="2052"/>
      <c r="L160" s="2052"/>
      <c r="M160" s="2052"/>
      <c r="N160" s="2049"/>
      <c r="O160" s="2049"/>
      <c r="P160" s="1955"/>
      <c r="Q160" s="1955"/>
      <c r="R160" s="1955"/>
    </row>
    <row r="161" spans="4:18" s="2045" customFormat="1" ht="12.75">
      <c r="D161" s="2053"/>
      <c r="E161" s="2050"/>
      <c r="F161" s="2050"/>
      <c r="G161" s="2051"/>
      <c r="H161" s="2052"/>
      <c r="I161" s="2052"/>
      <c r="J161" s="2052"/>
      <c r="K161" s="2052"/>
      <c r="L161" s="2052"/>
      <c r="M161" s="2052"/>
      <c r="N161" s="2049"/>
      <c r="O161" s="2049"/>
      <c r="P161" s="1955"/>
      <c r="Q161" s="1955"/>
      <c r="R161" s="1955"/>
    </row>
    <row r="162" spans="4:18" s="2045" customFormat="1" ht="12.75">
      <c r="D162" s="2053"/>
      <c r="E162" s="2050"/>
      <c r="F162" s="2050"/>
      <c r="G162" s="2051"/>
      <c r="H162" s="2052"/>
      <c r="I162" s="2052"/>
      <c r="J162" s="2052"/>
      <c r="K162" s="2052"/>
      <c r="L162" s="2052"/>
      <c r="M162" s="2052"/>
      <c r="N162" s="2049"/>
      <c r="O162" s="2049"/>
      <c r="P162" s="1955"/>
      <c r="Q162" s="1955"/>
      <c r="R162" s="1955"/>
    </row>
    <row r="163" spans="4:27" s="2045" customFormat="1" ht="12.75">
      <c r="D163" s="2053"/>
      <c r="E163" s="2050"/>
      <c r="F163" s="2050"/>
      <c r="G163" s="2051"/>
      <c r="H163" s="2052"/>
      <c r="I163" s="2052"/>
      <c r="J163" s="2052"/>
      <c r="K163" s="2054"/>
      <c r="L163" s="2054"/>
      <c r="M163" s="2054"/>
      <c r="N163" s="2055"/>
      <c r="O163" s="2055"/>
      <c r="P163" s="2056"/>
      <c r="Q163" s="2056"/>
      <c r="R163" s="2056"/>
      <c r="S163" s="2050"/>
      <c r="T163" s="2050"/>
      <c r="U163" s="2050"/>
      <c r="V163" s="2050"/>
      <c r="W163" s="2050"/>
      <c r="X163" s="2050"/>
      <c r="Y163" s="2050"/>
      <c r="Z163" s="2050"/>
      <c r="AA163" s="2050"/>
    </row>
    <row r="164" spans="4:61" s="2045" customFormat="1" ht="12.75">
      <c r="D164" s="2053"/>
      <c r="E164" s="2050"/>
      <c r="F164" s="2050"/>
      <c r="G164" s="2051"/>
      <c r="H164" s="2052"/>
      <c r="I164" s="2052"/>
      <c r="J164" s="2052"/>
      <c r="K164" s="2052"/>
      <c r="L164" s="2052"/>
      <c r="M164" s="2052"/>
      <c r="N164" s="2055"/>
      <c r="O164" s="2055"/>
      <c r="P164" s="2056"/>
      <c r="Q164" s="2056"/>
      <c r="R164" s="2056"/>
      <c r="S164" s="2050"/>
      <c r="T164" s="2050"/>
      <c r="U164" s="2050"/>
      <c r="V164" s="2050"/>
      <c r="W164" s="2050"/>
      <c r="X164" s="2050"/>
      <c r="Y164" s="2050"/>
      <c r="Z164" s="2050"/>
      <c r="AA164" s="2050"/>
      <c r="AB164" s="2050"/>
      <c r="AC164" s="2050"/>
      <c r="AD164" s="2050"/>
      <c r="AE164" s="2050"/>
      <c r="AF164" s="2050"/>
      <c r="AG164" s="2050"/>
      <c r="AH164" s="2050"/>
      <c r="AI164" s="2050"/>
      <c r="AJ164" s="2050"/>
      <c r="AK164" s="2050"/>
      <c r="AL164" s="2050"/>
      <c r="AM164" s="2050"/>
      <c r="AN164" s="2050"/>
      <c r="AO164" s="2050"/>
      <c r="AP164" s="2050"/>
      <c r="AQ164" s="2050"/>
      <c r="AR164" s="2050"/>
      <c r="AS164" s="2050"/>
      <c r="AT164" s="2050"/>
      <c r="AU164" s="2050"/>
      <c r="AV164" s="2050"/>
      <c r="AW164" s="2050"/>
      <c r="AX164" s="2050"/>
      <c r="AY164" s="2050"/>
      <c r="AZ164" s="2050"/>
      <c r="BA164" s="2050"/>
      <c r="BB164" s="2050"/>
      <c r="BC164" s="2050"/>
      <c r="BD164" s="2050"/>
      <c r="BE164" s="2050"/>
      <c r="BF164" s="2050"/>
      <c r="BG164" s="2050"/>
      <c r="BH164" s="2050"/>
      <c r="BI164" s="2050"/>
    </row>
    <row r="165" spans="4:18" s="2050" customFormat="1" ht="12.75">
      <c r="D165" s="2053"/>
      <c r="G165" s="2051"/>
      <c r="H165" s="2052"/>
      <c r="I165" s="2052"/>
      <c r="J165" s="2052"/>
      <c r="K165" s="2052"/>
      <c r="L165" s="2052"/>
      <c r="M165" s="2052"/>
      <c r="N165" s="2055"/>
      <c r="O165" s="2055"/>
      <c r="P165" s="2056"/>
      <c r="Q165" s="2056"/>
      <c r="R165" s="2056"/>
    </row>
    <row r="166" spans="4:18" s="2050" customFormat="1" ht="12.75">
      <c r="D166" s="2053"/>
      <c r="G166" s="2051"/>
      <c r="H166" s="2052"/>
      <c r="I166" s="2052"/>
      <c r="J166" s="2052"/>
      <c r="K166" s="2052"/>
      <c r="L166" s="2052"/>
      <c r="M166" s="2052"/>
      <c r="N166" s="2055"/>
      <c r="O166" s="2055"/>
      <c r="P166" s="2056"/>
      <c r="Q166" s="2056"/>
      <c r="R166" s="2056"/>
    </row>
    <row r="167" spans="4:18" s="2050" customFormat="1" ht="12.75">
      <c r="D167" s="2053"/>
      <c r="G167" s="2051"/>
      <c r="H167" s="2052"/>
      <c r="I167" s="2052"/>
      <c r="J167" s="2052"/>
      <c r="K167" s="2052"/>
      <c r="L167" s="2052"/>
      <c r="M167" s="2052"/>
      <c r="N167" s="2055"/>
      <c r="O167" s="2055"/>
      <c r="P167" s="2056"/>
      <c r="Q167" s="2056"/>
      <c r="R167" s="2056"/>
    </row>
    <row r="168" spans="4:18" s="2050" customFormat="1" ht="12.75">
      <c r="D168" s="2053"/>
      <c r="G168" s="2051"/>
      <c r="H168" s="2052"/>
      <c r="I168" s="2052"/>
      <c r="J168" s="2052"/>
      <c r="K168" s="2052"/>
      <c r="L168" s="2052"/>
      <c r="M168" s="2052"/>
      <c r="N168" s="2055"/>
      <c r="O168" s="2055"/>
      <c r="P168" s="2056"/>
      <c r="Q168" s="2056"/>
      <c r="R168" s="2056"/>
    </row>
    <row r="169" spans="4:18" s="2050" customFormat="1" ht="12.75">
      <c r="D169" s="2053"/>
      <c r="E169" s="1843"/>
      <c r="F169" s="1843"/>
      <c r="G169" s="1844"/>
      <c r="H169" s="1845"/>
      <c r="I169" s="1845"/>
      <c r="J169" s="1845"/>
      <c r="K169" s="1845"/>
      <c r="L169" s="1845"/>
      <c r="M169" s="1845"/>
      <c r="N169" s="2055"/>
      <c r="O169" s="2055"/>
      <c r="P169" s="2056"/>
      <c r="Q169" s="2056"/>
      <c r="R169" s="2056"/>
    </row>
    <row r="170" spans="4:18" s="2050" customFormat="1" ht="12.75">
      <c r="D170" s="1842"/>
      <c r="E170" s="1843"/>
      <c r="F170" s="1843"/>
      <c r="G170" s="1844"/>
      <c r="H170" s="1845"/>
      <c r="I170" s="1845"/>
      <c r="J170" s="1845"/>
      <c r="K170" s="1845"/>
      <c r="L170" s="1845"/>
      <c r="M170" s="1845"/>
      <c r="N170" s="2055"/>
      <c r="O170" s="2055"/>
      <c r="P170" s="2056"/>
      <c r="Q170" s="2056"/>
      <c r="R170" s="2056"/>
    </row>
    <row r="171" spans="4:18" s="2050" customFormat="1" ht="12.75">
      <c r="D171" s="1842"/>
      <c r="E171" s="1843"/>
      <c r="F171" s="1843"/>
      <c r="G171" s="1844"/>
      <c r="H171" s="1845"/>
      <c r="I171" s="1845"/>
      <c r="J171" s="1845"/>
      <c r="K171" s="1845"/>
      <c r="L171" s="1845"/>
      <c r="M171" s="1845"/>
      <c r="N171" s="2055"/>
      <c r="O171" s="2055"/>
      <c r="P171" s="2056"/>
      <c r="Q171" s="2056"/>
      <c r="R171" s="2056"/>
    </row>
    <row r="172" spans="4:27" s="2050" customFormat="1" ht="12.75">
      <c r="D172" s="1842"/>
      <c r="E172" s="1843"/>
      <c r="F172" s="1843"/>
      <c r="G172" s="1844"/>
      <c r="H172" s="1845"/>
      <c r="I172" s="1845"/>
      <c r="J172" s="1845"/>
      <c r="K172" s="1845"/>
      <c r="L172" s="1845"/>
      <c r="M172" s="1845"/>
      <c r="N172" s="1953"/>
      <c r="O172" s="1953"/>
      <c r="P172" s="1845"/>
      <c r="Q172" s="1845"/>
      <c r="R172" s="1845"/>
      <c r="S172" s="1841"/>
      <c r="T172" s="1841"/>
      <c r="U172" s="1841"/>
      <c r="V172" s="1841"/>
      <c r="W172" s="1841"/>
      <c r="X172" s="1841"/>
      <c r="Y172" s="1841"/>
      <c r="Z172" s="1841"/>
      <c r="AA172" s="1841"/>
    </row>
    <row r="173" spans="4:61" s="2050" customFormat="1" ht="12.75">
      <c r="D173" s="1842"/>
      <c r="E173" s="1843"/>
      <c r="F173" s="1843"/>
      <c r="G173" s="1844"/>
      <c r="H173" s="1845"/>
      <c r="I173" s="1845"/>
      <c r="J173" s="1845"/>
      <c r="K173" s="1845"/>
      <c r="L173" s="1845"/>
      <c r="M173" s="1845"/>
      <c r="N173" s="1953"/>
      <c r="O173" s="1953"/>
      <c r="P173" s="1845"/>
      <c r="Q173" s="1845"/>
      <c r="R173" s="1845"/>
      <c r="S173" s="1841"/>
      <c r="T173" s="1841"/>
      <c r="U173" s="1841"/>
      <c r="V173" s="1841"/>
      <c r="W173" s="1841"/>
      <c r="X173" s="1841"/>
      <c r="Y173" s="1841"/>
      <c r="Z173" s="1841"/>
      <c r="AA173" s="1841"/>
      <c r="AB173" s="1841"/>
      <c r="AC173" s="1841"/>
      <c r="AD173" s="1841"/>
      <c r="AE173" s="1841"/>
      <c r="AF173" s="1841"/>
      <c r="AG173" s="1841"/>
      <c r="AH173" s="1841"/>
      <c r="AI173" s="1841"/>
      <c r="AJ173" s="1841"/>
      <c r="AK173" s="1841"/>
      <c r="AL173" s="1841"/>
      <c r="AM173" s="1841"/>
      <c r="AN173" s="1841"/>
      <c r="AO173" s="1841"/>
      <c r="AP173" s="1841"/>
      <c r="AQ173" s="1841"/>
      <c r="AR173" s="1841"/>
      <c r="AS173" s="1841"/>
      <c r="AT173" s="1841"/>
      <c r="AU173" s="1841"/>
      <c r="AV173" s="1841"/>
      <c r="AW173" s="1841"/>
      <c r="AX173" s="1841"/>
      <c r="AY173" s="1841"/>
      <c r="AZ173" s="1841"/>
      <c r="BA173" s="1841"/>
      <c r="BB173" s="1841"/>
      <c r="BC173" s="1841"/>
      <c r="BD173" s="1841"/>
      <c r="BE173" s="1841"/>
      <c r="BF173" s="1841"/>
      <c r="BG173" s="1841"/>
      <c r="BH173" s="1841"/>
      <c r="BI173" s="1841"/>
    </row>
    <row r="174" spans="14:15" ht="12.75">
      <c r="N174" s="1953"/>
      <c r="O174" s="1953"/>
    </row>
    <row r="175" spans="14:15" ht="12.75">
      <c r="N175" s="1953"/>
      <c r="O175" s="1953"/>
    </row>
    <row r="176" spans="14:15" ht="12.75">
      <c r="N176" s="1953"/>
      <c r="O176" s="1953"/>
    </row>
    <row r="177" spans="14:15" ht="12.75">
      <c r="N177" s="1953"/>
      <c r="O177" s="1953"/>
    </row>
    <row r="178" spans="14:15" ht="12.75">
      <c r="N178" s="1953"/>
      <c r="O178" s="1953"/>
    </row>
    <row r="179" spans="14:15" ht="12.75">
      <c r="N179" s="1953"/>
      <c r="O179" s="1953"/>
    </row>
    <row r="180" spans="14:15" ht="12.75">
      <c r="N180" s="1953"/>
      <c r="O180" s="1953"/>
    </row>
    <row r="181" spans="14:15" ht="12.75">
      <c r="N181" s="1953"/>
      <c r="O181" s="1953"/>
    </row>
    <row r="182" spans="14:15" ht="12.75">
      <c r="N182" s="1953"/>
      <c r="O182" s="1953"/>
    </row>
    <row r="183" spans="14:15" ht="12.75">
      <c r="N183" s="1953"/>
      <c r="O183" s="1953"/>
    </row>
    <row r="184" spans="14:15" ht="12.75">
      <c r="N184" s="1953"/>
      <c r="O184" s="1953"/>
    </row>
    <row r="185" spans="14:15" ht="12.75">
      <c r="N185" s="1953"/>
      <c r="O185" s="1953"/>
    </row>
    <row r="186" spans="14:15" ht="12.75">
      <c r="N186" s="1953"/>
      <c r="O186" s="1953"/>
    </row>
    <row r="187" spans="14:15" ht="12.75">
      <c r="N187" s="1953"/>
      <c r="O187" s="1953"/>
    </row>
    <row r="188" spans="14:15" ht="12.75">
      <c r="N188" s="1953"/>
      <c r="O188" s="1953"/>
    </row>
    <row r="189" spans="14:15" ht="12.75">
      <c r="N189" s="1953"/>
      <c r="O189" s="1953"/>
    </row>
    <row r="190" spans="14:15" ht="12.75">
      <c r="N190" s="1953"/>
      <c r="O190" s="1953"/>
    </row>
    <row r="191" spans="14:15" ht="12.75">
      <c r="N191" s="1953"/>
      <c r="O191" s="1953"/>
    </row>
    <row r="192" spans="14:15" ht="12.75">
      <c r="N192" s="1953"/>
      <c r="O192" s="1953"/>
    </row>
    <row r="193" spans="14:15" ht="12.75">
      <c r="N193" s="1953"/>
      <c r="O193" s="1953"/>
    </row>
    <row r="194" spans="14:15" ht="12.75">
      <c r="N194" s="1953"/>
      <c r="O194" s="1953"/>
    </row>
    <row r="195" spans="14:15" ht="12.75">
      <c r="N195" s="1953"/>
      <c r="O195" s="1953"/>
    </row>
    <row r="196" spans="14:15" ht="12.75">
      <c r="N196" s="1953"/>
      <c r="O196" s="1953"/>
    </row>
    <row r="197" spans="14:15" ht="12.75">
      <c r="N197" s="1953"/>
      <c r="O197" s="1953"/>
    </row>
    <row r="198" spans="14:15" ht="12.75">
      <c r="N198" s="1953"/>
      <c r="O198" s="1953"/>
    </row>
    <row r="199" spans="14:15" ht="12.75">
      <c r="N199" s="1953"/>
      <c r="O199" s="1953"/>
    </row>
  </sheetData>
  <mergeCells count="12">
    <mergeCell ref="K58:K60"/>
    <mergeCell ref="N58:N60"/>
    <mergeCell ref="G7:H7"/>
    <mergeCell ref="J7:L7"/>
    <mergeCell ref="A58:A60"/>
    <mergeCell ref="B58:B60"/>
    <mergeCell ref="C58:C60"/>
    <mergeCell ref="E58:E60"/>
    <mergeCell ref="F58:F60"/>
    <mergeCell ref="G58:G60"/>
    <mergeCell ref="H58:H60"/>
    <mergeCell ref="I58:I60"/>
  </mergeCells>
  <printOptions horizontalCentered="1"/>
  <pageMargins left="0.2" right="0.2" top="0.5" bottom="0.38" header="0.25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97"/>
  <sheetViews>
    <sheetView tabSelected="1" workbookViewId="0" topLeftCell="A85">
      <selection activeCell="A96" sqref="A96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5.75390625" style="2057" customWidth="1"/>
    <col min="4" max="4" width="35.625" style="1150" customWidth="1"/>
    <col min="5" max="5" width="25.125" style="1150" customWidth="1"/>
    <col min="6" max="6" width="11.375" style="1150" customWidth="1"/>
    <col min="7" max="7" width="12.125" style="1150" customWidth="1"/>
    <col min="8" max="8" width="12.625" style="1068" customWidth="1"/>
    <col min="9" max="9" width="11.375" style="1068" customWidth="1"/>
    <col min="10" max="10" width="12.125" style="1068" customWidth="1"/>
    <col min="11" max="11" width="8.125" style="0" hidden="1" customWidth="1"/>
  </cols>
  <sheetData>
    <row r="1" ht="12.75">
      <c r="I1" s="82" t="s">
        <v>182</v>
      </c>
    </row>
    <row r="2" ht="12.75">
      <c r="I2" s="4" t="s">
        <v>33</v>
      </c>
    </row>
    <row r="3" ht="12.75">
      <c r="I3" s="4" t="s">
        <v>16</v>
      </c>
    </row>
    <row r="4" spans="9:10" ht="15.75">
      <c r="I4" s="4"/>
      <c r="J4" s="2058"/>
    </row>
    <row r="5" ht="16.5" customHeight="1">
      <c r="J5" s="2058"/>
    </row>
    <row r="6" spans="1:10" ht="20.25">
      <c r="A6" s="1070" t="s">
        <v>183</v>
      </c>
      <c r="B6" s="2059"/>
      <c r="C6" s="2060"/>
      <c r="D6" s="2061"/>
      <c r="E6" s="2061"/>
      <c r="F6" s="2061"/>
      <c r="G6" s="2061"/>
      <c r="H6" s="2062"/>
      <c r="I6" s="2062"/>
      <c r="J6" s="2063"/>
    </row>
    <row r="7" spans="1:10" ht="20.25">
      <c r="A7" s="1070" t="s">
        <v>184</v>
      </c>
      <c r="B7" s="2059"/>
      <c r="C7" s="2060"/>
      <c r="D7" s="2061"/>
      <c r="E7" s="2061"/>
      <c r="F7" s="2061"/>
      <c r="G7" s="2061"/>
      <c r="H7" s="2062"/>
      <c r="I7" s="2062"/>
      <c r="J7" s="2063"/>
    </row>
    <row r="8" spans="1:10" ht="13.5" thickBot="1">
      <c r="A8" s="1709" t="s">
        <v>777</v>
      </c>
      <c r="I8" s="2064"/>
      <c r="J8" s="1069" t="s">
        <v>237</v>
      </c>
    </row>
    <row r="9" spans="1:11" ht="27.75" customHeight="1" thickTop="1">
      <c r="A9" s="2065" t="s">
        <v>238</v>
      </c>
      <c r="B9" s="2066" t="s">
        <v>51</v>
      </c>
      <c r="C9" s="2066" t="s">
        <v>539</v>
      </c>
      <c r="D9" s="2067" t="s">
        <v>185</v>
      </c>
      <c r="E9" s="2068" t="s">
        <v>53</v>
      </c>
      <c r="F9" s="2472" t="s">
        <v>54</v>
      </c>
      <c r="G9" s="2473"/>
      <c r="H9" s="2069" t="s">
        <v>55</v>
      </c>
      <c r="I9" s="2472" t="s">
        <v>186</v>
      </c>
      <c r="J9" s="2474"/>
      <c r="K9" s="2070" t="s">
        <v>187</v>
      </c>
    </row>
    <row r="10" spans="1:11" ht="31.5" customHeight="1">
      <c r="A10" s="2071"/>
      <c r="B10" s="2072"/>
      <c r="C10" s="2072"/>
      <c r="D10" s="2073"/>
      <c r="E10" s="2074" t="s">
        <v>57</v>
      </c>
      <c r="F10" s="2075" t="s">
        <v>58</v>
      </c>
      <c r="G10" s="2075" t="s">
        <v>59</v>
      </c>
      <c r="H10" s="2076" t="s">
        <v>188</v>
      </c>
      <c r="I10" s="2077" t="s">
        <v>189</v>
      </c>
      <c r="J10" s="2078" t="s">
        <v>190</v>
      </c>
      <c r="K10" s="2079" t="s">
        <v>191</v>
      </c>
    </row>
    <row r="11" spans="1:11" s="2084" customFormat="1" ht="12" thickBot="1">
      <c r="A11" s="1078">
        <v>1</v>
      </c>
      <c r="B11" s="1836">
        <v>2</v>
      </c>
      <c r="C11" s="2080">
        <v>3</v>
      </c>
      <c r="D11" s="2081">
        <v>4</v>
      </c>
      <c r="E11" s="1836">
        <v>5</v>
      </c>
      <c r="F11" s="1836">
        <v>6</v>
      </c>
      <c r="G11" s="1836">
        <v>7</v>
      </c>
      <c r="H11" s="1836">
        <v>8</v>
      </c>
      <c r="I11" s="1836">
        <v>9</v>
      </c>
      <c r="J11" s="2082">
        <v>10</v>
      </c>
      <c r="K11" s="2083">
        <v>11</v>
      </c>
    </row>
    <row r="12" spans="1:11" s="2091" customFormat="1" ht="67.5" customHeight="1" thickBot="1" thickTop="1">
      <c r="A12" s="1187">
        <v>600</v>
      </c>
      <c r="B12" s="1387">
        <v>60015</v>
      </c>
      <c r="C12" s="2085"/>
      <c r="D12" s="1434" t="s">
        <v>158</v>
      </c>
      <c r="E12" s="2086" t="s">
        <v>192</v>
      </c>
      <c r="F12" s="2087">
        <v>2007</v>
      </c>
      <c r="G12" s="2087">
        <v>2010</v>
      </c>
      <c r="H12" s="2088">
        <f>H13</f>
        <v>10000000</v>
      </c>
      <c r="I12" s="2088">
        <f>I13</f>
        <v>5000000</v>
      </c>
      <c r="J12" s="2089">
        <f>J13</f>
        <v>5000000</v>
      </c>
      <c r="K12" s="2090"/>
    </row>
    <row r="13" spans="1:11" s="2100" customFormat="1" ht="31.5" thickBot="1" thickTop="1">
      <c r="A13" s="2092"/>
      <c r="B13" s="2093"/>
      <c r="C13" s="2094">
        <v>6050</v>
      </c>
      <c r="D13" s="2095" t="s">
        <v>737</v>
      </c>
      <c r="E13" s="2096"/>
      <c r="F13" s="2096"/>
      <c r="G13" s="2096"/>
      <c r="H13" s="2097">
        <f aca="true" t="shared" si="0" ref="H13:H59">I13+J13</f>
        <v>10000000</v>
      </c>
      <c r="I13" s="2097">
        <v>5000000</v>
      </c>
      <c r="J13" s="2098">
        <v>5000000</v>
      </c>
      <c r="K13" s="2099"/>
    </row>
    <row r="14" spans="1:11" s="2104" customFormat="1" ht="57.75" customHeight="1" thickBot="1" thickTop="1">
      <c r="A14" s="1187">
        <v>801</v>
      </c>
      <c r="B14" s="1387">
        <v>80195</v>
      </c>
      <c r="C14" s="2085"/>
      <c r="D14" s="2101" t="s">
        <v>193</v>
      </c>
      <c r="E14" s="2085" t="s">
        <v>194</v>
      </c>
      <c r="F14" s="2087">
        <v>2007</v>
      </c>
      <c r="G14" s="2087">
        <v>2009</v>
      </c>
      <c r="H14" s="2102">
        <f t="shared" si="0"/>
        <v>131400</v>
      </c>
      <c r="I14" s="2102"/>
      <c r="J14" s="2089">
        <f>SUM(J15:J20)</f>
        <v>131400</v>
      </c>
      <c r="K14" s="2103">
        <f>J14/H14*100</f>
        <v>100</v>
      </c>
    </row>
    <row r="15" spans="1:11" s="2145" customFormat="1" ht="13.5" thickTop="1">
      <c r="A15" s="1821"/>
      <c r="B15" s="2134"/>
      <c r="C15" s="2141">
        <v>4115</v>
      </c>
      <c r="D15" s="2142" t="s">
        <v>195</v>
      </c>
      <c r="E15" s="2125"/>
      <c r="F15" s="2143"/>
      <c r="G15" s="2143"/>
      <c r="H15" s="2516">
        <f t="shared" si="0"/>
        <v>10</v>
      </c>
      <c r="I15" s="2517"/>
      <c r="J15" s="2518">
        <v>10</v>
      </c>
      <c r="K15" s="2144"/>
    </row>
    <row r="16" spans="1:11" s="2145" customFormat="1" ht="12.75">
      <c r="A16" s="1821"/>
      <c r="B16" s="2134"/>
      <c r="C16" s="2519">
        <v>4125</v>
      </c>
      <c r="D16" s="2520" t="s">
        <v>196</v>
      </c>
      <c r="E16" s="2137"/>
      <c r="F16" s="2521"/>
      <c r="G16" s="2521"/>
      <c r="H16" s="2522">
        <f t="shared" si="0"/>
        <v>10</v>
      </c>
      <c r="I16" s="2523"/>
      <c r="J16" s="2524">
        <v>10</v>
      </c>
      <c r="K16" s="2144"/>
    </row>
    <row r="17" spans="1:11" s="2145" customFormat="1" ht="12.75">
      <c r="A17" s="1821"/>
      <c r="B17" s="2134"/>
      <c r="C17" s="2519">
        <v>4175</v>
      </c>
      <c r="D17" s="2525" t="s">
        <v>728</v>
      </c>
      <c r="E17" s="2137"/>
      <c r="F17" s="2521"/>
      <c r="G17" s="2521"/>
      <c r="H17" s="2522">
        <f t="shared" si="0"/>
        <v>100</v>
      </c>
      <c r="I17" s="2523"/>
      <c r="J17" s="2524">
        <v>100</v>
      </c>
      <c r="K17" s="2144"/>
    </row>
    <row r="18" spans="1:11" s="2145" customFormat="1" ht="12.75">
      <c r="A18" s="1821"/>
      <c r="B18" s="2134"/>
      <c r="C18" s="2141">
        <v>4305</v>
      </c>
      <c r="D18" s="2526" t="s">
        <v>725</v>
      </c>
      <c r="E18" s="2125"/>
      <c r="F18" s="2143"/>
      <c r="G18" s="2143"/>
      <c r="H18" s="2522">
        <f t="shared" si="0"/>
        <v>86700</v>
      </c>
      <c r="I18" s="2517"/>
      <c r="J18" s="2518">
        <v>86700</v>
      </c>
      <c r="K18" s="2527"/>
    </row>
    <row r="19" spans="1:11" s="2145" customFormat="1" ht="12.75">
      <c r="A19" s="1821"/>
      <c r="B19" s="2134"/>
      <c r="C19" s="2528">
        <v>4307</v>
      </c>
      <c r="D19" s="2526" t="s">
        <v>725</v>
      </c>
      <c r="E19" s="2131"/>
      <c r="F19" s="2149"/>
      <c r="G19" s="2149"/>
      <c r="H19" s="2529">
        <f t="shared" si="0"/>
        <v>39380</v>
      </c>
      <c r="I19" s="2530"/>
      <c r="J19" s="2531">
        <v>39380</v>
      </c>
      <c r="K19" s="2527"/>
    </row>
    <row r="20" spans="1:11" s="2145" customFormat="1" ht="13.5" thickBot="1">
      <c r="A20" s="1821"/>
      <c r="B20" s="2134"/>
      <c r="C20" s="2532">
        <v>4425</v>
      </c>
      <c r="D20" s="2533" t="s">
        <v>197</v>
      </c>
      <c r="E20" s="2534"/>
      <c r="F20" s="2535"/>
      <c r="G20" s="2535"/>
      <c r="H20" s="2529">
        <f t="shared" si="0"/>
        <v>5200</v>
      </c>
      <c r="I20" s="2536"/>
      <c r="J20" s="2537">
        <v>5200</v>
      </c>
      <c r="K20" s="2144"/>
    </row>
    <row r="21" spans="1:11" s="2104" customFormat="1" ht="30" thickBot="1" thickTop="1">
      <c r="A21" s="1187">
        <v>801</v>
      </c>
      <c r="B21" s="1387">
        <v>80195</v>
      </c>
      <c r="C21" s="2085"/>
      <c r="D21" s="2538" t="s">
        <v>784</v>
      </c>
      <c r="E21" s="2539"/>
      <c r="F21" s="1387">
        <v>2007</v>
      </c>
      <c r="G21" s="1387">
        <v>2008</v>
      </c>
      <c r="H21" s="2088">
        <f>I21+J21</f>
        <v>176880</v>
      </c>
      <c r="I21" s="2121"/>
      <c r="J21" s="2089">
        <f>SUM(J22:J29)</f>
        <v>176880</v>
      </c>
      <c r="K21" s="2103"/>
    </row>
    <row r="22" spans="1:11" s="2109" customFormat="1" ht="15.75" thickTop="1">
      <c r="A22" s="2105"/>
      <c r="B22" s="1839"/>
      <c r="C22" s="2094">
        <v>4217</v>
      </c>
      <c r="D22" s="2540" t="s">
        <v>724</v>
      </c>
      <c r="E22" s="2541"/>
      <c r="F22" s="2096"/>
      <c r="G22" s="2096"/>
      <c r="H22" s="2542">
        <f>I22+J22</f>
        <v>29246</v>
      </c>
      <c r="I22" s="2543"/>
      <c r="J22" s="2098">
        <v>29246</v>
      </c>
      <c r="K22" s="2108"/>
    </row>
    <row r="23" spans="1:11" s="2109" customFormat="1" ht="25.5">
      <c r="A23" s="2105"/>
      <c r="B23" s="1839"/>
      <c r="C23" s="2094">
        <v>4247</v>
      </c>
      <c r="D23" s="2142" t="s">
        <v>729</v>
      </c>
      <c r="E23" s="2541"/>
      <c r="F23" s="2096"/>
      <c r="G23" s="2096"/>
      <c r="H23" s="2097">
        <f>I23+J23</f>
        <v>7000</v>
      </c>
      <c r="I23" s="2543"/>
      <c r="J23" s="2098">
        <v>7000</v>
      </c>
      <c r="K23" s="2108"/>
    </row>
    <row r="24" spans="1:11" s="2109" customFormat="1" ht="15">
      <c r="A24" s="2105"/>
      <c r="B24" s="1839"/>
      <c r="C24" s="2094">
        <v>4307</v>
      </c>
      <c r="D24" s="2142" t="s">
        <v>725</v>
      </c>
      <c r="E24" s="2541"/>
      <c r="F24" s="2096"/>
      <c r="G24" s="2096"/>
      <c r="H24" s="2097">
        <f aca="true" t="shared" si="1" ref="H24:H29">I24+J24</f>
        <v>39524</v>
      </c>
      <c r="I24" s="2543"/>
      <c r="J24" s="2098">
        <v>39524</v>
      </c>
      <c r="K24" s="2108"/>
    </row>
    <row r="25" spans="1:11" s="2109" customFormat="1" ht="15">
      <c r="A25" s="2105"/>
      <c r="B25" s="1839"/>
      <c r="C25" s="2094">
        <v>4410</v>
      </c>
      <c r="D25" s="2352" t="s">
        <v>732</v>
      </c>
      <c r="E25" s="2541"/>
      <c r="F25" s="2096"/>
      <c r="G25" s="2096"/>
      <c r="H25" s="2097">
        <f t="shared" si="1"/>
        <v>6500</v>
      </c>
      <c r="I25" s="2543"/>
      <c r="J25" s="2098">
        <v>6500</v>
      </c>
      <c r="K25" s="2108"/>
    </row>
    <row r="26" spans="1:11" s="2109" customFormat="1" ht="15">
      <c r="A26" s="2105"/>
      <c r="B26" s="1839"/>
      <c r="C26" s="2094">
        <v>4427</v>
      </c>
      <c r="D26" s="2352" t="s">
        <v>197</v>
      </c>
      <c r="E26" s="2541"/>
      <c r="F26" s="2096"/>
      <c r="G26" s="2096"/>
      <c r="H26" s="2097">
        <f t="shared" si="1"/>
        <v>83940</v>
      </c>
      <c r="I26" s="2543"/>
      <c r="J26" s="2098">
        <v>83940</v>
      </c>
      <c r="K26" s="2108"/>
    </row>
    <row r="27" spans="1:11" s="2109" customFormat="1" ht="15">
      <c r="A27" s="2105"/>
      <c r="B27" s="1839"/>
      <c r="C27" s="2094">
        <v>4437</v>
      </c>
      <c r="D27" s="2544" t="s">
        <v>733</v>
      </c>
      <c r="E27" s="2541"/>
      <c r="F27" s="2096"/>
      <c r="G27" s="2096"/>
      <c r="H27" s="2097">
        <f t="shared" si="1"/>
        <v>7370</v>
      </c>
      <c r="I27" s="2543"/>
      <c r="J27" s="2098">
        <v>7370</v>
      </c>
      <c r="K27" s="2108"/>
    </row>
    <row r="28" spans="1:11" s="2109" customFormat="1" ht="25.5">
      <c r="A28" s="2105"/>
      <c r="B28" s="1839"/>
      <c r="C28" s="2094">
        <v>4747</v>
      </c>
      <c r="D28" s="2142" t="s">
        <v>785</v>
      </c>
      <c r="E28" s="2541"/>
      <c r="F28" s="2096"/>
      <c r="G28" s="2096"/>
      <c r="H28" s="2097">
        <f t="shared" si="1"/>
        <v>2500</v>
      </c>
      <c r="I28" s="2543"/>
      <c r="J28" s="2098">
        <v>2500</v>
      </c>
      <c r="K28" s="2108"/>
    </row>
    <row r="29" spans="1:11" s="2109" customFormat="1" ht="26.25" thickBot="1">
      <c r="A29" s="2105"/>
      <c r="B29" s="1839"/>
      <c r="C29" s="2094">
        <v>4757</v>
      </c>
      <c r="D29" s="2142" t="s">
        <v>786</v>
      </c>
      <c r="E29" s="2541"/>
      <c r="F29" s="2096"/>
      <c r="G29" s="2096"/>
      <c r="H29" s="2097">
        <f t="shared" si="1"/>
        <v>800</v>
      </c>
      <c r="I29" s="2543"/>
      <c r="J29" s="2098">
        <v>800</v>
      </c>
      <c r="K29" s="2108"/>
    </row>
    <row r="30" spans="1:11" s="2123" customFormat="1" ht="55.5" customHeight="1" thickBot="1" thickTop="1">
      <c r="A30" s="2118">
        <v>853</v>
      </c>
      <c r="B30" s="1330">
        <v>85395</v>
      </c>
      <c r="C30" s="2119"/>
      <c r="D30" s="2120" t="s">
        <v>198</v>
      </c>
      <c r="E30" s="2086" t="s">
        <v>199</v>
      </c>
      <c r="F30" s="1330"/>
      <c r="G30" s="1330"/>
      <c r="H30" s="2088">
        <f t="shared" si="0"/>
        <v>942284</v>
      </c>
      <c r="I30" s="2121"/>
      <c r="J30" s="2089">
        <f>SUM(J31:J59)</f>
        <v>942284</v>
      </c>
      <c r="K30" s="2122"/>
    </row>
    <row r="31" spans="1:11" s="2123" customFormat="1" ht="13.5" thickTop="1">
      <c r="A31" s="1835"/>
      <c r="B31" s="2124"/>
      <c r="C31" s="2545">
        <v>3119</v>
      </c>
      <c r="D31" s="2546" t="s">
        <v>2</v>
      </c>
      <c r="E31" s="2125"/>
      <c r="F31" s="2126"/>
      <c r="G31" s="2126"/>
      <c r="H31" s="2547">
        <f t="shared" si="0"/>
        <v>94232</v>
      </c>
      <c r="I31" s="2548"/>
      <c r="J31" s="2518">
        <v>94232</v>
      </c>
      <c r="K31" s="2122"/>
    </row>
    <row r="32" spans="1:11" s="2123" customFormat="1" ht="12.75">
      <c r="A32" s="2127"/>
      <c r="B32" s="2128"/>
      <c r="C32" s="2549">
        <v>4018</v>
      </c>
      <c r="D32" s="2550" t="s">
        <v>710</v>
      </c>
      <c r="E32" s="2131"/>
      <c r="F32" s="2132"/>
      <c r="G32" s="2132"/>
      <c r="H32" s="2551">
        <f t="shared" si="0"/>
        <v>196690</v>
      </c>
      <c r="I32" s="2552"/>
      <c r="J32" s="2531">
        <v>196690</v>
      </c>
      <c r="K32" s="2122"/>
    </row>
    <row r="33" spans="1:11" s="2123" customFormat="1" ht="12.75">
      <c r="A33" s="2133"/>
      <c r="B33" s="2134"/>
      <c r="C33" s="2553">
        <v>4019</v>
      </c>
      <c r="D33" s="2554" t="s">
        <v>710</v>
      </c>
      <c r="E33" s="2137"/>
      <c r="F33" s="2138"/>
      <c r="G33" s="2138"/>
      <c r="H33" s="2522">
        <f t="shared" si="0"/>
        <v>11580</v>
      </c>
      <c r="I33" s="2555"/>
      <c r="J33" s="2524">
        <v>11580</v>
      </c>
      <c r="K33" s="2122"/>
    </row>
    <row r="34" spans="1:11" s="2123" customFormat="1" ht="12.75">
      <c r="A34" s="2133"/>
      <c r="B34" s="2134"/>
      <c r="C34" s="2556" t="s">
        <v>200</v>
      </c>
      <c r="D34" s="2352" t="s">
        <v>714</v>
      </c>
      <c r="E34" s="2137"/>
      <c r="F34" s="2138"/>
      <c r="G34" s="2138"/>
      <c r="H34" s="2522">
        <f t="shared" si="0"/>
        <v>38649</v>
      </c>
      <c r="I34" s="2555"/>
      <c r="J34" s="2524">
        <v>38649</v>
      </c>
      <c r="K34" s="2122"/>
    </row>
    <row r="35" spans="1:11" s="2123" customFormat="1" ht="12.75">
      <c r="A35" s="2133"/>
      <c r="B35" s="2134"/>
      <c r="C35" s="2556" t="s">
        <v>201</v>
      </c>
      <c r="D35" s="2352" t="s">
        <v>714</v>
      </c>
      <c r="E35" s="2125"/>
      <c r="F35" s="2126"/>
      <c r="G35" s="2126"/>
      <c r="H35" s="2547">
        <f t="shared" si="0"/>
        <v>2275</v>
      </c>
      <c r="I35" s="2548"/>
      <c r="J35" s="2518">
        <v>2275</v>
      </c>
      <c r="K35" s="2122"/>
    </row>
    <row r="36" spans="1:11" s="2123" customFormat="1" ht="12.75">
      <c r="A36" s="2133"/>
      <c r="B36" s="2134"/>
      <c r="C36" s="2556" t="s">
        <v>202</v>
      </c>
      <c r="D36" s="2352" t="s">
        <v>203</v>
      </c>
      <c r="E36" s="2125"/>
      <c r="F36" s="2126"/>
      <c r="G36" s="2126"/>
      <c r="H36" s="2547">
        <f t="shared" si="0"/>
        <v>5911</v>
      </c>
      <c r="I36" s="2548"/>
      <c r="J36" s="2518">
        <v>5911</v>
      </c>
      <c r="K36" s="2122"/>
    </row>
    <row r="37" spans="1:11" s="2123" customFormat="1" ht="12.75">
      <c r="A37" s="2133"/>
      <c r="B37" s="2134"/>
      <c r="C37" s="2556" t="s">
        <v>204</v>
      </c>
      <c r="D37" s="2352" t="s">
        <v>203</v>
      </c>
      <c r="E37" s="2125"/>
      <c r="F37" s="2126"/>
      <c r="G37" s="2126"/>
      <c r="H37" s="2547">
        <f t="shared" si="0"/>
        <v>348</v>
      </c>
      <c r="I37" s="2548"/>
      <c r="J37" s="2518">
        <v>348</v>
      </c>
      <c r="K37" s="2122"/>
    </row>
    <row r="38" spans="1:11" s="2123" customFormat="1" ht="12.75">
      <c r="A38" s="2133"/>
      <c r="B38" s="2134"/>
      <c r="C38" s="2556" t="s">
        <v>205</v>
      </c>
      <c r="D38" s="2352" t="s">
        <v>728</v>
      </c>
      <c r="E38" s="2125"/>
      <c r="F38" s="2126"/>
      <c r="G38" s="2126"/>
      <c r="H38" s="2547">
        <f t="shared" si="0"/>
        <v>58364</v>
      </c>
      <c r="I38" s="2548"/>
      <c r="J38" s="2518">
        <v>58364</v>
      </c>
      <c r="K38" s="2122"/>
    </row>
    <row r="39" spans="1:11" s="2123" customFormat="1" ht="12.75">
      <c r="A39" s="2133"/>
      <c r="B39" s="2134"/>
      <c r="C39" s="2556" t="s">
        <v>206</v>
      </c>
      <c r="D39" s="2352" t="s">
        <v>728</v>
      </c>
      <c r="E39" s="2125"/>
      <c r="F39" s="2126"/>
      <c r="G39" s="2126"/>
      <c r="H39" s="2547">
        <f t="shared" si="0"/>
        <v>3436</v>
      </c>
      <c r="I39" s="2548"/>
      <c r="J39" s="2518">
        <v>3436</v>
      </c>
      <c r="K39" s="2122"/>
    </row>
    <row r="40" spans="1:11" s="2123" customFormat="1" ht="12.75">
      <c r="A40" s="2133"/>
      <c r="B40" s="2134"/>
      <c r="C40" s="2556" t="s">
        <v>207</v>
      </c>
      <c r="D40" s="2352" t="s">
        <v>724</v>
      </c>
      <c r="E40" s="2125"/>
      <c r="F40" s="2126"/>
      <c r="G40" s="2126"/>
      <c r="H40" s="2547">
        <f t="shared" si="0"/>
        <v>133164</v>
      </c>
      <c r="I40" s="2548"/>
      <c r="J40" s="2518">
        <v>133164</v>
      </c>
      <c r="K40" s="2122"/>
    </row>
    <row r="41" spans="1:11" s="2123" customFormat="1" ht="12.75">
      <c r="A41" s="2133"/>
      <c r="B41" s="2134"/>
      <c r="C41" s="2556" t="s">
        <v>208</v>
      </c>
      <c r="D41" s="2352" t="s">
        <v>724</v>
      </c>
      <c r="E41" s="2125"/>
      <c r="F41" s="2126"/>
      <c r="G41" s="2126"/>
      <c r="H41" s="2547">
        <f t="shared" si="0"/>
        <v>7840</v>
      </c>
      <c r="I41" s="2548"/>
      <c r="J41" s="2518">
        <v>7840</v>
      </c>
      <c r="K41" s="2122"/>
    </row>
    <row r="42" spans="1:11" s="2123" customFormat="1" ht="12.75">
      <c r="A42" s="2133"/>
      <c r="B42" s="2134"/>
      <c r="C42" s="2141">
        <v>4288</v>
      </c>
      <c r="D42" s="2142" t="s">
        <v>0</v>
      </c>
      <c r="E42" s="2125"/>
      <c r="F42" s="2126"/>
      <c r="G42" s="2126"/>
      <c r="H42" s="2547">
        <f t="shared" si="0"/>
        <v>9444</v>
      </c>
      <c r="I42" s="2548"/>
      <c r="J42" s="2518">
        <v>9444</v>
      </c>
      <c r="K42" s="2122"/>
    </row>
    <row r="43" spans="1:11" s="2123" customFormat="1" ht="12.75">
      <c r="A43" s="2133"/>
      <c r="B43" s="2134"/>
      <c r="C43" s="2141">
        <v>4289</v>
      </c>
      <c r="D43" s="2142" t="s">
        <v>0</v>
      </c>
      <c r="E43" s="2125"/>
      <c r="F43" s="2126"/>
      <c r="G43" s="2126"/>
      <c r="H43" s="2547">
        <f t="shared" si="0"/>
        <v>556</v>
      </c>
      <c r="I43" s="2548"/>
      <c r="J43" s="2518">
        <v>556</v>
      </c>
      <c r="K43" s="2122"/>
    </row>
    <row r="44" spans="1:11" s="2123" customFormat="1" ht="12.75">
      <c r="A44" s="2133"/>
      <c r="B44" s="2134"/>
      <c r="C44" s="2556" t="s">
        <v>209</v>
      </c>
      <c r="D44" s="2352" t="s">
        <v>725</v>
      </c>
      <c r="E44" s="2125"/>
      <c r="F44" s="2126"/>
      <c r="G44" s="2126"/>
      <c r="H44" s="2547">
        <f t="shared" si="0"/>
        <v>306141</v>
      </c>
      <c r="I44" s="2548"/>
      <c r="J44" s="2518">
        <v>306141</v>
      </c>
      <c r="K44" s="2122"/>
    </row>
    <row r="45" spans="1:11" s="2123" customFormat="1" ht="12.75">
      <c r="A45" s="2133"/>
      <c r="B45" s="2134"/>
      <c r="C45" s="2556" t="s">
        <v>210</v>
      </c>
      <c r="D45" s="2352" t="s">
        <v>725</v>
      </c>
      <c r="E45" s="2125"/>
      <c r="F45" s="2126"/>
      <c r="G45" s="2126"/>
      <c r="H45" s="2547">
        <f t="shared" si="0"/>
        <v>18024</v>
      </c>
      <c r="I45" s="2548"/>
      <c r="J45" s="2518">
        <v>18024</v>
      </c>
      <c r="K45" s="2122"/>
    </row>
    <row r="46" spans="1:11" s="2123" customFormat="1" ht="12.75">
      <c r="A46" s="2133"/>
      <c r="B46" s="2134"/>
      <c r="C46" s="2556" t="s">
        <v>211</v>
      </c>
      <c r="D46" s="2352" t="s">
        <v>1</v>
      </c>
      <c r="E46" s="2125"/>
      <c r="F46" s="2126"/>
      <c r="G46" s="2126"/>
      <c r="H46" s="2547">
        <f t="shared" si="0"/>
        <v>2125</v>
      </c>
      <c r="I46" s="2548"/>
      <c r="J46" s="2518">
        <v>2125</v>
      </c>
      <c r="K46" s="2122"/>
    </row>
    <row r="47" spans="1:11" s="2123" customFormat="1" ht="12.75">
      <c r="A47" s="2133"/>
      <c r="B47" s="2134"/>
      <c r="C47" s="2556" t="s">
        <v>212</v>
      </c>
      <c r="D47" s="2352" t="s">
        <v>1</v>
      </c>
      <c r="E47" s="2125"/>
      <c r="F47" s="2126"/>
      <c r="G47" s="2126"/>
      <c r="H47" s="2547">
        <f t="shared" si="0"/>
        <v>125</v>
      </c>
      <c r="I47" s="2548"/>
      <c r="J47" s="2518">
        <v>125</v>
      </c>
      <c r="K47" s="2122"/>
    </row>
    <row r="48" spans="1:11" s="2123" customFormat="1" ht="25.5">
      <c r="A48" s="2133"/>
      <c r="B48" s="2134"/>
      <c r="C48" s="2556" t="s">
        <v>213</v>
      </c>
      <c r="D48" s="2352" t="s">
        <v>214</v>
      </c>
      <c r="E48" s="2125"/>
      <c r="F48" s="2126"/>
      <c r="G48" s="2126"/>
      <c r="H48" s="2547">
        <f t="shared" si="0"/>
        <v>2361</v>
      </c>
      <c r="I48" s="2548"/>
      <c r="J48" s="2518">
        <v>2361</v>
      </c>
      <c r="K48" s="2122"/>
    </row>
    <row r="49" spans="1:11" s="2123" customFormat="1" ht="25.5">
      <c r="A49" s="2133"/>
      <c r="B49" s="2134"/>
      <c r="C49" s="2556" t="s">
        <v>215</v>
      </c>
      <c r="D49" s="2352" t="s">
        <v>214</v>
      </c>
      <c r="E49" s="2125"/>
      <c r="F49" s="2126"/>
      <c r="G49" s="2126"/>
      <c r="H49" s="2547">
        <f t="shared" si="0"/>
        <v>139</v>
      </c>
      <c r="I49" s="2548"/>
      <c r="J49" s="2518">
        <v>139</v>
      </c>
      <c r="K49" s="2122"/>
    </row>
    <row r="50" spans="1:11" s="2123" customFormat="1" ht="25.5">
      <c r="A50" s="2133"/>
      <c r="B50" s="2134"/>
      <c r="C50" s="2556" t="s">
        <v>216</v>
      </c>
      <c r="D50" s="2352" t="s">
        <v>217</v>
      </c>
      <c r="E50" s="2125"/>
      <c r="F50" s="2126"/>
      <c r="G50" s="2126"/>
      <c r="H50" s="2547">
        <f t="shared" si="0"/>
        <v>1889</v>
      </c>
      <c r="I50" s="2548"/>
      <c r="J50" s="2518">
        <v>1889</v>
      </c>
      <c r="K50" s="2122"/>
    </row>
    <row r="51" spans="1:11" s="2123" customFormat="1" ht="25.5">
      <c r="A51" s="2133"/>
      <c r="B51" s="2134"/>
      <c r="C51" s="2556" t="s">
        <v>218</v>
      </c>
      <c r="D51" s="2352" t="s">
        <v>217</v>
      </c>
      <c r="E51" s="2125"/>
      <c r="F51" s="2126"/>
      <c r="G51" s="2126"/>
      <c r="H51" s="2547">
        <f t="shared" si="0"/>
        <v>111</v>
      </c>
      <c r="I51" s="2548"/>
      <c r="J51" s="2518">
        <v>111</v>
      </c>
      <c r="K51" s="2122"/>
    </row>
    <row r="52" spans="1:11" s="2123" customFormat="1" ht="12.75">
      <c r="A52" s="2133"/>
      <c r="B52" s="2134"/>
      <c r="C52" s="2556" t="s">
        <v>219</v>
      </c>
      <c r="D52" s="2352" t="s">
        <v>732</v>
      </c>
      <c r="E52" s="2125"/>
      <c r="F52" s="2126"/>
      <c r="G52" s="2126"/>
      <c r="H52" s="2547">
        <f t="shared" si="0"/>
        <v>8500</v>
      </c>
      <c r="I52" s="2548"/>
      <c r="J52" s="2518">
        <v>8500</v>
      </c>
      <c r="K52" s="2122"/>
    </row>
    <row r="53" spans="1:11" s="2145" customFormat="1" ht="12.75">
      <c r="A53" s="1821"/>
      <c r="B53" s="2134"/>
      <c r="C53" s="2556" t="s">
        <v>220</v>
      </c>
      <c r="D53" s="2352" t="s">
        <v>732</v>
      </c>
      <c r="E53" s="2125"/>
      <c r="F53" s="2143"/>
      <c r="G53" s="2143"/>
      <c r="H53" s="2547">
        <f t="shared" si="0"/>
        <v>500</v>
      </c>
      <c r="I53" s="2517"/>
      <c r="J53" s="2518">
        <v>500</v>
      </c>
      <c r="K53" s="2144"/>
    </row>
    <row r="54" spans="1:11" s="2145" customFormat="1" ht="12.75">
      <c r="A54" s="1821"/>
      <c r="B54" s="2134"/>
      <c r="C54" s="2141">
        <v>4438</v>
      </c>
      <c r="D54" s="2142" t="s">
        <v>733</v>
      </c>
      <c r="E54" s="2125"/>
      <c r="F54" s="2143"/>
      <c r="G54" s="2143"/>
      <c r="H54" s="2547">
        <f t="shared" si="0"/>
        <v>6139</v>
      </c>
      <c r="I54" s="2517"/>
      <c r="J54" s="2518">
        <v>6139</v>
      </c>
      <c r="K54" s="2144"/>
    </row>
    <row r="55" spans="1:11" s="2145" customFormat="1" ht="12.75">
      <c r="A55" s="1821"/>
      <c r="B55" s="2134"/>
      <c r="C55" s="2141">
        <v>4439</v>
      </c>
      <c r="D55" s="2142" t="s">
        <v>733</v>
      </c>
      <c r="E55" s="2125"/>
      <c r="F55" s="2143"/>
      <c r="G55" s="2143"/>
      <c r="H55" s="2547">
        <f t="shared" si="0"/>
        <v>361</v>
      </c>
      <c r="I55" s="2517"/>
      <c r="J55" s="2518">
        <v>361</v>
      </c>
      <c r="K55" s="2144"/>
    </row>
    <row r="56" spans="1:11" s="2145" customFormat="1" ht="25.5">
      <c r="A56" s="1821"/>
      <c r="B56" s="2134"/>
      <c r="C56" s="2557" t="s">
        <v>221</v>
      </c>
      <c r="D56" s="2558" t="s">
        <v>736</v>
      </c>
      <c r="E56" s="2125"/>
      <c r="F56" s="2143"/>
      <c r="G56" s="2143"/>
      <c r="H56" s="2547">
        <f t="shared" si="0"/>
        <v>18888</v>
      </c>
      <c r="I56" s="2517"/>
      <c r="J56" s="2518">
        <v>18888</v>
      </c>
      <c r="K56" s="2144"/>
    </row>
    <row r="57" spans="1:11" s="2145" customFormat="1" ht="25.5">
      <c r="A57" s="1821"/>
      <c r="B57" s="2134"/>
      <c r="C57" s="2556" t="s">
        <v>222</v>
      </c>
      <c r="D57" s="2559" t="s">
        <v>736</v>
      </c>
      <c r="E57" s="2125"/>
      <c r="F57" s="2143"/>
      <c r="G57" s="2143"/>
      <c r="H57" s="2547">
        <f t="shared" si="0"/>
        <v>1112</v>
      </c>
      <c r="I57" s="2517"/>
      <c r="J57" s="2518">
        <v>1112</v>
      </c>
      <c r="K57" s="2144"/>
    </row>
    <row r="58" spans="1:11" s="2145" customFormat="1" ht="25.5">
      <c r="A58" s="1821"/>
      <c r="B58" s="2134"/>
      <c r="C58" s="2556" t="s">
        <v>223</v>
      </c>
      <c r="D58" s="2559" t="s">
        <v>224</v>
      </c>
      <c r="E58" s="2125"/>
      <c r="F58" s="2143"/>
      <c r="G58" s="2143"/>
      <c r="H58" s="2547">
        <f t="shared" si="0"/>
        <v>12636</v>
      </c>
      <c r="I58" s="2517"/>
      <c r="J58" s="2518">
        <v>12636</v>
      </c>
      <c r="K58" s="2144"/>
    </row>
    <row r="59" spans="1:11" s="2145" customFormat="1" ht="26.25" thickBot="1">
      <c r="A59" s="1821"/>
      <c r="B59" s="2134"/>
      <c r="C59" s="2560" t="s">
        <v>225</v>
      </c>
      <c r="D59" s="2561" t="s">
        <v>224</v>
      </c>
      <c r="E59" s="2131"/>
      <c r="F59" s="2149"/>
      <c r="G59" s="2149"/>
      <c r="H59" s="2551">
        <f t="shared" si="0"/>
        <v>744</v>
      </c>
      <c r="I59" s="2551"/>
      <c r="J59" s="2531">
        <v>744</v>
      </c>
      <c r="K59" s="2144"/>
    </row>
    <row r="60" spans="1:11" s="2104" customFormat="1" ht="52.5" thickBot="1" thickTop="1">
      <c r="A60" s="1807">
        <v>853</v>
      </c>
      <c r="B60" s="2150">
        <v>85395</v>
      </c>
      <c r="C60" s="1840"/>
      <c r="D60" s="2151" t="s">
        <v>226</v>
      </c>
      <c r="E60" s="2086" t="s">
        <v>199</v>
      </c>
      <c r="F60" s="2087">
        <v>2008</v>
      </c>
      <c r="G60" s="2087">
        <v>2009</v>
      </c>
      <c r="H60" s="2102">
        <f>I60+J60</f>
        <v>611982</v>
      </c>
      <c r="I60" s="2102">
        <f>SUM(I61:I78)</f>
        <v>35259</v>
      </c>
      <c r="J60" s="2089">
        <f>SUM(J61:J78)</f>
        <v>576723</v>
      </c>
      <c r="K60" s="2103"/>
    </row>
    <row r="61" spans="1:11" s="2104" customFormat="1" ht="39" thickTop="1">
      <c r="A61" s="2361"/>
      <c r="B61" s="2350"/>
      <c r="C61" s="2351">
        <v>2338</v>
      </c>
      <c r="D61" s="2352" t="s">
        <v>45</v>
      </c>
      <c r="E61" s="1808"/>
      <c r="F61" s="2353"/>
      <c r="G61" s="2353"/>
      <c r="H61" s="2354"/>
      <c r="I61" s="2354"/>
      <c r="J61" s="2355">
        <v>9578</v>
      </c>
      <c r="K61" s="2103"/>
    </row>
    <row r="62" spans="1:11" s="2104" customFormat="1" ht="38.25">
      <c r="A62" s="2361"/>
      <c r="B62" s="1837"/>
      <c r="C62" s="2351">
        <v>2339</v>
      </c>
      <c r="D62" s="2352" t="s">
        <v>45</v>
      </c>
      <c r="E62" s="2356"/>
      <c r="F62" s="2113"/>
      <c r="G62" s="2113"/>
      <c r="H62" s="2357"/>
      <c r="I62" s="2357"/>
      <c r="J62" s="2115">
        <v>129</v>
      </c>
      <c r="K62" s="2103"/>
    </row>
    <row r="63" spans="1:11" s="2104" customFormat="1" ht="63.75">
      <c r="A63" s="2361"/>
      <c r="B63" s="1837"/>
      <c r="C63" s="2351">
        <v>2678</v>
      </c>
      <c r="D63" s="2352" t="s">
        <v>42</v>
      </c>
      <c r="E63" s="2356"/>
      <c r="F63" s="2113"/>
      <c r="G63" s="2113"/>
      <c r="H63" s="2357"/>
      <c r="I63" s="2357"/>
      <c r="J63" s="2115">
        <v>3494</v>
      </c>
      <c r="K63" s="2103"/>
    </row>
    <row r="64" spans="1:11" s="2104" customFormat="1" ht="63.75">
      <c r="A64" s="2361"/>
      <c r="B64" s="1837"/>
      <c r="C64" s="2351">
        <v>2679</v>
      </c>
      <c r="D64" s="2352" t="s">
        <v>42</v>
      </c>
      <c r="E64" s="2356"/>
      <c r="F64" s="2113"/>
      <c r="G64" s="2113"/>
      <c r="H64" s="2357"/>
      <c r="I64" s="2357"/>
      <c r="J64" s="2115">
        <v>7</v>
      </c>
      <c r="K64" s="2103"/>
    </row>
    <row r="65" spans="1:11" s="2104" customFormat="1" ht="15.75">
      <c r="A65" s="2361"/>
      <c r="B65" s="1837"/>
      <c r="C65" s="2129">
        <v>4018</v>
      </c>
      <c r="D65" s="2130" t="s">
        <v>710</v>
      </c>
      <c r="E65" s="2356"/>
      <c r="F65" s="2113"/>
      <c r="G65" s="2113"/>
      <c r="H65" s="2357"/>
      <c r="I65" s="2357"/>
      <c r="J65" s="2115">
        <v>15099</v>
      </c>
      <c r="K65" s="2103"/>
    </row>
    <row r="66" spans="1:11" s="2104" customFormat="1" ht="15.75">
      <c r="A66" s="2361"/>
      <c r="B66" s="1837"/>
      <c r="C66" s="2135">
        <v>4019</v>
      </c>
      <c r="D66" s="2136" t="s">
        <v>710</v>
      </c>
      <c r="E66" s="2356"/>
      <c r="F66" s="2113"/>
      <c r="G66" s="2113"/>
      <c r="H66" s="2357"/>
      <c r="I66" s="2357"/>
      <c r="J66" s="2115">
        <v>203</v>
      </c>
      <c r="K66" s="2103"/>
    </row>
    <row r="67" spans="1:11" s="2104" customFormat="1" ht="15.75">
      <c r="A67" s="2361"/>
      <c r="B67" s="1837"/>
      <c r="C67" s="2139" t="s">
        <v>200</v>
      </c>
      <c r="D67" s="2140" t="s">
        <v>714</v>
      </c>
      <c r="E67" s="2356"/>
      <c r="F67" s="2113"/>
      <c r="G67" s="2113"/>
      <c r="H67" s="2357"/>
      <c r="I67" s="2357"/>
      <c r="J67" s="2115">
        <v>10464</v>
      </c>
      <c r="K67" s="2103"/>
    </row>
    <row r="68" spans="1:11" s="2104" customFormat="1" ht="15.75">
      <c r="A68" s="2361"/>
      <c r="B68" s="1837"/>
      <c r="C68" s="2139" t="s">
        <v>201</v>
      </c>
      <c r="D68" s="2140" t="s">
        <v>714</v>
      </c>
      <c r="E68" s="2356"/>
      <c r="F68" s="2113"/>
      <c r="G68" s="2113"/>
      <c r="H68" s="2357"/>
      <c r="I68" s="2357"/>
      <c r="J68" s="2115">
        <v>8650</v>
      </c>
      <c r="K68" s="2103"/>
    </row>
    <row r="69" spans="1:11" s="2104" customFormat="1" ht="15.75">
      <c r="A69" s="2361"/>
      <c r="B69" s="1837"/>
      <c r="C69" s="2139" t="s">
        <v>202</v>
      </c>
      <c r="D69" s="2140" t="s">
        <v>203</v>
      </c>
      <c r="E69" s="2356"/>
      <c r="F69" s="2113"/>
      <c r="G69" s="2113"/>
      <c r="H69" s="2357"/>
      <c r="I69" s="2357"/>
      <c r="J69" s="2115">
        <v>1654</v>
      </c>
      <c r="K69" s="2103"/>
    </row>
    <row r="70" spans="1:11" s="2104" customFormat="1" ht="15.75">
      <c r="A70" s="2361"/>
      <c r="B70" s="1837"/>
      <c r="C70" s="2139" t="s">
        <v>204</v>
      </c>
      <c r="D70" s="2140" t="s">
        <v>203</v>
      </c>
      <c r="E70" s="2356"/>
      <c r="F70" s="2113"/>
      <c r="G70" s="2113"/>
      <c r="H70" s="2357"/>
      <c r="I70" s="2357"/>
      <c r="J70" s="2115">
        <v>1391</v>
      </c>
      <c r="K70" s="2103"/>
    </row>
    <row r="71" spans="1:11" s="2104" customFormat="1" ht="15.75">
      <c r="A71" s="2361"/>
      <c r="B71" s="1837"/>
      <c r="C71" s="2139" t="s">
        <v>205</v>
      </c>
      <c r="D71" s="2140" t="s">
        <v>728</v>
      </c>
      <c r="E71" s="2356"/>
      <c r="F71" s="2113"/>
      <c r="G71" s="2113"/>
      <c r="H71" s="2357"/>
      <c r="I71" s="2357"/>
      <c r="J71" s="2115">
        <v>71740</v>
      </c>
      <c r="K71" s="2103"/>
    </row>
    <row r="72" spans="1:11" s="2104" customFormat="1" ht="15.75">
      <c r="A72" s="2361"/>
      <c r="B72" s="1837"/>
      <c r="C72" s="2139" t="s">
        <v>206</v>
      </c>
      <c r="D72" s="2140" t="s">
        <v>728</v>
      </c>
      <c r="E72" s="2356"/>
      <c r="F72" s="2113"/>
      <c r="G72" s="2113"/>
      <c r="H72" s="2357"/>
      <c r="I72" s="2357"/>
      <c r="J72" s="2115">
        <v>56883</v>
      </c>
      <c r="K72" s="2103"/>
    </row>
    <row r="73" spans="1:11" s="2104" customFormat="1" ht="15.75">
      <c r="A73" s="2361"/>
      <c r="B73" s="1837"/>
      <c r="C73" s="2139" t="s">
        <v>207</v>
      </c>
      <c r="D73" s="2140" t="s">
        <v>724</v>
      </c>
      <c r="E73" s="2356"/>
      <c r="F73" s="2113"/>
      <c r="G73" s="2113"/>
      <c r="H73" s="2357"/>
      <c r="I73" s="2357"/>
      <c r="J73" s="2115">
        <v>35427</v>
      </c>
      <c r="K73" s="2103"/>
    </row>
    <row r="74" spans="1:11" s="2104" customFormat="1" ht="15.75">
      <c r="A74" s="2361"/>
      <c r="B74" s="1837"/>
      <c r="C74" s="2139" t="s">
        <v>208</v>
      </c>
      <c r="D74" s="2140" t="s">
        <v>724</v>
      </c>
      <c r="E74" s="2356"/>
      <c r="F74" s="2113"/>
      <c r="G74" s="2113"/>
      <c r="H74" s="2357"/>
      <c r="I74" s="2357"/>
      <c r="J74" s="2115">
        <v>10131</v>
      </c>
      <c r="K74" s="2103"/>
    </row>
    <row r="75" spans="1:11" s="2109" customFormat="1" ht="15">
      <c r="A75" s="2105"/>
      <c r="B75" s="1839"/>
      <c r="C75" s="2106">
        <v>4308</v>
      </c>
      <c r="D75" s="2107" t="s">
        <v>725</v>
      </c>
      <c r="E75" s="2112"/>
      <c r="F75" s="2113"/>
      <c r="G75" s="2113"/>
      <c r="H75" s="2114">
        <f>I75+J75</f>
        <v>349320</v>
      </c>
      <c r="I75" s="2114"/>
      <c r="J75" s="2115">
        <f>337578-135729+147471</f>
        <v>349320</v>
      </c>
      <c r="K75" s="2108"/>
    </row>
    <row r="76" spans="1:11" s="2109" customFormat="1" ht="15">
      <c r="A76" s="2105"/>
      <c r="B76" s="1839"/>
      <c r="C76" s="2110">
        <v>4309</v>
      </c>
      <c r="D76" s="2111" t="s">
        <v>725</v>
      </c>
      <c r="E76" s="2112"/>
      <c r="F76" s="2113"/>
      <c r="G76" s="2113"/>
      <c r="H76" s="2114">
        <f>I76+J76</f>
        <v>37237</v>
      </c>
      <c r="I76" s="2114">
        <v>35259</v>
      </c>
      <c r="J76" s="2115">
        <f>59573-59573+1978</f>
        <v>1978</v>
      </c>
      <c r="K76" s="2108"/>
    </row>
    <row r="77" spans="1:11" s="2109" customFormat="1" ht="45">
      <c r="A77" s="2105"/>
      <c r="B77" s="1839"/>
      <c r="C77" s="2146" t="s">
        <v>221</v>
      </c>
      <c r="D77" s="2147" t="s">
        <v>736</v>
      </c>
      <c r="E77" s="2112"/>
      <c r="F77" s="2113"/>
      <c r="G77" s="2113"/>
      <c r="H77" s="2114"/>
      <c r="I77" s="2114"/>
      <c r="J77" s="2115">
        <v>488</v>
      </c>
      <c r="K77" s="2108"/>
    </row>
    <row r="78" spans="1:11" s="2109" customFormat="1" ht="45.75" thickBot="1">
      <c r="A78" s="2105"/>
      <c r="B78" s="1839"/>
      <c r="C78" s="2139" t="s">
        <v>222</v>
      </c>
      <c r="D78" s="2148" t="s">
        <v>736</v>
      </c>
      <c r="E78" s="2358"/>
      <c r="F78" s="2359"/>
      <c r="G78" s="2359"/>
      <c r="H78" s="2117"/>
      <c r="I78" s="2117"/>
      <c r="J78" s="2360">
        <v>87</v>
      </c>
      <c r="K78" s="2108"/>
    </row>
    <row r="79" spans="1:11" s="2104" customFormat="1" ht="30" thickBot="1" thickTop="1">
      <c r="A79" s="1187">
        <v>900</v>
      </c>
      <c r="B79" s="1387">
        <v>90095</v>
      </c>
      <c r="C79" s="2085"/>
      <c r="D79" s="2151" t="s">
        <v>227</v>
      </c>
      <c r="E79" s="2085" t="s">
        <v>228</v>
      </c>
      <c r="F79" s="2087">
        <v>2006</v>
      </c>
      <c r="G79" s="2087">
        <v>2010</v>
      </c>
      <c r="H79" s="2102">
        <f>I79+J79</f>
        <v>100000</v>
      </c>
      <c r="I79" s="2102">
        <f>SUM(I80:I90)</f>
        <v>4200</v>
      </c>
      <c r="J79" s="2089">
        <f>SUM(J80:J90)</f>
        <v>95800</v>
      </c>
      <c r="K79" s="2103">
        <f>J79/H79*100</f>
        <v>95.8</v>
      </c>
    </row>
    <row r="80" spans="1:11" s="2109" customFormat="1" ht="15.75" thickTop="1">
      <c r="A80" s="1336"/>
      <c r="B80" s="2152"/>
      <c r="C80" s="2106">
        <v>4178</v>
      </c>
      <c r="D80" s="2153" t="s">
        <v>728</v>
      </c>
      <c r="E80" s="2106"/>
      <c r="F80" s="2154"/>
      <c r="G80" s="2154"/>
      <c r="H80" s="2155"/>
      <c r="I80" s="1428"/>
      <c r="J80" s="1203">
        <v>10000</v>
      </c>
      <c r="K80" s="2156"/>
    </row>
    <row r="81" spans="1:11" s="2109" customFormat="1" ht="15">
      <c r="A81" s="1336"/>
      <c r="B81" s="2152"/>
      <c r="C81" s="2110">
        <v>4210</v>
      </c>
      <c r="D81" s="2157" t="s">
        <v>724</v>
      </c>
      <c r="E81" s="2110"/>
      <c r="F81" s="2158"/>
      <c r="G81" s="2158"/>
      <c r="H81" s="2159"/>
      <c r="I81" s="1430">
        <v>100</v>
      </c>
      <c r="J81" s="2160"/>
      <c r="K81" s="2156"/>
    </row>
    <row r="82" spans="1:11" s="2109" customFormat="1" ht="15">
      <c r="A82" s="1336"/>
      <c r="B82" s="2152"/>
      <c r="C82" s="2110">
        <v>4218</v>
      </c>
      <c r="D82" s="2157" t="s">
        <v>724</v>
      </c>
      <c r="E82" s="2110"/>
      <c r="F82" s="2158"/>
      <c r="G82" s="2158"/>
      <c r="H82" s="2159"/>
      <c r="I82" s="1430"/>
      <c r="J82" s="2160">
        <v>3000</v>
      </c>
      <c r="K82" s="2156"/>
    </row>
    <row r="83" spans="1:11" s="2109" customFormat="1" ht="15">
      <c r="A83" s="1336"/>
      <c r="B83" s="2152"/>
      <c r="C83" s="2110">
        <v>4219</v>
      </c>
      <c r="D83" s="2161" t="s">
        <v>229</v>
      </c>
      <c r="E83" s="2110"/>
      <c r="F83" s="2158"/>
      <c r="G83" s="2158"/>
      <c r="H83" s="2159"/>
      <c r="I83" s="1430">
        <v>700</v>
      </c>
      <c r="J83" s="2160"/>
      <c r="K83" s="2156"/>
    </row>
    <row r="84" spans="1:11" s="2109" customFormat="1" ht="15">
      <c r="A84" s="1336"/>
      <c r="B84" s="2152"/>
      <c r="C84" s="2110">
        <v>4308</v>
      </c>
      <c r="D84" s="2111" t="s">
        <v>725</v>
      </c>
      <c r="E84" s="2110"/>
      <c r="F84" s="2158"/>
      <c r="G84" s="2158"/>
      <c r="H84" s="2159"/>
      <c r="I84" s="1430"/>
      <c r="J84" s="2160">
        <v>10000</v>
      </c>
      <c r="K84" s="2156"/>
    </row>
    <row r="85" spans="1:11" s="2109" customFormat="1" ht="15">
      <c r="A85" s="1336"/>
      <c r="B85" s="2152"/>
      <c r="C85" s="2110">
        <v>4309</v>
      </c>
      <c r="D85" s="2111" t="s">
        <v>725</v>
      </c>
      <c r="E85" s="2110"/>
      <c r="F85" s="2158"/>
      <c r="G85" s="2158"/>
      <c r="H85" s="2159"/>
      <c r="I85" s="1430">
        <v>2200</v>
      </c>
      <c r="J85" s="2160"/>
      <c r="K85" s="2156"/>
    </row>
    <row r="86" spans="1:11" s="2109" customFormat="1" ht="15">
      <c r="A86" s="1336"/>
      <c r="B86" s="2152"/>
      <c r="C86" s="2110">
        <v>4388</v>
      </c>
      <c r="D86" s="2157" t="s">
        <v>230</v>
      </c>
      <c r="E86" s="2110"/>
      <c r="F86" s="2158"/>
      <c r="G86" s="2158"/>
      <c r="H86" s="2159"/>
      <c r="I86" s="1430"/>
      <c r="J86" s="2160">
        <v>2800</v>
      </c>
      <c r="K86" s="2156"/>
    </row>
    <row r="87" spans="1:11" s="2109" customFormat="1" ht="30">
      <c r="A87" s="2162"/>
      <c r="B87" s="2163"/>
      <c r="C87" s="2110">
        <v>4398</v>
      </c>
      <c r="D87" s="2157" t="s">
        <v>731</v>
      </c>
      <c r="E87" s="2110"/>
      <c r="F87" s="2158"/>
      <c r="G87" s="2158"/>
      <c r="H87" s="2159"/>
      <c r="I87" s="1430"/>
      <c r="J87" s="2160">
        <v>60000</v>
      </c>
      <c r="K87" s="2156"/>
    </row>
    <row r="88" spans="1:11" s="2109" customFormat="1" ht="30">
      <c r="A88" s="2164"/>
      <c r="B88" s="2165"/>
      <c r="C88" s="2106">
        <v>4399</v>
      </c>
      <c r="D88" s="2153" t="s">
        <v>731</v>
      </c>
      <c r="E88" s="2106"/>
      <c r="F88" s="2154"/>
      <c r="G88" s="2154"/>
      <c r="H88" s="2155"/>
      <c r="I88" s="1428">
        <v>800</v>
      </c>
      <c r="J88" s="1203"/>
      <c r="K88" s="2156"/>
    </row>
    <row r="89" spans="1:11" s="2109" customFormat="1" ht="15">
      <c r="A89" s="2105"/>
      <c r="B89" s="1839"/>
      <c r="C89" s="2110">
        <v>4420</v>
      </c>
      <c r="D89" s="2157" t="s">
        <v>197</v>
      </c>
      <c r="E89" s="2110"/>
      <c r="F89" s="2158"/>
      <c r="G89" s="2158"/>
      <c r="H89" s="2159"/>
      <c r="I89" s="1430">
        <f>500-100</f>
        <v>400</v>
      </c>
      <c r="J89" s="2160"/>
      <c r="K89" s="2156"/>
    </row>
    <row r="90" spans="1:11" s="2109" customFormat="1" ht="15.75" thickBot="1">
      <c r="A90" s="2166"/>
      <c r="B90" s="2167"/>
      <c r="C90" s="2116">
        <v>4428</v>
      </c>
      <c r="D90" s="2157" t="s">
        <v>197</v>
      </c>
      <c r="E90" s="2116"/>
      <c r="F90" s="2168"/>
      <c r="G90" s="2168"/>
      <c r="H90" s="2169"/>
      <c r="I90" s="1432"/>
      <c r="J90" s="2170">
        <v>10000</v>
      </c>
      <c r="K90" s="2156"/>
    </row>
    <row r="91" spans="1:10" s="2104" customFormat="1" ht="58.5" thickBot="1" thickTop="1">
      <c r="A91" s="2171">
        <v>921</v>
      </c>
      <c r="B91" s="2172">
        <v>92106</v>
      </c>
      <c r="C91" s="2086" t="s">
        <v>231</v>
      </c>
      <c r="D91" s="2173" t="s">
        <v>232</v>
      </c>
      <c r="E91" s="2085" t="s">
        <v>233</v>
      </c>
      <c r="F91" s="2174">
        <v>2005</v>
      </c>
      <c r="G91" s="2174">
        <v>2009</v>
      </c>
      <c r="H91" s="2175">
        <f>I91+J91</f>
        <v>500000</v>
      </c>
      <c r="I91" s="2175">
        <f>SUM(I92:I92)</f>
        <v>500000</v>
      </c>
      <c r="J91" s="2176"/>
    </row>
    <row r="92" spans="1:10" s="2123" customFormat="1" ht="31.5" thickBot="1" thickTop="1">
      <c r="A92" s="2177"/>
      <c r="B92" s="2178"/>
      <c r="C92" s="2094">
        <v>6050</v>
      </c>
      <c r="D92" s="2153" t="s">
        <v>737</v>
      </c>
      <c r="E92" s="2179"/>
      <c r="F92" s="2180"/>
      <c r="G92" s="2180"/>
      <c r="H92" s="2181"/>
      <c r="I92" s="2182">
        <v>500000</v>
      </c>
      <c r="J92" s="2183"/>
    </row>
    <row r="93" spans="1:42" s="2188" customFormat="1" ht="16.5" thickBot="1" thickTop="1">
      <c r="A93" s="2184"/>
      <c r="B93" s="2185"/>
      <c r="C93" s="2186"/>
      <c r="D93" s="1373" t="s">
        <v>242</v>
      </c>
      <c r="E93" s="1373"/>
      <c r="F93" s="1373"/>
      <c r="G93" s="1373"/>
      <c r="H93" s="1374">
        <f>I93+J93</f>
        <v>12462546</v>
      </c>
      <c r="I93" s="1374">
        <f>I91+I79+I60+I30+I21+I14+I12</f>
        <v>5539459</v>
      </c>
      <c r="J93" s="1192">
        <f>J91+J79+J60+J30+J21+J14+J12</f>
        <v>6923087</v>
      </c>
      <c r="K93" s="2187"/>
      <c r="L93" s="2187"/>
      <c r="M93" s="2187"/>
      <c r="N93" s="2187"/>
      <c r="O93" s="2187"/>
      <c r="P93" s="2187"/>
      <c r="Q93" s="2187"/>
      <c r="R93" s="2187"/>
      <c r="S93" s="2187"/>
      <c r="T93" s="2187"/>
      <c r="U93" s="2187"/>
      <c r="V93" s="2187"/>
      <c r="W93" s="2187"/>
      <c r="X93" s="2187"/>
      <c r="Y93" s="2187"/>
      <c r="Z93" s="2187"/>
      <c r="AA93" s="2187"/>
      <c r="AB93" s="2187"/>
      <c r="AC93" s="2187"/>
      <c r="AD93" s="2187"/>
      <c r="AE93" s="2187"/>
      <c r="AF93" s="2187"/>
      <c r="AG93" s="2187"/>
      <c r="AH93" s="2187"/>
      <c r="AI93" s="2187"/>
      <c r="AJ93" s="2187"/>
      <c r="AK93" s="2187"/>
      <c r="AL93" s="2187"/>
      <c r="AM93" s="2187"/>
      <c r="AN93" s="2187"/>
      <c r="AO93" s="2187"/>
      <c r="AP93" s="2187"/>
    </row>
    <row r="94" spans="3:10" s="1260" customFormat="1" ht="13.5" thickTop="1">
      <c r="C94" s="2189"/>
      <c r="D94" s="1150"/>
      <c r="E94" s="1150"/>
      <c r="F94" s="1150"/>
      <c r="G94" s="1150"/>
      <c r="H94" s="1068"/>
      <c r="I94" s="1068"/>
      <c r="J94" s="1068"/>
    </row>
    <row r="95" spans="1:10" s="1260" customFormat="1" ht="12.75">
      <c r="A95" s="102" t="s">
        <v>787</v>
      </c>
      <c r="C95" s="2189"/>
      <c r="D95" s="1150"/>
      <c r="E95" s="1150"/>
      <c r="F95" s="1150"/>
      <c r="G95" s="1150"/>
      <c r="H95" s="2190"/>
      <c r="I95" s="1068"/>
      <c r="J95" s="1068"/>
    </row>
    <row r="96" ht="12.75">
      <c r="A96" s="102" t="s">
        <v>297</v>
      </c>
    </row>
    <row r="97" ht="12.75">
      <c r="A97" s="102" t="s">
        <v>780</v>
      </c>
    </row>
  </sheetData>
  <mergeCells count="2">
    <mergeCell ref="F9:G9"/>
    <mergeCell ref="I9:J9"/>
  </mergeCells>
  <printOptions horizontalCentered="1"/>
  <pageMargins left="0.21" right="0.21" top="0.6" bottom="0.56" header="0.27" footer="0.5118110236220472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34">
      <selection activeCell="A56" sqref="A56"/>
    </sheetView>
  </sheetViews>
  <sheetFormatPr defaultColWidth="9.00390625" defaultRowHeight="12.75"/>
  <cols>
    <col min="1" max="1" width="3.75390625" style="343" customWidth="1"/>
    <col min="2" max="2" width="37.00390625" style="107" customWidth="1"/>
    <col min="3" max="3" width="13.75390625" style="107" customWidth="1"/>
    <col min="4" max="4" width="5.00390625" style="108" hidden="1" customWidth="1"/>
    <col min="5" max="5" width="0.12890625" style="107" hidden="1" customWidth="1"/>
    <col min="6" max="6" width="5.75390625" style="109" customWidth="1"/>
    <col min="7" max="7" width="14.25390625" style="107" customWidth="1"/>
    <col min="8" max="8" width="6.25390625" style="108" hidden="1" customWidth="1"/>
    <col min="9" max="9" width="4.125" style="108" hidden="1" customWidth="1"/>
    <col min="10" max="10" width="4.875" style="119" customWidth="1"/>
    <col min="11" max="11" width="7.875" style="107" hidden="1" customWidth="1"/>
    <col min="12" max="12" width="11.75390625" style="107" customWidth="1"/>
    <col min="13" max="13" width="0.2421875" style="108" hidden="1" customWidth="1"/>
    <col min="14" max="14" width="5.875" style="112" hidden="1" customWidth="1"/>
    <col min="15" max="15" width="4.75390625" style="109" customWidth="1"/>
    <col min="16" max="16384" width="10.00390625" style="107" customWidth="1"/>
  </cols>
  <sheetData>
    <row r="1" spans="1:11" ht="13.5" customHeight="1">
      <c r="A1" s="105"/>
      <c r="B1" s="106"/>
      <c r="G1" s="103" t="s">
        <v>298</v>
      </c>
      <c r="J1" s="103"/>
      <c r="K1" s="111"/>
    </row>
    <row r="2" spans="1:11" ht="12" customHeight="1">
      <c r="A2" s="113"/>
      <c r="B2" s="111"/>
      <c r="G2" s="473" t="s">
        <v>15</v>
      </c>
      <c r="J2" s="4"/>
      <c r="K2" s="111"/>
    </row>
    <row r="3" spans="1:15" ht="10.5" customHeight="1">
      <c r="A3" s="113"/>
      <c r="B3" s="111"/>
      <c r="G3" s="4" t="s">
        <v>16</v>
      </c>
      <c r="H3" s="114"/>
      <c r="I3" s="114"/>
      <c r="J3" s="4"/>
      <c r="K3" s="115"/>
      <c r="L3" s="116"/>
      <c r="M3" s="114"/>
      <c r="N3" s="117"/>
      <c r="O3" s="118"/>
    </row>
    <row r="4" spans="1:11" ht="6.75" customHeight="1">
      <c r="A4" s="113"/>
      <c r="B4" s="111"/>
      <c r="G4" s="118"/>
      <c r="K4" s="111"/>
    </row>
    <row r="5" spans="1:15" s="130" customFormat="1" ht="24" customHeight="1">
      <c r="A5" s="120" t="s">
        <v>300</v>
      </c>
      <c r="B5" s="121"/>
      <c r="C5" s="121"/>
      <c r="D5" s="122"/>
      <c r="E5" s="121"/>
      <c r="F5" s="123"/>
      <c r="G5" s="121"/>
      <c r="H5" s="122"/>
      <c r="I5" s="122"/>
      <c r="J5" s="124"/>
      <c r="K5" s="125"/>
      <c r="L5" s="126"/>
      <c r="M5" s="127"/>
      <c r="N5" s="128"/>
      <c r="O5" s="129"/>
    </row>
    <row r="6" spans="1:15" ht="14.25" customHeight="1">
      <c r="A6" s="131" t="s">
        <v>301</v>
      </c>
      <c r="C6" s="132"/>
      <c r="D6" s="133"/>
      <c r="E6" s="134"/>
      <c r="F6" s="135"/>
      <c r="G6" s="132"/>
      <c r="H6" s="136"/>
      <c r="I6" s="136"/>
      <c r="J6" s="137"/>
      <c r="K6" s="138"/>
      <c r="L6" s="138" t="s">
        <v>237</v>
      </c>
      <c r="M6" s="139"/>
      <c r="N6" s="140"/>
      <c r="O6" s="141"/>
    </row>
    <row r="7" spans="1:15" ht="14.25" customHeight="1" thickBot="1">
      <c r="A7" s="481" t="s">
        <v>777</v>
      </c>
      <c r="C7" s="132"/>
      <c r="D7" s="133"/>
      <c r="E7" s="134"/>
      <c r="F7" s="135"/>
      <c r="G7" s="132"/>
      <c r="H7" s="136"/>
      <c r="I7" s="136"/>
      <c r="J7" s="137"/>
      <c r="K7" s="138"/>
      <c r="L7" s="138"/>
      <c r="M7" s="139"/>
      <c r="N7" s="140"/>
      <c r="O7" s="141"/>
    </row>
    <row r="8" spans="1:15" s="156" customFormat="1" ht="16.5" customHeight="1" thickBot="1" thickTop="1">
      <c r="A8" s="142"/>
      <c r="B8" s="143"/>
      <c r="C8" s="144" t="s">
        <v>242</v>
      </c>
      <c r="D8" s="145"/>
      <c r="E8" s="146"/>
      <c r="F8" s="147"/>
      <c r="G8" s="148" t="s">
        <v>302</v>
      </c>
      <c r="H8" s="149"/>
      <c r="I8" s="150"/>
      <c r="J8" s="151"/>
      <c r="K8" s="152" t="s">
        <v>303</v>
      </c>
      <c r="L8" s="152" t="s">
        <v>303</v>
      </c>
      <c r="M8" s="153"/>
      <c r="N8" s="154"/>
      <c r="O8" s="155"/>
    </row>
    <row r="9" spans="1:15" s="170" customFormat="1" ht="24.75" customHeight="1" thickBot="1" thickTop="1">
      <c r="A9" s="157" t="s">
        <v>304</v>
      </c>
      <c r="B9" s="158" t="s">
        <v>239</v>
      </c>
      <c r="C9" s="159" t="s">
        <v>17</v>
      </c>
      <c r="D9" s="160" t="s">
        <v>305</v>
      </c>
      <c r="E9" s="161" t="s">
        <v>306</v>
      </c>
      <c r="F9" s="162" t="s">
        <v>307</v>
      </c>
      <c r="G9" s="163" t="s">
        <v>17</v>
      </c>
      <c r="H9" s="164" t="s">
        <v>308</v>
      </c>
      <c r="I9" s="165" t="s">
        <v>309</v>
      </c>
      <c r="J9" s="166" t="s">
        <v>307</v>
      </c>
      <c r="K9" s="167" t="s">
        <v>310</v>
      </c>
      <c r="L9" s="163" t="s">
        <v>17</v>
      </c>
      <c r="M9" s="168" t="s">
        <v>311</v>
      </c>
      <c r="N9" s="165" t="s">
        <v>309</v>
      </c>
      <c r="O9" s="169" t="s">
        <v>307</v>
      </c>
    </row>
    <row r="10" spans="1:15" s="2200" customFormat="1" ht="10.5" customHeight="1" thickBot="1" thickTop="1">
      <c r="A10" s="2191">
        <v>1</v>
      </c>
      <c r="B10" s="2192">
        <v>2</v>
      </c>
      <c r="C10" s="2193">
        <v>3</v>
      </c>
      <c r="D10" s="2193">
        <v>5</v>
      </c>
      <c r="E10" s="2194">
        <v>6</v>
      </c>
      <c r="F10" s="2195">
        <v>4</v>
      </c>
      <c r="G10" s="2196">
        <v>5</v>
      </c>
      <c r="H10" s="2194">
        <v>9</v>
      </c>
      <c r="I10" s="2197">
        <v>9</v>
      </c>
      <c r="J10" s="2198">
        <v>6</v>
      </c>
      <c r="K10" s="2196">
        <v>11</v>
      </c>
      <c r="L10" s="2193">
        <v>7</v>
      </c>
      <c r="M10" s="2199">
        <v>12</v>
      </c>
      <c r="N10" s="2197">
        <v>13</v>
      </c>
      <c r="O10" s="2198">
        <v>8</v>
      </c>
    </row>
    <row r="11" spans="1:17" s="182" customFormat="1" ht="15" customHeight="1" thickTop="1">
      <c r="A11" s="171" t="s">
        <v>312</v>
      </c>
      <c r="B11" s="172" t="s">
        <v>313</v>
      </c>
      <c r="C11" s="173">
        <f aca="true" t="shared" si="0" ref="C11:C53">G11+L11</f>
        <v>201452338</v>
      </c>
      <c r="D11" s="174"/>
      <c r="E11" s="175"/>
      <c r="F11" s="178">
        <f>J11+O11</f>
        <v>57.44180974826754</v>
      </c>
      <c r="G11" s="173">
        <f>SUM(G12:G13)</f>
        <v>173520847</v>
      </c>
      <c r="H11" s="176"/>
      <c r="I11" s="177" t="e">
        <f>G11/#REF!*100</f>
        <v>#REF!</v>
      </c>
      <c r="J11" s="178">
        <f>G11/C51*100</f>
        <v>49.47746737360894</v>
      </c>
      <c r="K11" s="179" t="e">
        <f>K14+K19+K23+#REF!</f>
        <v>#REF!</v>
      </c>
      <c r="L11" s="173">
        <f>L14+L19+L23+L31+L34</f>
        <v>27931491</v>
      </c>
      <c r="M11" s="180"/>
      <c r="N11" s="181" t="e">
        <f>L11/K11*100</f>
        <v>#REF!</v>
      </c>
      <c r="O11" s="178">
        <f>L11/$C$51*100</f>
        <v>7.9643423746585995</v>
      </c>
      <c r="Q11" s="2201"/>
    </row>
    <row r="12" spans="1:15" s="2201" customFormat="1" ht="12" customHeight="1">
      <c r="A12" s="2202"/>
      <c r="B12" s="311" t="s">
        <v>314</v>
      </c>
      <c r="C12" s="321">
        <f>C14+C19+C24+C31+C34</f>
        <v>181452338</v>
      </c>
      <c r="D12" s="2203"/>
      <c r="E12" s="2204"/>
      <c r="F12" s="320"/>
      <c r="G12" s="321">
        <f>G14+G19+G24+G31+G34-G35</f>
        <v>153520847</v>
      </c>
      <c r="H12" s="2205"/>
      <c r="I12" s="2206"/>
      <c r="J12" s="320"/>
      <c r="K12" s="2207"/>
      <c r="L12" s="321">
        <f>L14+L19+L24+L31+L34-L35</f>
        <v>27925291</v>
      </c>
      <c r="M12" s="2208"/>
      <c r="N12" s="269"/>
      <c r="O12" s="199"/>
    </row>
    <row r="13" spans="1:15" s="2209" customFormat="1" ht="14.25" customHeight="1" thickBot="1">
      <c r="A13" s="2202"/>
      <c r="B13" s="311" t="s">
        <v>315</v>
      </c>
      <c r="C13" s="321">
        <f>C26+C28</f>
        <v>20000000</v>
      </c>
      <c r="D13" s="2203"/>
      <c r="E13" s="2204"/>
      <c r="F13" s="320"/>
      <c r="G13" s="321">
        <f>G26+G28+G35</f>
        <v>20000000</v>
      </c>
      <c r="H13" s="2205"/>
      <c r="I13" s="2206"/>
      <c r="J13" s="320"/>
      <c r="K13" s="2207"/>
      <c r="L13" s="321">
        <f>L35</f>
        <v>6200</v>
      </c>
      <c r="M13" s="2208"/>
      <c r="N13" s="269"/>
      <c r="O13" s="199"/>
    </row>
    <row r="14" spans="1:16" s="193" customFormat="1" ht="18" customHeight="1" thickTop="1">
      <c r="A14" s="183" t="s">
        <v>316</v>
      </c>
      <c r="B14" s="2210" t="s">
        <v>317</v>
      </c>
      <c r="C14" s="184">
        <f t="shared" si="0"/>
        <v>41443189</v>
      </c>
      <c r="D14" s="185"/>
      <c r="E14" s="186"/>
      <c r="F14" s="187">
        <f>J14+O14</f>
        <v>11.8170471563328</v>
      </c>
      <c r="G14" s="184">
        <f>SUM(G15:G18)</f>
        <v>41443189</v>
      </c>
      <c r="H14" s="188"/>
      <c r="I14" s="189" t="e">
        <f>G14/#REF!*100</f>
        <v>#REF!</v>
      </c>
      <c r="J14" s="187">
        <f>G14/$C$51*100</f>
        <v>11.8170471563328</v>
      </c>
      <c r="K14" s="190">
        <f>SUM(K15:K18)</f>
        <v>0</v>
      </c>
      <c r="L14" s="191"/>
      <c r="M14" s="192"/>
      <c r="N14" s="189"/>
      <c r="O14" s="187"/>
      <c r="P14" s="1638"/>
    </row>
    <row r="15" spans="1:15" s="202" customFormat="1" ht="15" customHeight="1">
      <c r="A15" s="194">
        <v>1</v>
      </c>
      <c r="B15" s="195" t="s">
        <v>318</v>
      </c>
      <c r="C15" s="196">
        <f t="shared" si="0"/>
        <v>37628206</v>
      </c>
      <c r="D15" s="197"/>
      <c r="E15" s="198"/>
      <c r="F15" s="199"/>
      <c r="G15" s="200">
        <v>37628206</v>
      </c>
      <c r="H15" s="197"/>
      <c r="I15" s="197" t="e">
        <f>G15/#REF!*100</f>
        <v>#REF!</v>
      </c>
      <c r="J15" s="199"/>
      <c r="K15" s="198"/>
      <c r="L15" s="200"/>
      <c r="M15" s="197"/>
      <c r="N15" s="197"/>
      <c r="O15" s="201"/>
    </row>
    <row r="16" spans="1:15" s="202" customFormat="1" ht="15" customHeight="1">
      <c r="A16" s="194">
        <v>2</v>
      </c>
      <c r="B16" s="195" t="s">
        <v>319</v>
      </c>
      <c r="C16" s="196">
        <f t="shared" si="0"/>
        <v>771433</v>
      </c>
      <c r="D16" s="197"/>
      <c r="E16" s="198"/>
      <c r="F16" s="199"/>
      <c r="G16" s="200">
        <v>771433</v>
      </c>
      <c r="H16" s="197"/>
      <c r="I16" s="197" t="e">
        <f>G16/#REF!*100</f>
        <v>#REF!</v>
      </c>
      <c r="J16" s="199"/>
      <c r="K16" s="198"/>
      <c r="L16" s="200"/>
      <c r="M16" s="197"/>
      <c r="N16" s="197"/>
      <c r="O16" s="201"/>
    </row>
    <row r="17" spans="1:15" s="202" customFormat="1" ht="15" customHeight="1">
      <c r="A17" s="194">
        <v>3</v>
      </c>
      <c r="B17" s="195" t="s">
        <v>320</v>
      </c>
      <c r="C17" s="196">
        <f t="shared" si="0"/>
        <v>2243550</v>
      </c>
      <c r="D17" s="197"/>
      <c r="E17" s="198"/>
      <c r="F17" s="199"/>
      <c r="G17" s="200">
        <v>2243550</v>
      </c>
      <c r="H17" s="197"/>
      <c r="I17" s="197" t="e">
        <f>G17/#REF!*100</f>
        <v>#REF!</v>
      </c>
      <c r="J17" s="199"/>
      <c r="K17" s="198"/>
      <c r="L17" s="200"/>
      <c r="M17" s="197"/>
      <c r="N17" s="197"/>
      <c r="O17" s="201"/>
    </row>
    <row r="18" spans="1:15" s="202" customFormat="1" ht="15" customHeight="1">
      <c r="A18" s="194">
        <v>4</v>
      </c>
      <c r="B18" s="195" t="s">
        <v>321</v>
      </c>
      <c r="C18" s="196">
        <f t="shared" si="0"/>
        <v>800000</v>
      </c>
      <c r="D18" s="197"/>
      <c r="E18" s="198"/>
      <c r="F18" s="199"/>
      <c r="G18" s="200">
        <v>800000</v>
      </c>
      <c r="H18" s="197"/>
      <c r="I18" s="197" t="e">
        <f>G18/#REF!*100</f>
        <v>#REF!</v>
      </c>
      <c r="J18" s="199"/>
      <c r="K18" s="198"/>
      <c r="L18" s="200"/>
      <c r="M18" s="197"/>
      <c r="N18" s="197"/>
      <c r="O18" s="201"/>
    </row>
    <row r="19" spans="1:15" s="193" customFormat="1" ht="21.75" customHeight="1">
      <c r="A19" s="205" t="s">
        <v>322</v>
      </c>
      <c r="B19" s="2211" t="s">
        <v>323</v>
      </c>
      <c r="C19" s="206">
        <f>G19+L19</f>
        <v>7710000</v>
      </c>
      <c r="D19" s="207"/>
      <c r="E19" s="208"/>
      <c r="F19" s="209">
        <f>J19+O19</f>
        <v>2.1984175391359453</v>
      </c>
      <c r="G19" s="206">
        <f>SUM(G20:G22)</f>
        <v>7710000</v>
      </c>
      <c r="H19" s="210"/>
      <c r="I19" s="211" t="e">
        <f>G19/#REF!*100</f>
        <v>#REF!</v>
      </c>
      <c r="J19" s="209">
        <f>G19/$C$51*100</f>
        <v>2.1984175391359453</v>
      </c>
      <c r="K19" s="212">
        <f>SUM(K20:K21)</f>
        <v>0</v>
      </c>
      <c r="L19" s="213"/>
      <c r="M19" s="214"/>
      <c r="N19" s="215"/>
      <c r="O19" s="216"/>
    </row>
    <row r="20" spans="1:15" s="202" customFormat="1" ht="12.75" customHeight="1">
      <c r="A20" s="194">
        <v>1</v>
      </c>
      <c r="B20" s="195" t="s">
        <v>324</v>
      </c>
      <c r="C20" s="217">
        <f t="shared" si="0"/>
        <v>460000</v>
      </c>
      <c r="D20" s="218"/>
      <c r="E20" s="219"/>
      <c r="F20" s="199"/>
      <c r="G20" s="217">
        <v>460000</v>
      </c>
      <c r="H20" s="220"/>
      <c r="I20" s="221" t="e">
        <f>G20/#REF!*100</f>
        <v>#REF!</v>
      </c>
      <c r="J20" s="199"/>
      <c r="K20" s="222"/>
      <c r="L20" s="223"/>
      <c r="M20" s="224"/>
      <c r="N20" s="221"/>
      <c r="O20" s="201"/>
    </row>
    <row r="21" spans="1:15" s="202" customFormat="1" ht="12.75" customHeight="1">
      <c r="A21" s="194">
        <v>2</v>
      </c>
      <c r="B21" s="195" t="s">
        <v>325</v>
      </c>
      <c r="C21" s="217">
        <f t="shared" si="0"/>
        <v>450000</v>
      </c>
      <c r="D21" s="218"/>
      <c r="E21" s="219"/>
      <c r="F21" s="199"/>
      <c r="G21" s="217">
        <v>450000</v>
      </c>
      <c r="H21" s="220"/>
      <c r="I21" s="221" t="e">
        <f>G21/#REF!*100</f>
        <v>#REF!</v>
      </c>
      <c r="J21" s="199"/>
      <c r="K21" s="222"/>
      <c r="L21" s="223"/>
      <c r="M21" s="224"/>
      <c r="N21" s="221"/>
      <c r="O21" s="201"/>
    </row>
    <row r="22" spans="1:15" s="202" customFormat="1" ht="15" customHeight="1">
      <c r="A22" s="194">
        <v>3</v>
      </c>
      <c r="B22" s="195" t="s">
        <v>326</v>
      </c>
      <c r="C22" s="217">
        <f t="shared" si="0"/>
        <v>6800000</v>
      </c>
      <c r="D22" s="218"/>
      <c r="E22" s="219"/>
      <c r="F22" s="199"/>
      <c r="G22" s="217">
        <v>6800000</v>
      </c>
      <c r="H22" s="220"/>
      <c r="I22" s="221"/>
      <c r="J22" s="199"/>
      <c r="K22" s="222"/>
      <c r="L22" s="223"/>
      <c r="M22" s="224"/>
      <c r="N22" s="221"/>
      <c r="O22" s="201"/>
    </row>
    <row r="23" spans="1:15" s="235" customFormat="1" ht="16.5" customHeight="1">
      <c r="A23" s="225" t="s">
        <v>327</v>
      </c>
      <c r="B23" s="2212" t="s">
        <v>328</v>
      </c>
      <c r="C23" s="226">
        <f>G23+L23</f>
        <v>27065000</v>
      </c>
      <c r="D23" s="227"/>
      <c r="E23" s="228"/>
      <c r="F23" s="229">
        <f>J23+O23</f>
        <v>7.717272463905883</v>
      </c>
      <c r="G23" s="226">
        <f>SUM(G26:G30)</f>
        <v>27065000</v>
      </c>
      <c r="H23" s="230"/>
      <c r="I23" s="231" t="e">
        <f>G23/#REF!*100</f>
        <v>#REF!</v>
      </c>
      <c r="J23" s="229">
        <f>G23/$C$51*100</f>
        <v>7.717272463905883</v>
      </c>
      <c r="K23" s="232">
        <f>SUM(K26:K30)</f>
        <v>1000</v>
      </c>
      <c r="L23" s="233"/>
      <c r="M23" s="234"/>
      <c r="N23" s="231">
        <f>L23/K23*100</f>
        <v>0</v>
      </c>
      <c r="O23" s="229"/>
    </row>
    <row r="24" spans="1:15" s="326" customFormat="1" ht="11.25" customHeight="1">
      <c r="A24" s="194"/>
      <c r="B24" s="2213" t="s">
        <v>18</v>
      </c>
      <c r="C24" s="321">
        <f>C27+C29+C30</f>
        <v>7065000</v>
      </c>
      <c r="D24" s="2214"/>
      <c r="E24" s="2215"/>
      <c r="F24" s="199"/>
      <c r="G24" s="321">
        <f>G27+G29+G30</f>
        <v>7065000</v>
      </c>
      <c r="H24" s="2216"/>
      <c r="I24" s="2217"/>
      <c r="J24" s="320"/>
      <c r="K24" s="2218"/>
      <c r="L24" s="2219"/>
      <c r="M24" s="2220"/>
      <c r="N24" s="2217"/>
      <c r="O24" s="320"/>
    </row>
    <row r="25" spans="1:15" s="326" customFormat="1" ht="12" customHeight="1">
      <c r="A25" s="203"/>
      <c r="B25" s="2221" t="s">
        <v>19</v>
      </c>
      <c r="C25" s="328">
        <f>C26+C28</f>
        <v>20000000</v>
      </c>
      <c r="D25" s="2222"/>
      <c r="E25" s="2223"/>
      <c r="F25" s="204"/>
      <c r="G25" s="328">
        <f>G26+G28</f>
        <v>20000000</v>
      </c>
      <c r="H25" s="2224"/>
      <c r="I25" s="2225"/>
      <c r="J25" s="327"/>
      <c r="K25" s="2226"/>
      <c r="L25" s="2227"/>
      <c r="M25" s="2228"/>
      <c r="N25" s="2225"/>
      <c r="O25" s="327"/>
    </row>
    <row r="26" spans="1:15" s="202" customFormat="1" ht="15.75" customHeight="1">
      <c r="A26" s="194">
        <v>1</v>
      </c>
      <c r="B26" s="195" t="s">
        <v>329</v>
      </c>
      <c r="C26" s="217">
        <f t="shared" si="0"/>
        <v>19100000</v>
      </c>
      <c r="D26" s="218"/>
      <c r="E26" s="219"/>
      <c r="F26" s="199"/>
      <c r="G26" s="217">
        <v>19100000</v>
      </c>
      <c r="H26" s="220"/>
      <c r="I26" s="221" t="e">
        <f>G26/#REF!*100</f>
        <v>#REF!</v>
      </c>
      <c r="J26" s="199"/>
      <c r="K26" s="222"/>
      <c r="L26" s="223"/>
      <c r="M26" s="224"/>
      <c r="N26" s="221"/>
      <c r="O26" s="201"/>
    </row>
    <row r="27" spans="1:15" s="238" customFormat="1" ht="12.75" customHeight="1">
      <c r="A27" s="194">
        <v>2</v>
      </c>
      <c r="B27" s="195" t="s">
        <v>330</v>
      </c>
      <c r="C27" s="217">
        <f t="shared" si="0"/>
        <v>5500000</v>
      </c>
      <c r="D27" s="218"/>
      <c r="E27" s="219"/>
      <c r="F27" s="199"/>
      <c r="G27" s="217">
        <v>5500000</v>
      </c>
      <c r="H27" s="220"/>
      <c r="I27" s="221" t="e">
        <f>G27/#REF!*100</f>
        <v>#REF!</v>
      </c>
      <c r="J27" s="199"/>
      <c r="K27" s="222"/>
      <c r="L27" s="223"/>
      <c r="M27" s="224"/>
      <c r="N27" s="221"/>
      <c r="O27" s="201"/>
    </row>
    <row r="28" spans="1:15" s="238" customFormat="1" ht="14.25" customHeight="1">
      <c r="A28" s="194">
        <v>3</v>
      </c>
      <c r="B28" s="195" t="s">
        <v>331</v>
      </c>
      <c r="C28" s="217">
        <f t="shared" si="0"/>
        <v>900000</v>
      </c>
      <c r="D28" s="218"/>
      <c r="E28" s="219"/>
      <c r="F28" s="199"/>
      <c r="G28" s="217">
        <v>900000</v>
      </c>
      <c r="H28" s="220"/>
      <c r="I28" s="221" t="e">
        <f>G28/#REF!*100</f>
        <v>#REF!</v>
      </c>
      <c r="J28" s="199"/>
      <c r="K28" s="222"/>
      <c r="L28" s="223"/>
      <c r="M28" s="224"/>
      <c r="N28" s="221"/>
      <c r="O28" s="201"/>
    </row>
    <row r="29" spans="1:15" s="238" customFormat="1" ht="12" customHeight="1">
      <c r="A29" s="194">
        <v>4</v>
      </c>
      <c r="B29" s="195" t="s">
        <v>332</v>
      </c>
      <c r="C29" s="217">
        <f t="shared" si="0"/>
        <v>850000</v>
      </c>
      <c r="D29" s="218"/>
      <c r="E29" s="219"/>
      <c r="F29" s="199"/>
      <c r="G29" s="217">
        <v>850000</v>
      </c>
      <c r="H29" s="220"/>
      <c r="I29" s="221" t="e">
        <f>G29/#REF!*100</f>
        <v>#REF!</v>
      </c>
      <c r="J29" s="199"/>
      <c r="K29" s="222"/>
      <c r="L29" s="223"/>
      <c r="M29" s="224"/>
      <c r="N29" s="221"/>
      <c r="O29" s="201"/>
    </row>
    <row r="30" spans="1:15" s="238" customFormat="1" ht="12.75" customHeight="1">
      <c r="A30" s="203">
        <v>5</v>
      </c>
      <c r="B30" s="239" t="s">
        <v>333</v>
      </c>
      <c r="C30" s="240">
        <f t="shared" si="0"/>
        <v>715000</v>
      </c>
      <c r="D30" s="241"/>
      <c r="E30" s="242"/>
      <c r="F30" s="204"/>
      <c r="G30" s="240">
        <v>715000</v>
      </c>
      <c r="H30" s="243"/>
      <c r="I30" s="244" t="e">
        <f>G30/#REF!*100</f>
        <v>#REF!</v>
      </c>
      <c r="J30" s="204"/>
      <c r="K30" s="245">
        <v>1000</v>
      </c>
      <c r="L30" s="246"/>
      <c r="M30" s="247"/>
      <c r="N30" s="244">
        <f>L30/K30*100</f>
        <v>0</v>
      </c>
      <c r="O30" s="204"/>
    </row>
    <row r="31" spans="1:15" s="235" customFormat="1" ht="21.75" customHeight="1">
      <c r="A31" s="205" t="s">
        <v>334</v>
      </c>
      <c r="B31" s="2229" t="s">
        <v>335</v>
      </c>
      <c r="C31" s="248">
        <f t="shared" si="0"/>
        <v>111181534</v>
      </c>
      <c r="D31" s="207"/>
      <c r="E31" s="208"/>
      <c r="F31" s="209">
        <f>J31+O31</f>
        <v>31.702131565971396</v>
      </c>
      <c r="G31" s="249">
        <f>SUM(G32:G33)</f>
        <v>87452828</v>
      </c>
      <c r="H31" s="250"/>
      <c r="I31" s="251" t="e">
        <f>G31/#REF!*100</f>
        <v>#REF!</v>
      </c>
      <c r="J31" s="229">
        <f>G31/$C$51*100</f>
        <v>24.936164840757343</v>
      </c>
      <c r="K31" s="252" t="e">
        <f>K33+#REF!</f>
        <v>#REF!</v>
      </c>
      <c r="L31" s="253">
        <f>SUM(L32:L33)</f>
        <v>23728706</v>
      </c>
      <c r="M31" s="254"/>
      <c r="N31" s="215" t="e">
        <f>L31/K31*100</f>
        <v>#REF!</v>
      </c>
      <c r="O31" s="209">
        <f>L31/$C$51*100</f>
        <v>6.765966725214052</v>
      </c>
    </row>
    <row r="32" spans="1:15" s="266" customFormat="1" ht="13.5" customHeight="1">
      <c r="A32" s="194">
        <v>1</v>
      </c>
      <c r="B32" s="195" t="s">
        <v>336</v>
      </c>
      <c r="C32" s="255">
        <f t="shared" si="0"/>
        <v>106077534</v>
      </c>
      <c r="D32" s="256"/>
      <c r="E32" s="257"/>
      <c r="F32" s="258"/>
      <c r="G32" s="259">
        <v>82928828</v>
      </c>
      <c r="H32" s="260"/>
      <c r="I32" s="261"/>
      <c r="J32" s="229"/>
      <c r="K32" s="262"/>
      <c r="L32" s="263">
        <v>23148706</v>
      </c>
      <c r="M32" s="264"/>
      <c r="N32" s="265" t="e">
        <f>#REF!/#REF!*100</f>
        <v>#REF!</v>
      </c>
      <c r="O32" s="258"/>
    </row>
    <row r="33" spans="1:15" s="202" customFormat="1" ht="12.75" customHeight="1">
      <c r="A33" s="194">
        <v>2</v>
      </c>
      <c r="B33" s="195" t="s">
        <v>337</v>
      </c>
      <c r="C33" s="267">
        <f t="shared" si="0"/>
        <v>5104000</v>
      </c>
      <c r="D33" s="218"/>
      <c r="E33" s="219"/>
      <c r="F33" s="199"/>
      <c r="G33" s="217">
        <v>4524000</v>
      </c>
      <c r="H33" s="268"/>
      <c r="I33" s="269"/>
      <c r="J33" s="2230"/>
      <c r="K33" s="270"/>
      <c r="L33" s="223">
        <v>580000</v>
      </c>
      <c r="M33" s="224"/>
      <c r="N33" s="221" t="e">
        <f>L31/K31*100</f>
        <v>#REF!</v>
      </c>
      <c r="O33" s="199"/>
    </row>
    <row r="34" spans="1:15" s="276" customFormat="1" ht="20.25" customHeight="1">
      <c r="A34" s="271" t="s">
        <v>338</v>
      </c>
      <c r="B34" s="2231" t="s">
        <v>339</v>
      </c>
      <c r="C34" s="226">
        <f t="shared" si="0"/>
        <v>14052615</v>
      </c>
      <c r="D34" s="227"/>
      <c r="E34" s="228"/>
      <c r="F34" s="229">
        <f>J34+O34</f>
        <v>4.006941022921514</v>
      </c>
      <c r="G34" s="226">
        <v>9849830</v>
      </c>
      <c r="H34" s="272"/>
      <c r="I34" s="273" t="e">
        <f>G34/#REF!*100</f>
        <v>#REF!</v>
      </c>
      <c r="J34" s="229">
        <f>G34/$C$51*100</f>
        <v>2.808565373476966</v>
      </c>
      <c r="K34" s="274">
        <v>223</v>
      </c>
      <c r="L34" s="233">
        <v>4202785</v>
      </c>
      <c r="M34" s="275"/>
      <c r="N34" s="231">
        <f>L34/K34*100</f>
        <v>1884656.9506726456</v>
      </c>
      <c r="O34" s="229">
        <f>L34/$C$51*100</f>
        <v>1.1983756494445479</v>
      </c>
    </row>
    <row r="35" spans="1:15" s="276" customFormat="1" ht="12" customHeight="1" thickBot="1">
      <c r="A35" s="2232"/>
      <c r="B35" s="236" t="s">
        <v>20</v>
      </c>
      <c r="C35" s="2233">
        <f t="shared" si="0"/>
        <v>6200</v>
      </c>
      <c r="D35" s="2234"/>
      <c r="E35" s="2235"/>
      <c r="F35" s="314"/>
      <c r="G35" s="237"/>
      <c r="H35" s="2236"/>
      <c r="I35" s="2237"/>
      <c r="J35" s="2238"/>
      <c r="K35" s="2239"/>
      <c r="L35" s="2219">
        <v>6200</v>
      </c>
      <c r="M35" s="2240"/>
      <c r="N35" s="2241"/>
      <c r="O35" s="2238"/>
    </row>
    <row r="36" spans="1:15" s="287" customFormat="1" ht="18" customHeight="1" thickBot="1" thickTop="1">
      <c r="A36" s="277" t="s">
        <v>340</v>
      </c>
      <c r="B36" s="2242" t="s">
        <v>341</v>
      </c>
      <c r="C36" s="278">
        <f>SUM(C37:C39)</f>
        <v>101636035</v>
      </c>
      <c r="D36" s="279"/>
      <c r="E36" s="280"/>
      <c r="F36" s="2243">
        <f>J36+O36</f>
        <v>28.980342665659506</v>
      </c>
      <c r="G36" s="173">
        <f>SUM(G37:G39)</f>
        <v>41234508</v>
      </c>
      <c r="H36" s="281"/>
      <c r="I36" s="282" t="e">
        <f>G36/#REF!*100</f>
        <v>#REF!</v>
      </c>
      <c r="J36" s="2244">
        <f>G36/$C$51*100</f>
        <v>11.757544177022238</v>
      </c>
      <c r="K36" s="283" t="e">
        <f>#REF!+#REF!+K38</f>
        <v>#REF!</v>
      </c>
      <c r="L36" s="284">
        <f>SUM(L37:L39)</f>
        <v>60401527</v>
      </c>
      <c r="M36" s="285"/>
      <c r="N36" s="286" t="e">
        <f>L36/K36*100</f>
        <v>#REF!</v>
      </c>
      <c r="O36" s="2244">
        <f>L36/$C$51*100</f>
        <v>17.22279848863727</v>
      </c>
    </row>
    <row r="37" spans="1:15" s="202" customFormat="1" ht="13.5" customHeight="1" thickTop="1">
      <c r="A37" s="194">
        <v>1</v>
      </c>
      <c r="B37" s="195" t="s">
        <v>342</v>
      </c>
      <c r="C37" s="288">
        <f t="shared" si="0"/>
        <v>94145216</v>
      </c>
      <c r="D37" s="218"/>
      <c r="E37" s="219"/>
      <c r="F37" s="199"/>
      <c r="G37" s="289">
        <v>40838291</v>
      </c>
      <c r="H37" s="290"/>
      <c r="I37" s="291" t="e">
        <f>G37/#REF!*100</f>
        <v>#REF!</v>
      </c>
      <c r="J37" s="292"/>
      <c r="K37" s="293">
        <v>19412</v>
      </c>
      <c r="L37" s="294">
        <v>53306925</v>
      </c>
      <c r="M37" s="224"/>
      <c r="N37" s="221" t="e">
        <f>#REF!/K37*100</f>
        <v>#REF!</v>
      </c>
      <c r="O37" s="292"/>
    </row>
    <row r="38" spans="1:15" s="238" customFormat="1" ht="12.75" customHeight="1">
      <c r="A38" s="194">
        <v>2</v>
      </c>
      <c r="B38" s="195" t="s">
        <v>343</v>
      </c>
      <c r="C38" s="288">
        <f t="shared" si="0"/>
        <v>7490819</v>
      </c>
      <c r="D38" s="218"/>
      <c r="E38" s="219"/>
      <c r="F38" s="199"/>
      <c r="G38" s="288">
        <v>396217</v>
      </c>
      <c r="H38" s="268"/>
      <c r="I38" s="269" t="e">
        <f>G38/#REF!*100</f>
        <v>#REF!</v>
      </c>
      <c r="J38" s="199"/>
      <c r="K38" s="270">
        <v>19412</v>
      </c>
      <c r="L38" s="2245">
        <v>7094602</v>
      </c>
      <c r="M38" s="224"/>
      <c r="N38" s="221" t="e">
        <f>#REF!/K38*100</f>
        <v>#REF!</v>
      </c>
      <c r="O38" s="199"/>
    </row>
    <row r="39" spans="1:15" s="238" customFormat="1" ht="12.75" customHeight="1" thickBot="1">
      <c r="A39" s="194">
        <v>3</v>
      </c>
      <c r="B39" s="318" t="s">
        <v>21</v>
      </c>
      <c r="C39" s="288">
        <f t="shared" si="0"/>
        <v>0</v>
      </c>
      <c r="D39" s="218"/>
      <c r="E39" s="219"/>
      <c r="F39" s="199"/>
      <c r="G39" s="295"/>
      <c r="H39" s="296"/>
      <c r="I39" s="297"/>
      <c r="J39" s="298"/>
      <c r="K39" s="299"/>
      <c r="L39" s="2246"/>
      <c r="M39" s="2247"/>
      <c r="N39" s="2248"/>
      <c r="O39" s="298"/>
    </row>
    <row r="40" spans="1:15" s="309" customFormat="1" ht="18.75" customHeight="1" thickTop="1">
      <c r="A40" s="300" t="s">
        <v>344</v>
      </c>
      <c r="B40" s="301" t="s">
        <v>345</v>
      </c>
      <c r="C40" s="302">
        <f t="shared" si="0"/>
        <v>7998108</v>
      </c>
      <c r="D40" s="303"/>
      <c r="E40" s="304"/>
      <c r="F40" s="2244">
        <f>J40+O40</f>
        <v>2.2805682110380694</v>
      </c>
      <c r="G40" s="2249">
        <f>SUM(G41:G42)</f>
        <v>988049</v>
      </c>
      <c r="H40" s="306"/>
      <c r="I40" s="307"/>
      <c r="J40" s="314">
        <f>G40/$C$51*100</f>
        <v>0.28173077187104173</v>
      </c>
      <c r="K40" s="308">
        <v>8270.5</v>
      </c>
      <c r="L40" s="305">
        <f>SUM(L41:L42)</f>
        <v>7010059</v>
      </c>
      <c r="M40" s="312"/>
      <c r="N40" s="313"/>
      <c r="O40" s="314">
        <f>L40/$C$51*100</f>
        <v>1.9988374391670278</v>
      </c>
    </row>
    <row r="41" spans="1:15" s="309" customFormat="1" ht="12.75" customHeight="1">
      <c r="A41" s="310"/>
      <c r="B41" s="2213" t="s">
        <v>314</v>
      </c>
      <c r="C41" s="288">
        <f>L41+G41</f>
        <v>1574029</v>
      </c>
      <c r="D41" s="2250"/>
      <c r="E41" s="2251"/>
      <c r="F41" s="314"/>
      <c r="G41" s="2252">
        <f>942284+45765</f>
        <v>988049</v>
      </c>
      <c r="H41" s="219"/>
      <c r="I41" s="2253"/>
      <c r="J41" s="199"/>
      <c r="K41" s="270"/>
      <c r="L41" s="2252">
        <v>585980</v>
      </c>
      <c r="M41" s="312"/>
      <c r="N41" s="313"/>
      <c r="O41" s="314"/>
    </row>
    <row r="42" spans="1:15" s="202" customFormat="1" ht="10.5" customHeight="1" thickBot="1">
      <c r="A42" s="315"/>
      <c r="B42" s="2213" t="s">
        <v>315</v>
      </c>
      <c r="C42" s="295">
        <f t="shared" si="0"/>
        <v>6424079</v>
      </c>
      <c r="D42" s="2254"/>
      <c r="E42" s="2255"/>
      <c r="F42" s="298"/>
      <c r="G42" s="2256"/>
      <c r="H42" s="2255"/>
      <c r="I42" s="2257"/>
      <c r="J42" s="199"/>
      <c r="K42" s="299"/>
      <c r="L42" s="2258">
        <v>6424079</v>
      </c>
      <c r="M42" s="316"/>
      <c r="N42" s="317"/>
      <c r="O42" s="2259"/>
    </row>
    <row r="43" spans="1:15" s="287" customFormat="1" ht="16.5" customHeight="1" thickBot="1" thickTop="1">
      <c r="A43" s="2260" t="s">
        <v>346</v>
      </c>
      <c r="B43" s="2261" t="s">
        <v>22</v>
      </c>
      <c r="C43" s="2262">
        <f t="shared" si="0"/>
        <v>39620328</v>
      </c>
      <c r="D43" s="2263"/>
      <c r="E43" s="2264"/>
      <c r="F43" s="2243">
        <f>J43+O43</f>
        <v>11.297279375034888</v>
      </c>
      <c r="G43" s="2265">
        <f>G44+G47+G48</f>
        <v>30814976</v>
      </c>
      <c r="H43" s="2266"/>
      <c r="I43" s="2267"/>
      <c r="J43" s="2243">
        <f>G43/C51*100</f>
        <v>8.786534851680054</v>
      </c>
      <c r="K43" s="2268"/>
      <c r="L43" s="2269">
        <f>L44+L47+L48</f>
        <v>8805352</v>
      </c>
      <c r="M43" s="2270"/>
      <c r="N43" s="2271"/>
      <c r="O43" s="2243">
        <f>L43/$C$51*100</f>
        <v>2.5107445233548344</v>
      </c>
    </row>
    <row r="44" spans="1:15" s="202" customFormat="1" ht="26.25" customHeight="1" thickTop="1">
      <c r="A44" s="2272">
        <v>1</v>
      </c>
      <c r="B44" s="318" t="s">
        <v>23</v>
      </c>
      <c r="C44" s="288">
        <f>SUM(C45:C46)</f>
        <v>7904951</v>
      </c>
      <c r="D44" s="218"/>
      <c r="E44" s="219"/>
      <c r="F44" s="199"/>
      <c r="G44" s="217">
        <f>SUM(G45:G46)</f>
        <v>7378899</v>
      </c>
      <c r="H44" s="268"/>
      <c r="I44" s="269"/>
      <c r="J44" s="199"/>
      <c r="K44" s="198"/>
      <c r="L44" s="289">
        <f>SUM(L45:L46)</f>
        <v>526052</v>
      </c>
      <c r="M44" s="224"/>
      <c r="N44" s="221"/>
      <c r="O44" s="2273"/>
    </row>
    <row r="45" spans="1:15" s="202" customFormat="1" ht="10.5" customHeight="1">
      <c r="A45" s="2272"/>
      <c r="B45" s="2213" t="s">
        <v>314</v>
      </c>
      <c r="C45" s="2274">
        <f>G45+L45</f>
        <v>6572951</v>
      </c>
      <c r="D45" s="218"/>
      <c r="E45" s="268"/>
      <c r="F45" s="201"/>
      <c r="G45" s="2275">
        <v>6046899</v>
      </c>
      <c r="H45" s="268"/>
      <c r="I45" s="269"/>
      <c r="J45" s="201"/>
      <c r="K45" s="197"/>
      <c r="L45" s="2274">
        <v>526052</v>
      </c>
      <c r="M45" s="224"/>
      <c r="N45" s="221"/>
      <c r="O45" s="2273"/>
    </row>
    <row r="46" spans="1:15" s="202" customFormat="1" ht="9.75" customHeight="1">
      <c r="A46" s="2272"/>
      <c r="B46" s="2213" t="s">
        <v>315</v>
      </c>
      <c r="C46" s="2274">
        <f>G46+L46</f>
        <v>1332000</v>
      </c>
      <c r="D46" s="218"/>
      <c r="E46" s="268"/>
      <c r="F46" s="201"/>
      <c r="G46" s="2275">
        <v>1332000</v>
      </c>
      <c r="H46" s="268"/>
      <c r="I46" s="269"/>
      <c r="J46" s="201"/>
      <c r="K46" s="197"/>
      <c r="L46" s="2274">
        <v>0</v>
      </c>
      <c r="M46" s="2276"/>
      <c r="N46" s="2217"/>
      <c r="O46" s="2277"/>
    </row>
    <row r="47" spans="1:17" s="202" customFormat="1" ht="27.75" customHeight="1">
      <c r="A47" s="332">
        <v>2</v>
      </c>
      <c r="B47" s="329" t="s">
        <v>349</v>
      </c>
      <c r="C47" s="288">
        <f t="shared" si="0"/>
        <v>22100</v>
      </c>
      <c r="D47" s="2278"/>
      <c r="E47" s="219"/>
      <c r="F47" s="199"/>
      <c r="G47" s="2252">
        <v>16600</v>
      </c>
      <c r="H47" s="219"/>
      <c r="I47" s="2253"/>
      <c r="J47" s="199"/>
      <c r="K47" s="198"/>
      <c r="L47" s="267">
        <v>5500</v>
      </c>
      <c r="M47" s="330"/>
      <c r="N47" s="331"/>
      <c r="O47" s="199"/>
      <c r="Q47" s="202" t="s">
        <v>24</v>
      </c>
    </row>
    <row r="48" spans="1:15" s="202" customFormat="1" ht="18.75" customHeight="1">
      <c r="A48" s="332">
        <v>3</v>
      </c>
      <c r="B48" s="329" t="s">
        <v>25</v>
      </c>
      <c r="C48" s="2279">
        <f t="shared" si="0"/>
        <v>31693277</v>
      </c>
      <c r="D48" s="2278"/>
      <c r="E48" s="219"/>
      <c r="F48" s="199"/>
      <c r="G48" s="2280">
        <f>G49</f>
        <v>23419477</v>
      </c>
      <c r="H48" s="219"/>
      <c r="I48" s="2253"/>
      <c r="J48" s="199"/>
      <c r="K48" s="198"/>
      <c r="L48" s="267">
        <f>L49+L50</f>
        <v>8273800</v>
      </c>
      <c r="M48" s="330"/>
      <c r="N48" s="331"/>
      <c r="O48" s="199"/>
    </row>
    <row r="49" spans="1:15" s="326" customFormat="1" ht="9" customHeight="1">
      <c r="A49" s="332"/>
      <c r="B49" s="319" t="s">
        <v>347</v>
      </c>
      <c r="C49" s="2274">
        <f t="shared" si="0"/>
        <v>31635277</v>
      </c>
      <c r="D49" s="2281"/>
      <c r="E49" s="2282"/>
      <c r="F49" s="2283"/>
      <c r="G49" s="2284">
        <v>23419477</v>
      </c>
      <c r="H49" s="2282"/>
      <c r="I49" s="2285"/>
      <c r="J49" s="2283"/>
      <c r="K49" s="2286"/>
      <c r="L49" s="2287">
        <v>8215800</v>
      </c>
      <c r="M49" s="324"/>
      <c r="N49" s="325"/>
      <c r="O49" s="320"/>
    </row>
    <row r="50" spans="1:15" s="326" customFormat="1" ht="11.25" customHeight="1" thickBot="1">
      <c r="A50" s="332"/>
      <c r="B50" s="236" t="s">
        <v>348</v>
      </c>
      <c r="C50" s="2274">
        <f t="shared" si="0"/>
        <v>58000</v>
      </c>
      <c r="D50" s="2281"/>
      <c r="E50" s="2282"/>
      <c r="F50" s="2283"/>
      <c r="G50" s="2284"/>
      <c r="H50" s="2282"/>
      <c r="I50" s="2285"/>
      <c r="J50" s="2283"/>
      <c r="K50" s="2286"/>
      <c r="L50" s="2287">
        <v>58000</v>
      </c>
      <c r="M50" s="324"/>
      <c r="N50" s="325"/>
      <c r="O50" s="320"/>
    </row>
    <row r="51" spans="1:15" s="287" customFormat="1" ht="18" customHeight="1" thickTop="1">
      <c r="A51" s="2408" t="s">
        <v>350</v>
      </c>
      <c r="B51" s="2409"/>
      <c r="C51" s="2288">
        <f t="shared" si="0"/>
        <v>350706809</v>
      </c>
      <c r="D51" s="334"/>
      <c r="E51" s="335"/>
      <c r="F51" s="2244">
        <f>J51+O51</f>
        <v>100</v>
      </c>
      <c r="G51" s="2288">
        <f>G43+G36+G40+G11</f>
        <v>246558380</v>
      </c>
      <c r="H51" s="334"/>
      <c r="I51" s="336" t="e">
        <f>G51/#REF!*100</f>
        <v>#REF!</v>
      </c>
      <c r="J51" s="2244">
        <f>G51/$C$51*100</f>
        <v>70.30327717418227</v>
      </c>
      <c r="K51" s="337" t="e">
        <f>#REF!+#REF!+#REF!</f>
        <v>#REF!</v>
      </c>
      <c r="L51" s="333">
        <f>L43+L36+L40+L11</f>
        <v>104148429</v>
      </c>
      <c r="M51" s="338"/>
      <c r="N51" s="339" t="e">
        <f>L51/K51*100</f>
        <v>#REF!</v>
      </c>
      <c r="O51" s="2244">
        <f>L51/$C$51*100</f>
        <v>29.696722825817734</v>
      </c>
    </row>
    <row r="52" spans="1:15" s="326" customFormat="1" ht="11.25" customHeight="1">
      <c r="A52" s="2289"/>
      <c r="B52" s="2290" t="s">
        <v>351</v>
      </c>
      <c r="C52" s="2291">
        <f t="shared" si="0"/>
        <v>322886530</v>
      </c>
      <c r="D52" s="322"/>
      <c r="E52" s="2292"/>
      <c r="F52" s="320"/>
      <c r="G52" s="2293">
        <f>G14+G19+G24+G31+G34-G35+G36+G40-G42+G43-G46-G50</f>
        <v>225226380</v>
      </c>
      <c r="H52" s="2292"/>
      <c r="I52" s="322"/>
      <c r="J52" s="320"/>
      <c r="K52" s="322"/>
      <c r="L52" s="323">
        <f>L11-L35+L36+L40-L42+L43-L46-L50</f>
        <v>97660150</v>
      </c>
      <c r="M52" s="340"/>
      <c r="N52" s="340"/>
      <c r="O52" s="320"/>
    </row>
    <row r="53" spans="1:15" s="326" customFormat="1" ht="12.75" customHeight="1" thickBot="1">
      <c r="A53" s="2294"/>
      <c r="B53" s="2295" t="s">
        <v>352</v>
      </c>
      <c r="C53" s="2296">
        <f t="shared" si="0"/>
        <v>27820279</v>
      </c>
      <c r="D53" s="2297"/>
      <c r="E53" s="2298"/>
      <c r="F53" s="2299"/>
      <c r="G53" s="2300">
        <f>G50+G42+G13+G46</f>
        <v>21332000</v>
      </c>
      <c r="H53" s="2297"/>
      <c r="I53" s="2301"/>
      <c r="J53" s="2302"/>
      <c r="K53" s="2303"/>
      <c r="L53" s="2304">
        <f>L13+L42+L50+L46</f>
        <v>6488279</v>
      </c>
      <c r="M53" s="341"/>
      <c r="N53" s="342"/>
      <c r="O53" s="2299"/>
    </row>
    <row r="54" ht="13.5" thickTop="1">
      <c r="A54" s="102" t="s">
        <v>556</v>
      </c>
    </row>
    <row r="55" spans="1:14" ht="12.75">
      <c r="A55" s="102" t="s">
        <v>297</v>
      </c>
      <c r="C55" s="109"/>
      <c r="D55" s="109"/>
      <c r="E55" s="109"/>
      <c r="G55" s="109"/>
      <c r="H55" s="109"/>
      <c r="I55" s="109"/>
      <c r="J55" s="109"/>
      <c r="K55" s="109"/>
      <c r="L55" s="109"/>
      <c r="M55" s="109"/>
      <c r="N55" s="109"/>
    </row>
    <row r="56" ht="12.75">
      <c r="A56" s="102" t="s">
        <v>780</v>
      </c>
    </row>
  </sheetData>
  <mergeCells count="1">
    <mergeCell ref="A51:B51"/>
  </mergeCells>
  <printOptions horizontalCentered="1"/>
  <pageMargins left="0.24" right="0.25" top="0.34" bottom="0.21" header="0.2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8"/>
  <sheetViews>
    <sheetView workbookViewId="0" topLeftCell="A31">
      <selection activeCell="A53" sqref="A53"/>
    </sheetView>
  </sheetViews>
  <sheetFormatPr defaultColWidth="9.00390625" defaultRowHeight="12.75"/>
  <cols>
    <col min="1" max="1" width="5.00390625" style="344" customWidth="1"/>
    <col min="2" max="2" width="34.25390625" style="345" customWidth="1"/>
    <col min="3" max="3" width="12.75390625" style="345" customWidth="1"/>
    <col min="4" max="4" width="9.625" style="345" customWidth="1"/>
    <col min="5" max="5" width="11.75390625" style="345" customWidth="1"/>
    <col min="6" max="6" width="8.625" style="345" customWidth="1"/>
    <col min="7" max="7" width="11.25390625" style="345" customWidth="1"/>
    <col min="8" max="8" width="9.625" style="345" customWidth="1"/>
    <col min="9" max="9" width="11.875" style="345" customWidth="1"/>
    <col min="10" max="10" width="9.125" style="345" customWidth="1"/>
    <col min="11" max="11" width="10.75390625" style="345" customWidth="1"/>
    <col min="12" max="14" width="12.625" style="345" customWidth="1"/>
    <col min="15" max="15" width="13.00390625" style="345" customWidth="1"/>
    <col min="16" max="16384" width="10.00390625" style="345" customWidth="1"/>
  </cols>
  <sheetData>
    <row r="1" spans="7:14" ht="12" customHeight="1">
      <c r="G1" s="346"/>
      <c r="I1" s="110" t="s">
        <v>353</v>
      </c>
      <c r="K1" s="116"/>
      <c r="L1" s="114"/>
      <c r="M1" s="117"/>
      <c r="N1" s="347"/>
    </row>
    <row r="2" spans="7:14" ht="12" customHeight="1">
      <c r="G2" s="346"/>
      <c r="I2" s="473" t="s">
        <v>15</v>
      </c>
      <c r="K2" s="116"/>
      <c r="L2" s="114"/>
      <c r="M2" s="117"/>
      <c r="N2" s="347"/>
    </row>
    <row r="3" spans="7:14" ht="12" customHeight="1">
      <c r="G3" s="346"/>
      <c r="I3" s="4" t="s">
        <v>16</v>
      </c>
      <c r="K3" s="116"/>
      <c r="L3" s="114"/>
      <c r="M3" s="117"/>
      <c r="N3" s="347"/>
    </row>
    <row r="4" spans="1:14" s="359" customFormat="1" ht="16.5" customHeight="1">
      <c r="A4" s="348" t="s">
        <v>354</v>
      </c>
      <c r="B4" s="349"/>
      <c r="C4" s="350"/>
      <c r="D4" s="350"/>
      <c r="E4" s="350"/>
      <c r="F4" s="351"/>
      <c r="G4" s="352"/>
      <c r="H4" s="353"/>
      <c r="I4" s="4"/>
      <c r="J4" s="354"/>
      <c r="K4" s="355"/>
      <c r="L4" s="356"/>
      <c r="M4" s="357"/>
      <c r="N4" s="358"/>
    </row>
    <row r="5" spans="1:11" s="361" customFormat="1" ht="14.25" customHeight="1">
      <c r="A5" s="360" t="s">
        <v>355</v>
      </c>
      <c r="C5" s="362"/>
      <c r="D5" s="363"/>
      <c r="E5" s="363"/>
      <c r="F5" s="363"/>
      <c r="G5" s="363"/>
      <c r="H5" s="364"/>
      <c r="I5" s="365"/>
      <c r="J5" s="366"/>
      <c r="K5" s="367" t="s">
        <v>237</v>
      </c>
    </row>
    <row r="6" spans="1:11" s="361" customFormat="1" ht="14.25" customHeight="1" thickBot="1">
      <c r="A6" s="481" t="s">
        <v>777</v>
      </c>
      <c r="C6" s="362"/>
      <c r="D6" s="363"/>
      <c r="E6" s="363"/>
      <c r="F6" s="363"/>
      <c r="G6" s="363"/>
      <c r="H6" s="364"/>
      <c r="I6" s="365"/>
      <c r="J6" s="366"/>
      <c r="K6" s="367"/>
    </row>
    <row r="7" spans="1:11" s="377" customFormat="1" ht="18" customHeight="1" thickBot="1" thickTop="1">
      <c r="A7" s="368"/>
      <c r="B7" s="369"/>
      <c r="C7" s="370" t="s">
        <v>242</v>
      </c>
      <c r="D7" s="371" t="s">
        <v>356</v>
      </c>
      <c r="E7" s="372"/>
      <c r="F7" s="372"/>
      <c r="G7" s="373"/>
      <c r="H7" s="374" t="s">
        <v>357</v>
      </c>
      <c r="I7" s="375"/>
      <c r="J7" s="375"/>
      <c r="K7" s="376"/>
    </row>
    <row r="8" spans="1:11" s="377" customFormat="1" ht="41.25" customHeight="1" thickBot="1" thickTop="1">
      <c r="A8" s="378" t="s">
        <v>358</v>
      </c>
      <c r="B8" s="379" t="s">
        <v>239</v>
      </c>
      <c r="C8" s="380" t="s">
        <v>240</v>
      </c>
      <c r="D8" s="381" t="s">
        <v>359</v>
      </c>
      <c r="E8" s="382" t="s">
        <v>360</v>
      </c>
      <c r="F8" s="383" t="s">
        <v>361</v>
      </c>
      <c r="G8" s="384" t="s">
        <v>362</v>
      </c>
      <c r="H8" s="381" t="s">
        <v>363</v>
      </c>
      <c r="I8" s="382" t="s">
        <v>360</v>
      </c>
      <c r="J8" s="383" t="s">
        <v>364</v>
      </c>
      <c r="K8" s="384" t="s">
        <v>362</v>
      </c>
    </row>
    <row r="9" spans="1:11" s="390" customFormat="1" ht="7.5" customHeight="1" thickBot="1" thickTop="1">
      <c r="A9" s="385">
        <v>1</v>
      </c>
      <c r="B9" s="386">
        <v>2</v>
      </c>
      <c r="C9" s="387">
        <v>3</v>
      </c>
      <c r="D9" s="387">
        <v>4</v>
      </c>
      <c r="E9" s="388">
        <v>5</v>
      </c>
      <c r="F9" s="386">
        <v>6</v>
      </c>
      <c r="G9" s="389">
        <v>7</v>
      </c>
      <c r="H9" s="387">
        <v>8</v>
      </c>
      <c r="I9" s="388">
        <v>9</v>
      </c>
      <c r="J9" s="386">
        <v>10</v>
      </c>
      <c r="K9" s="389">
        <v>11</v>
      </c>
    </row>
    <row r="10" spans="1:14" s="400" customFormat="1" ht="21" customHeight="1" thickTop="1">
      <c r="A10" s="391" t="s">
        <v>251</v>
      </c>
      <c r="B10" s="392" t="s">
        <v>252</v>
      </c>
      <c r="C10" s="393">
        <f aca="true" t="shared" si="0" ref="C10:C44">G10+K10</f>
        <v>5018030</v>
      </c>
      <c r="D10" s="394">
        <f>SUM(D11:D12)</f>
        <v>14030</v>
      </c>
      <c r="E10" s="395"/>
      <c r="F10" s="396"/>
      <c r="G10" s="396">
        <f>SUM(G11:G12)</f>
        <v>14030</v>
      </c>
      <c r="H10" s="397">
        <f>SUM(H11:H12)</f>
        <v>5004000</v>
      </c>
      <c r="I10" s="395"/>
      <c r="J10" s="396"/>
      <c r="K10" s="398">
        <f>SUM(K11:K12)</f>
        <v>5004000</v>
      </c>
      <c r="L10" s="399"/>
      <c r="M10" s="399"/>
      <c r="N10" s="399"/>
    </row>
    <row r="11" spans="1:11" s="408" customFormat="1" ht="11.25" customHeight="1">
      <c r="A11" s="401"/>
      <c r="B11" s="402" t="s">
        <v>365</v>
      </c>
      <c r="C11" s="403">
        <f t="shared" si="0"/>
        <v>18030</v>
      </c>
      <c r="D11" s="404">
        <v>14030</v>
      </c>
      <c r="E11" s="405"/>
      <c r="F11" s="406"/>
      <c r="G11" s="406">
        <f aca="true" t="shared" si="1" ref="G11:G17">SUM(D11:F11)</f>
        <v>14030</v>
      </c>
      <c r="H11" s="404">
        <v>4000</v>
      </c>
      <c r="I11" s="405"/>
      <c r="J11" s="406"/>
      <c r="K11" s="407">
        <f>SUM(H11:J11)</f>
        <v>4000</v>
      </c>
    </row>
    <row r="12" spans="1:14" s="408" customFormat="1" ht="11.25" customHeight="1">
      <c r="A12" s="401"/>
      <c r="B12" s="409" t="s">
        <v>366</v>
      </c>
      <c r="C12" s="410">
        <f>G12+K12</f>
        <v>5000000</v>
      </c>
      <c r="D12" s="411"/>
      <c r="E12" s="412"/>
      <c r="F12" s="413"/>
      <c r="G12" s="414"/>
      <c r="H12" s="411">
        <f>5000000</f>
        <v>5000000</v>
      </c>
      <c r="I12" s="412"/>
      <c r="J12" s="413"/>
      <c r="K12" s="415">
        <f>SUM(H12:J12)</f>
        <v>5000000</v>
      </c>
      <c r="L12" s="399"/>
      <c r="M12" s="399"/>
      <c r="N12" s="399"/>
    </row>
    <row r="13" spans="1:14" s="400" customFormat="1" ht="18" customHeight="1">
      <c r="A13" s="391" t="s">
        <v>255</v>
      </c>
      <c r="B13" s="392" t="s">
        <v>367</v>
      </c>
      <c r="C13" s="393">
        <f t="shared" si="0"/>
        <v>27608500</v>
      </c>
      <c r="D13" s="397">
        <f>SUM(D14:D15)</f>
        <v>26715000</v>
      </c>
      <c r="E13" s="395"/>
      <c r="F13" s="396"/>
      <c r="G13" s="396">
        <f t="shared" si="1"/>
        <v>26715000</v>
      </c>
      <c r="H13" s="397">
        <f>SUM(H14:H15)</f>
        <v>850000</v>
      </c>
      <c r="I13" s="395"/>
      <c r="J13" s="396">
        <f>SUM(J14:J15)</f>
        <v>43500</v>
      </c>
      <c r="K13" s="398">
        <f>SUM(H13:J13)</f>
        <v>893500</v>
      </c>
      <c r="L13" s="399"/>
      <c r="M13" s="399"/>
      <c r="N13" s="399"/>
    </row>
    <row r="14" spans="1:11" s="408" customFormat="1" ht="10.5" customHeight="1">
      <c r="A14" s="401"/>
      <c r="B14" s="402" t="s">
        <v>365</v>
      </c>
      <c r="C14" s="403">
        <f t="shared" si="0"/>
        <v>7608500</v>
      </c>
      <c r="D14" s="404">
        <v>6715000</v>
      </c>
      <c r="E14" s="405"/>
      <c r="F14" s="406"/>
      <c r="G14" s="406">
        <f t="shared" si="1"/>
        <v>6715000</v>
      </c>
      <c r="H14" s="404">
        <v>850000</v>
      </c>
      <c r="I14" s="405"/>
      <c r="J14" s="406">
        <v>43500</v>
      </c>
      <c r="K14" s="407">
        <f>SUM(H14:J14)</f>
        <v>893500</v>
      </c>
    </row>
    <row r="15" spans="1:11" s="408" customFormat="1" ht="12.75" customHeight="1">
      <c r="A15" s="416"/>
      <c r="B15" s="409" t="s">
        <v>366</v>
      </c>
      <c r="C15" s="417">
        <f t="shared" si="0"/>
        <v>20000000</v>
      </c>
      <c r="D15" s="411">
        <v>20000000</v>
      </c>
      <c r="E15" s="412"/>
      <c r="F15" s="413"/>
      <c r="G15" s="418">
        <f t="shared" si="1"/>
        <v>20000000</v>
      </c>
      <c r="H15" s="411"/>
      <c r="I15" s="412"/>
      <c r="J15" s="413"/>
      <c r="K15" s="418"/>
    </row>
    <row r="16" spans="1:14" s="419" customFormat="1" ht="17.25" customHeight="1">
      <c r="A16" s="391">
        <v>710</v>
      </c>
      <c r="B16" s="392" t="s">
        <v>368</v>
      </c>
      <c r="C16" s="393">
        <f t="shared" si="0"/>
        <v>1843700</v>
      </c>
      <c r="D16" s="397">
        <f>SUM(D17:D18)</f>
        <v>1389000</v>
      </c>
      <c r="E16" s="395">
        <f>SUM(E17:E18)</f>
        <v>16600</v>
      </c>
      <c r="F16" s="396"/>
      <c r="G16" s="396">
        <f t="shared" si="1"/>
        <v>1405600</v>
      </c>
      <c r="H16" s="397"/>
      <c r="I16" s="395"/>
      <c r="J16" s="396">
        <f>SUM(J17:J18)</f>
        <v>438100</v>
      </c>
      <c r="K16" s="398">
        <f>SUM(H16:J16)</f>
        <v>438100</v>
      </c>
      <c r="L16" s="399"/>
      <c r="M16" s="399"/>
      <c r="N16" s="399"/>
    </row>
    <row r="17" spans="1:11" s="408" customFormat="1" ht="10.5" customHeight="1">
      <c r="A17" s="401"/>
      <c r="B17" s="402" t="s">
        <v>365</v>
      </c>
      <c r="C17" s="403">
        <f t="shared" si="0"/>
        <v>1835700</v>
      </c>
      <c r="D17" s="404">
        <v>1389000</v>
      </c>
      <c r="E17" s="405">
        <v>16600</v>
      </c>
      <c r="F17" s="406"/>
      <c r="G17" s="406">
        <f t="shared" si="1"/>
        <v>1405600</v>
      </c>
      <c r="H17" s="404"/>
      <c r="I17" s="405"/>
      <c r="J17" s="406">
        <v>430100</v>
      </c>
      <c r="K17" s="407">
        <f>SUM(H17:J17)</f>
        <v>430100</v>
      </c>
    </row>
    <row r="18" spans="1:11" s="408" customFormat="1" ht="12.75" customHeight="1">
      <c r="A18" s="416"/>
      <c r="B18" s="409" t="s">
        <v>366</v>
      </c>
      <c r="C18" s="417">
        <f t="shared" si="0"/>
        <v>8000</v>
      </c>
      <c r="D18" s="411"/>
      <c r="E18" s="412"/>
      <c r="F18" s="413"/>
      <c r="G18" s="418"/>
      <c r="H18" s="411"/>
      <c r="I18" s="412"/>
      <c r="J18" s="413">
        <v>8000</v>
      </c>
      <c r="K18" s="418">
        <f>SUM(H18:J18)</f>
        <v>8000</v>
      </c>
    </row>
    <row r="19" spans="1:14" s="419" customFormat="1" ht="16.5" customHeight="1">
      <c r="A19" s="391" t="s">
        <v>259</v>
      </c>
      <c r="B19" s="392" t="s">
        <v>369</v>
      </c>
      <c r="C19" s="420">
        <f t="shared" si="0"/>
        <v>1375600</v>
      </c>
      <c r="D19" s="397">
        <f>D20</f>
        <v>335000</v>
      </c>
      <c r="E19" s="395"/>
      <c r="F19" s="396">
        <f>F20</f>
        <v>757900</v>
      </c>
      <c r="G19" s="396">
        <f aca="true" t="shared" si="2" ref="G19:G24">SUM(D19:F19)</f>
        <v>1092900</v>
      </c>
      <c r="H19" s="397">
        <f>H20</f>
        <v>2000</v>
      </c>
      <c r="I19" s="395">
        <f>I20</f>
        <v>5500</v>
      </c>
      <c r="J19" s="396">
        <f>J20</f>
        <v>275200</v>
      </c>
      <c r="K19" s="398">
        <f>SUM(H19:J19)</f>
        <v>282700</v>
      </c>
      <c r="L19" s="399"/>
      <c r="M19" s="399"/>
      <c r="N19" s="399"/>
    </row>
    <row r="20" spans="1:11" s="408" customFormat="1" ht="11.25" customHeight="1">
      <c r="A20" s="416"/>
      <c r="B20" s="402" t="s">
        <v>365</v>
      </c>
      <c r="C20" s="403">
        <f t="shared" si="0"/>
        <v>1375600</v>
      </c>
      <c r="D20" s="404">
        <v>335000</v>
      </c>
      <c r="E20" s="405"/>
      <c r="F20" s="406">
        <v>757900</v>
      </c>
      <c r="G20" s="406">
        <f t="shared" si="2"/>
        <v>1092900</v>
      </c>
      <c r="H20" s="404">
        <f>2402000-2400000</f>
        <v>2000</v>
      </c>
      <c r="I20" s="405">
        <v>5500</v>
      </c>
      <c r="J20" s="406">
        <v>275200</v>
      </c>
      <c r="K20" s="407">
        <f>SUM(H20:J20)</f>
        <v>282700</v>
      </c>
    </row>
    <row r="21" spans="1:14" s="419" customFormat="1" ht="30" customHeight="1">
      <c r="A21" s="391" t="s">
        <v>261</v>
      </c>
      <c r="B21" s="392" t="s">
        <v>370</v>
      </c>
      <c r="C21" s="393">
        <f t="shared" si="0"/>
        <v>17577</v>
      </c>
      <c r="D21" s="393"/>
      <c r="E21" s="421"/>
      <c r="F21" s="422">
        <f>F22</f>
        <v>17577</v>
      </c>
      <c r="G21" s="396">
        <f t="shared" si="2"/>
        <v>17577</v>
      </c>
      <c r="H21" s="393"/>
      <c r="I21" s="421"/>
      <c r="J21" s="422"/>
      <c r="K21" s="423"/>
      <c r="L21" s="399"/>
      <c r="M21" s="399"/>
      <c r="N21" s="399"/>
    </row>
    <row r="22" spans="1:11" s="408" customFormat="1" ht="14.25" customHeight="1">
      <c r="A22" s="416"/>
      <c r="B22" s="402" t="s">
        <v>365</v>
      </c>
      <c r="C22" s="403">
        <f t="shared" si="0"/>
        <v>17577</v>
      </c>
      <c r="D22" s="404"/>
      <c r="E22" s="405"/>
      <c r="F22" s="406">
        <v>17577</v>
      </c>
      <c r="G22" s="406">
        <f t="shared" si="2"/>
        <v>17577</v>
      </c>
      <c r="H22" s="404"/>
      <c r="I22" s="405"/>
      <c r="J22" s="406"/>
      <c r="K22" s="407"/>
    </row>
    <row r="23" spans="1:14" s="419" customFormat="1" ht="24" customHeight="1">
      <c r="A23" s="391" t="s">
        <v>263</v>
      </c>
      <c r="B23" s="392" t="s">
        <v>371</v>
      </c>
      <c r="C23" s="393">
        <f t="shared" si="0"/>
        <v>7380000</v>
      </c>
      <c r="D23" s="393"/>
      <c r="E23" s="421"/>
      <c r="F23" s="422">
        <f>SUM(F24:F25)</f>
        <v>10000</v>
      </c>
      <c r="G23" s="396">
        <f t="shared" si="2"/>
        <v>10000</v>
      </c>
      <c r="H23" s="393"/>
      <c r="I23" s="421"/>
      <c r="J23" s="422">
        <f>SUM(J24:J25)</f>
        <v>7370000</v>
      </c>
      <c r="K23" s="398">
        <f aca="true" t="shared" si="3" ref="K23:K39">SUM(H23:J23)</f>
        <v>7370000</v>
      </c>
      <c r="L23" s="399"/>
      <c r="M23" s="399"/>
      <c r="N23" s="399"/>
    </row>
    <row r="24" spans="1:11" s="408" customFormat="1" ht="12" customHeight="1">
      <c r="A24" s="401"/>
      <c r="B24" s="402" t="s">
        <v>365</v>
      </c>
      <c r="C24" s="403">
        <f t="shared" si="0"/>
        <v>7330000</v>
      </c>
      <c r="D24" s="404"/>
      <c r="E24" s="405"/>
      <c r="F24" s="406">
        <v>10000</v>
      </c>
      <c r="G24" s="406">
        <f t="shared" si="2"/>
        <v>10000</v>
      </c>
      <c r="H24" s="404"/>
      <c r="I24" s="405"/>
      <c r="J24" s="406">
        <v>7320000</v>
      </c>
      <c r="K24" s="407">
        <f t="shared" si="3"/>
        <v>7320000</v>
      </c>
    </row>
    <row r="25" spans="1:11" s="408" customFormat="1" ht="10.5" customHeight="1">
      <c r="A25" s="416"/>
      <c r="B25" s="409" t="s">
        <v>366</v>
      </c>
      <c r="C25" s="417">
        <f t="shared" si="0"/>
        <v>50000</v>
      </c>
      <c r="D25" s="411"/>
      <c r="E25" s="412"/>
      <c r="F25" s="413"/>
      <c r="G25" s="418"/>
      <c r="H25" s="411"/>
      <c r="I25" s="412"/>
      <c r="J25" s="413">
        <v>50000</v>
      </c>
      <c r="K25" s="418">
        <f t="shared" si="3"/>
        <v>50000</v>
      </c>
    </row>
    <row r="26" spans="1:14" s="419" customFormat="1" ht="33" customHeight="1">
      <c r="A26" s="391" t="s">
        <v>265</v>
      </c>
      <c r="B26" s="392" t="s">
        <v>372</v>
      </c>
      <c r="C26" s="393">
        <f t="shared" si="0"/>
        <v>169022495</v>
      </c>
      <c r="D26" s="397">
        <f>D27</f>
        <v>142863789</v>
      </c>
      <c r="E26" s="395"/>
      <c r="F26" s="396"/>
      <c r="G26" s="396">
        <f aca="true" t="shared" si="4" ref="G26:G31">SUM(D26:F26)</f>
        <v>142863789</v>
      </c>
      <c r="H26" s="397">
        <f>H27</f>
        <v>26158706</v>
      </c>
      <c r="I26" s="395"/>
      <c r="J26" s="396"/>
      <c r="K26" s="398">
        <f t="shared" si="3"/>
        <v>26158706</v>
      </c>
      <c r="L26" s="399"/>
      <c r="M26" s="399"/>
      <c r="N26" s="399"/>
    </row>
    <row r="27" spans="1:11" s="408" customFormat="1" ht="12.75" customHeight="1">
      <c r="A27" s="416"/>
      <c r="B27" s="424" t="s">
        <v>365</v>
      </c>
      <c r="C27" s="425">
        <f t="shared" si="0"/>
        <v>169022495</v>
      </c>
      <c r="D27" s="426">
        <f>142866504-2715</f>
        <v>142863789</v>
      </c>
      <c r="E27" s="427"/>
      <c r="F27" s="428"/>
      <c r="G27" s="428">
        <f t="shared" si="4"/>
        <v>142863789</v>
      </c>
      <c r="H27" s="426">
        <f>23759464+2400000-758</f>
        <v>26158706</v>
      </c>
      <c r="I27" s="427"/>
      <c r="J27" s="428"/>
      <c r="K27" s="429">
        <f t="shared" si="3"/>
        <v>26158706</v>
      </c>
    </row>
    <row r="28" spans="1:14" s="419" customFormat="1" ht="15" customHeight="1">
      <c r="A28" s="391" t="s">
        <v>269</v>
      </c>
      <c r="B28" s="392" t="s">
        <v>270</v>
      </c>
      <c r="C28" s="393">
        <f t="shared" si="0"/>
        <v>103218135</v>
      </c>
      <c r="D28" s="397">
        <f>D29</f>
        <v>42766508</v>
      </c>
      <c r="E28" s="395"/>
      <c r="F28" s="396"/>
      <c r="G28" s="396">
        <f t="shared" si="4"/>
        <v>42766508</v>
      </c>
      <c r="H28" s="397">
        <f>H29</f>
        <v>60451627</v>
      </c>
      <c r="I28" s="395"/>
      <c r="J28" s="396"/>
      <c r="K28" s="398">
        <f t="shared" si="3"/>
        <v>60451627</v>
      </c>
      <c r="L28" s="399"/>
      <c r="M28" s="399"/>
      <c r="N28" s="399"/>
    </row>
    <row r="29" spans="1:11" s="408" customFormat="1" ht="12.75" customHeight="1">
      <c r="A29" s="416"/>
      <c r="B29" s="402" t="s">
        <v>365</v>
      </c>
      <c r="C29" s="403">
        <f t="shared" si="0"/>
        <v>103218135</v>
      </c>
      <c r="D29" s="404">
        <f>42349765+416743</f>
        <v>42766508</v>
      </c>
      <c r="E29" s="405"/>
      <c r="F29" s="406"/>
      <c r="G29" s="406">
        <f t="shared" si="4"/>
        <v>42766508</v>
      </c>
      <c r="H29" s="404">
        <f>58908374+1543253</f>
        <v>60451627</v>
      </c>
      <c r="I29" s="405"/>
      <c r="J29" s="406"/>
      <c r="K29" s="407">
        <f t="shared" si="3"/>
        <v>60451627</v>
      </c>
    </row>
    <row r="30" spans="1:14" s="419" customFormat="1" ht="16.5" customHeight="1">
      <c r="A30" s="391" t="s">
        <v>271</v>
      </c>
      <c r="B30" s="430" t="s">
        <v>272</v>
      </c>
      <c r="C30" s="431">
        <f t="shared" si="0"/>
        <v>1485145</v>
      </c>
      <c r="D30" s="432">
        <f>D31</f>
        <v>913765</v>
      </c>
      <c r="E30" s="433"/>
      <c r="F30" s="434"/>
      <c r="G30" s="434">
        <f t="shared" si="4"/>
        <v>913765</v>
      </c>
      <c r="H30" s="432">
        <f>H31</f>
        <v>571380</v>
      </c>
      <c r="I30" s="433"/>
      <c r="J30" s="434"/>
      <c r="K30" s="435">
        <f t="shared" si="3"/>
        <v>571380</v>
      </c>
      <c r="L30" s="399"/>
      <c r="M30" s="399"/>
      <c r="N30" s="399"/>
    </row>
    <row r="31" spans="1:11" s="408" customFormat="1" ht="12" customHeight="1">
      <c r="A31" s="416"/>
      <c r="B31" s="424" t="s">
        <v>365</v>
      </c>
      <c r="C31" s="425">
        <f t="shared" si="0"/>
        <v>1485145</v>
      </c>
      <c r="D31" s="426">
        <f>855000+45765+13000</f>
        <v>913765</v>
      </c>
      <c r="E31" s="427"/>
      <c r="F31" s="428"/>
      <c r="G31" s="428">
        <f t="shared" si="4"/>
        <v>913765</v>
      </c>
      <c r="H31" s="426">
        <f>485000+86380</f>
        <v>571380</v>
      </c>
      <c r="I31" s="427"/>
      <c r="J31" s="428"/>
      <c r="K31" s="429">
        <f t="shared" si="3"/>
        <v>571380</v>
      </c>
    </row>
    <row r="32" spans="1:14" s="437" customFormat="1" ht="18.75" customHeight="1">
      <c r="A32" s="391" t="s">
        <v>275</v>
      </c>
      <c r="B32" s="392" t="s">
        <v>276</v>
      </c>
      <c r="C32" s="393">
        <f t="shared" si="0"/>
        <v>15000</v>
      </c>
      <c r="D32" s="397"/>
      <c r="E32" s="395"/>
      <c r="F32" s="396"/>
      <c r="G32" s="436"/>
      <c r="H32" s="397"/>
      <c r="I32" s="395"/>
      <c r="J32" s="396">
        <f>J33</f>
        <v>15000</v>
      </c>
      <c r="K32" s="398">
        <f t="shared" si="3"/>
        <v>15000</v>
      </c>
      <c r="L32" s="399"/>
      <c r="M32" s="399"/>
      <c r="N32" s="399"/>
    </row>
    <row r="33" spans="1:14" s="408" customFormat="1" ht="15" customHeight="1">
      <c r="A33" s="416"/>
      <c r="B33" s="402" t="s">
        <v>365</v>
      </c>
      <c r="C33" s="425">
        <f t="shared" si="0"/>
        <v>15000</v>
      </c>
      <c r="D33" s="426"/>
      <c r="E33" s="427"/>
      <c r="F33" s="428"/>
      <c r="G33" s="428"/>
      <c r="H33" s="426"/>
      <c r="I33" s="427"/>
      <c r="J33" s="428">
        <v>15000</v>
      </c>
      <c r="K33" s="429">
        <f t="shared" si="3"/>
        <v>15000</v>
      </c>
      <c r="L33" s="399"/>
      <c r="M33" s="399"/>
      <c r="N33" s="399"/>
    </row>
    <row r="34" spans="1:14" s="437" customFormat="1" ht="18" customHeight="1">
      <c r="A34" s="391" t="s">
        <v>277</v>
      </c>
      <c r="B34" s="392" t="s">
        <v>373</v>
      </c>
      <c r="C34" s="393">
        <f t="shared" si="0"/>
        <v>27742100</v>
      </c>
      <c r="D34" s="397">
        <f>D35</f>
        <v>4673900</v>
      </c>
      <c r="E34" s="438"/>
      <c r="F34" s="395">
        <f>F35</f>
        <v>22634000</v>
      </c>
      <c r="G34" s="396">
        <f aca="true" t="shared" si="5" ref="G34:G41">SUM(D34:F34)</f>
        <v>27307900</v>
      </c>
      <c r="H34" s="397">
        <f>H35</f>
        <v>418200</v>
      </c>
      <c r="I34" s="395"/>
      <c r="J34" s="396">
        <f>J35</f>
        <v>16000</v>
      </c>
      <c r="K34" s="439">
        <f t="shared" si="3"/>
        <v>434200</v>
      </c>
      <c r="L34" s="399"/>
      <c r="M34" s="399"/>
      <c r="N34" s="399"/>
    </row>
    <row r="35" spans="1:14" s="408" customFormat="1" ht="15" customHeight="1">
      <c r="A35" s="416"/>
      <c r="B35" s="402" t="s">
        <v>365</v>
      </c>
      <c r="C35" s="403">
        <f t="shared" si="0"/>
        <v>27742100</v>
      </c>
      <c r="D35" s="404">
        <f>4614600+59300</f>
        <v>4673900</v>
      </c>
      <c r="E35" s="405"/>
      <c r="F35" s="406">
        <v>22634000</v>
      </c>
      <c r="G35" s="406">
        <f t="shared" si="5"/>
        <v>27307900</v>
      </c>
      <c r="H35" s="404">
        <f>410000+8200</f>
        <v>418200</v>
      </c>
      <c r="I35" s="405"/>
      <c r="J35" s="406">
        <v>16000</v>
      </c>
      <c r="K35" s="407">
        <f t="shared" si="3"/>
        <v>434200</v>
      </c>
      <c r="L35" s="440"/>
      <c r="M35" s="440"/>
      <c r="N35" s="440"/>
    </row>
    <row r="36" spans="1:14" s="437" customFormat="1" ht="25.5" customHeight="1">
      <c r="A36" s="391" t="s">
        <v>279</v>
      </c>
      <c r="B36" s="392" t="s">
        <v>280</v>
      </c>
      <c r="C36" s="393">
        <f t="shared" si="0"/>
        <v>1772221</v>
      </c>
      <c r="D36" s="397">
        <f>D37</f>
        <v>943484</v>
      </c>
      <c r="E36" s="395"/>
      <c r="F36" s="396"/>
      <c r="G36" s="434">
        <f t="shared" si="5"/>
        <v>943484</v>
      </c>
      <c r="H36" s="397">
        <f>H37</f>
        <v>712737</v>
      </c>
      <c r="I36" s="395"/>
      <c r="J36" s="396">
        <f>J37</f>
        <v>116000</v>
      </c>
      <c r="K36" s="398">
        <f t="shared" si="3"/>
        <v>828737</v>
      </c>
      <c r="L36" s="399"/>
      <c r="M36" s="399"/>
      <c r="N36" s="399"/>
    </row>
    <row r="37" spans="1:14" s="408" customFormat="1" ht="15" customHeight="1">
      <c r="A37" s="416"/>
      <c r="B37" s="402" t="s">
        <v>365</v>
      </c>
      <c r="C37" s="403">
        <f t="shared" si="0"/>
        <v>1772221</v>
      </c>
      <c r="D37" s="404">
        <v>943484</v>
      </c>
      <c r="E37" s="405"/>
      <c r="F37" s="406"/>
      <c r="G37" s="406">
        <f t="shared" si="5"/>
        <v>943484</v>
      </c>
      <c r="H37" s="404">
        <f>480436+82852+149449</f>
        <v>712737</v>
      </c>
      <c r="I37" s="405"/>
      <c r="J37" s="406">
        <v>116000</v>
      </c>
      <c r="K37" s="407">
        <f t="shared" si="3"/>
        <v>828737</v>
      </c>
      <c r="L37" s="440"/>
      <c r="M37" s="440"/>
      <c r="N37" s="440"/>
    </row>
    <row r="38" spans="1:14" s="437" customFormat="1" ht="18.75" customHeight="1">
      <c r="A38" s="391" t="s">
        <v>281</v>
      </c>
      <c r="B38" s="392" t="s">
        <v>374</v>
      </c>
      <c r="C38" s="393">
        <f t="shared" si="0"/>
        <v>842227</v>
      </c>
      <c r="D38" s="441">
        <f>D39</f>
        <v>605827</v>
      </c>
      <c r="E38" s="442"/>
      <c r="F38" s="443"/>
      <c r="G38" s="396">
        <f t="shared" si="5"/>
        <v>605827</v>
      </c>
      <c r="H38" s="397">
        <f>H39</f>
        <v>236400</v>
      </c>
      <c r="I38" s="395"/>
      <c r="J38" s="396"/>
      <c r="K38" s="398">
        <f t="shared" si="3"/>
        <v>236400</v>
      </c>
      <c r="L38" s="399"/>
      <c r="M38" s="399"/>
      <c r="N38" s="399"/>
    </row>
    <row r="39" spans="1:14" s="408" customFormat="1" ht="15" customHeight="1">
      <c r="A39" s="416"/>
      <c r="B39" s="402" t="s">
        <v>365</v>
      </c>
      <c r="C39" s="403">
        <f t="shared" si="0"/>
        <v>842227</v>
      </c>
      <c r="D39" s="404">
        <f>104000+501827</f>
        <v>605827</v>
      </c>
      <c r="E39" s="405"/>
      <c r="F39" s="406"/>
      <c r="G39" s="406">
        <f t="shared" si="5"/>
        <v>605827</v>
      </c>
      <c r="H39" s="404">
        <f>234200+2200</f>
        <v>236400</v>
      </c>
      <c r="I39" s="405"/>
      <c r="J39" s="406"/>
      <c r="K39" s="407">
        <f t="shared" si="3"/>
        <v>236400</v>
      </c>
      <c r="L39" s="399"/>
      <c r="M39" s="399"/>
      <c r="N39" s="399"/>
    </row>
    <row r="40" spans="1:14" s="437" customFormat="1" ht="24" customHeight="1">
      <c r="A40" s="391" t="s">
        <v>283</v>
      </c>
      <c r="B40" s="392" t="s">
        <v>375</v>
      </c>
      <c r="C40" s="393">
        <f t="shared" si="0"/>
        <v>20000</v>
      </c>
      <c r="D40" s="397">
        <f>D41</f>
        <v>20000</v>
      </c>
      <c r="E40" s="395"/>
      <c r="F40" s="396"/>
      <c r="G40" s="396">
        <f t="shared" si="5"/>
        <v>20000</v>
      </c>
      <c r="H40" s="444"/>
      <c r="I40" s="442"/>
      <c r="J40" s="443"/>
      <c r="K40" s="423"/>
      <c r="L40" s="399"/>
      <c r="M40" s="399"/>
      <c r="N40" s="399"/>
    </row>
    <row r="41" spans="1:14" s="408" customFormat="1" ht="15" customHeight="1">
      <c r="A41" s="416"/>
      <c r="B41" s="402" t="s">
        <v>365</v>
      </c>
      <c r="C41" s="403">
        <f t="shared" si="0"/>
        <v>20000</v>
      </c>
      <c r="D41" s="404">
        <v>20000</v>
      </c>
      <c r="E41" s="405"/>
      <c r="F41" s="406"/>
      <c r="G41" s="406">
        <f t="shared" si="5"/>
        <v>20000</v>
      </c>
      <c r="H41" s="404"/>
      <c r="I41" s="405"/>
      <c r="J41" s="406"/>
      <c r="K41" s="407"/>
      <c r="L41" s="399"/>
      <c r="M41" s="399"/>
      <c r="N41" s="399"/>
    </row>
    <row r="42" spans="1:14" s="437" customFormat="1" ht="23.25" customHeight="1">
      <c r="A42" s="391" t="s">
        <v>287</v>
      </c>
      <c r="B42" s="392" t="s">
        <v>288</v>
      </c>
      <c r="C42" s="393">
        <f t="shared" si="0"/>
        <v>1464079</v>
      </c>
      <c r="D42" s="441"/>
      <c r="E42" s="442"/>
      <c r="F42" s="443"/>
      <c r="G42" s="436"/>
      <c r="H42" s="397">
        <f>SUM(H43:H44)</f>
        <v>1464079</v>
      </c>
      <c r="I42" s="395"/>
      <c r="J42" s="396"/>
      <c r="K42" s="398">
        <f>SUM(H42:J42)</f>
        <v>1464079</v>
      </c>
      <c r="L42" s="399"/>
      <c r="M42" s="399"/>
      <c r="N42" s="399"/>
    </row>
    <row r="43" spans="1:14" s="2316" customFormat="1" ht="14.25" customHeight="1">
      <c r="A43" s="2305"/>
      <c r="B43" s="2306" t="s">
        <v>26</v>
      </c>
      <c r="C43" s="2307">
        <f>K43</f>
        <v>40000</v>
      </c>
      <c r="D43" s="2308"/>
      <c r="E43" s="2309"/>
      <c r="F43" s="2310"/>
      <c r="G43" s="2311"/>
      <c r="H43" s="2312">
        <v>40000</v>
      </c>
      <c r="I43" s="773"/>
      <c r="J43" s="2313"/>
      <c r="K43" s="2314">
        <f>H43</f>
        <v>40000</v>
      </c>
      <c r="L43" s="2315"/>
      <c r="M43" s="2315"/>
      <c r="N43" s="2315"/>
    </row>
    <row r="44" spans="1:14" s="408" customFormat="1" ht="13.5" customHeight="1">
      <c r="A44" s="401"/>
      <c r="B44" s="409" t="s">
        <v>366</v>
      </c>
      <c r="C44" s="410">
        <f t="shared" si="0"/>
        <v>1424079</v>
      </c>
      <c r="D44" s="411"/>
      <c r="E44" s="412"/>
      <c r="F44" s="413"/>
      <c r="G44" s="414"/>
      <c r="H44" s="411">
        <v>1424079</v>
      </c>
      <c r="I44" s="412"/>
      <c r="J44" s="413"/>
      <c r="K44" s="415">
        <f>SUM(H44:J44)</f>
        <v>1424079</v>
      </c>
      <c r="L44" s="399"/>
      <c r="M44" s="399"/>
      <c r="N44" s="399"/>
    </row>
    <row r="45" spans="1:14" s="451" customFormat="1" ht="16.5" customHeight="1">
      <c r="A45" s="445" t="s">
        <v>289</v>
      </c>
      <c r="B45" s="2478" t="s">
        <v>290</v>
      </c>
      <c r="C45" s="2479">
        <f>G45+K45</f>
        <v>1882000</v>
      </c>
      <c r="D45" s="2480">
        <f>SUM(D46:D47)</f>
        <v>1882000</v>
      </c>
      <c r="E45" s="2481"/>
      <c r="F45" s="2482"/>
      <c r="G45" s="446">
        <f>SUM(G46:G47)</f>
        <v>1882000</v>
      </c>
      <c r="H45" s="2480"/>
      <c r="I45" s="2483"/>
      <c r="J45" s="446"/>
      <c r="K45" s="439"/>
      <c r="L45" s="450"/>
      <c r="M45" s="450"/>
      <c r="N45" s="450"/>
    </row>
    <row r="46" spans="1:14" s="2492" customFormat="1" ht="12" customHeight="1">
      <c r="A46" s="2484"/>
      <c r="B46" s="2306" t="s">
        <v>26</v>
      </c>
      <c r="C46" s="2485">
        <f>G46</f>
        <v>550000</v>
      </c>
      <c r="D46" s="2312">
        <v>550000</v>
      </c>
      <c r="E46" s="2486"/>
      <c r="F46" s="2487"/>
      <c r="G46" s="2488">
        <f>SUM(D46:F46)</f>
        <v>550000</v>
      </c>
      <c r="H46" s="2312"/>
      <c r="I46" s="2489"/>
      <c r="J46" s="2488"/>
      <c r="K46" s="2490"/>
      <c r="L46" s="2491"/>
      <c r="M46" s="2491"/>
      <c r="N46" s="2491"/>
    </row>
    <row r="47" spans="1:14" s="2499" customFormat="1" ht="15" customHeight="1" thickBot="1">
      <c r="A47" s="2493"/>
      <c r="B47" s="2494" t="s">
        <v>366</v>
      </c>
      <c r="C47" s="2485">
        <f>G47+K47</f>
        <v>1332000</v>
      </c>
      <c r="D47" s="2495">
        <v>1332000</v>
      </c>
      <c r="E47" s="2496"/>
      <c r="F47" s="2497"/>
      <c r="G47" s="2488">
        <f>SUM(D47:F47)</f>
        <v>1332000</v>
      </c>
      <c r="H47" s="2495"/>
      <c r="I47" s="2496"/>
      <c r="J47" s="2497"/>
      <c r="K47" s="2490"/>
      <c r="L47" s="2498"/>
      <c r="M47" s="2498"/>
      <c r="N47" s="2498"/>
    </row>
    <row r="48" spans="1:15" s="459" customFormat="1" ht="30" customHeight="1" thickBot="1" thickTop="1">
      <c r="A48" s="452"/>
      <c r="B48" s="453" t="s">
        <v>376</v>
      </c>
      <c r="C48" s="454">
        <f aca="true" t="shared" si="6" ref="C48:K48">C42+C40+C38+C36+C34+C32+C30+C28+C26+C23+C21+C19+C16+C13+C10+C45</f>
        <v>350706809</v>
      </c>
      <c r="D48" s="455">
        <f t="shared" si="6"/>
        <v>223122303</v>
      </c>
      <c r="E48" s="456">
        <f t="shared" si="6"/>
        <v>16600</v>
      </c>
      <c r="F48" s="456">
        <f t="shared" si="6"/>
        <v>23419477</v>
      </c>
      <c r="G48" s="457">
        <f t="shared" si="6"/>
        <v>246558380</v>
      </c>
      <c r="H48" s="455">
        <f t="shared" si="6"/>
        <v>95869129</v>
      </c>
      <c r="I48" s="456">
        <f t="shared" si="6"/>
        <v>5500</v>
      </c>
      <c r="J48" s="456">
        <f t="shared" si="6"/>
        <v>8273800</v>
      </c>
      <c r="K48" s="457">
        <f t="shared" si="6"/>
        <v>104148429</v>
      </c>
      <c r="L48" s="458"/>
      <c r="M48" s="458"/>
      <c r="N48" s="458"/>
      <c r="O48" s="458"/>
    </row>
    <row r="49" spans="1:11" s="400" customFormat="1" ht="15" customHeight="1" thickTop="1">
      <c r="A49" s="460"/>
      <c r="B49" s="461" t="s">
        <v>365</v>
      </c>
      <c r="C49" s="462">
        <f>C41+C39+C37+C35+C33+C31+C29+C27+C24+C22+C20+C17+C14+C11</f>
        <v>322302730</v>
      </c>
      <c r="D49" s="462">
        <f>D41+D39+D37+D35+D33+D31+D29+D27+D24+D22+D20+D17+D14+D11</f>
        <v>201240303</v>
      </c>
      <c r="E49" s="463">
        <f>E41+E39+E37+E35+E33+E31+E29+E27+E24+E22+E20+E17+E14+E11</f>
        <v>16600</v>
      </c>
      <c r="F49" s="463">
        <f>F41+F39+F37+F35+F33+F31+F29+F27+F24+F22+F20+F17+F14+F11</f>
        <v>23419477</v>
      </c>
      <c r="G49" s="464">
        <f>SUM(D49:F49)</f>
        <v>224676380</v>
      </c>
      <c r="H49" s="462">
        <f>H41+H39+H37+H35+H33+H31+H29+H27+H24+H22+H20+H17+H14+H11</f>
        <v>89405050</v>
      </c>
      <c r="I49" s="463">
        <f>I41+I39+I37+I35+I33+I31+I29+I27+I24+I22+I20+I17+I14+I11</f>
        <v>5500</v>
      </c>
      <c r="J49" s="463">
        <f>J41+J39+J37+J35+J33+J31+J29+J27+J24+J22+J20+J17+J14+J11</f>
        <v>8215800</v>
      </c>
      <c r="K49" s="465">
        <f>SUM(H49:J49)</f>
        <v>97626350</v>
      </c>
    </row>
    <row r="50" spans="1:11" s="400" customFormat="1" ht="17.25" customHeight="1" thickBot="1">
      <c r="A50" s="466"/>
      <c r="B50" s="467" t="s">
        <v>366</v>
      </c>
      <c r="C50" s="468">
        <f>C44+C25+C18+C15+C12+C47</f>
        <v>27814079</v>
      </c>
      <c r="D50" s="468">
        <f>D44+D25+D18+D15+D47</f>
        <v>21332000</v>
      </c>
      <c r="E50" s="469"/>
      <c r="F50" s="469"/>
      <c r="G50" s="470">
        <f>SUM(D50:F50)</f>
        <v>21332000</v>
      </c>
      <c r="H50" s="468">
        <f>H44+H25+H18+H15+H12+H47</f>
        <v>6424079</v>
      </c>
      <c r="I50" s="469"/>
      <c r="J50" s="469">
        <f>J44+J25+J18+J15+J12+J47</f>
        <v>58000</v>
      </c>
      <c r="K50" s="470">
        <f>SUM(H50:J50)</f>
        <v>6482079</v>
      </c>
    </row>
    <row r="51" spans="1:7" ht="16.5" thickTop="1">
      <c r="A51" s="102" t="s">
        <v>556</v>
      </c>
      <c r="G51" s="450"/>
    </row>
    <row r="52" spans="1:7" ht="15.75">
      <c r="A52" s="102" t="s">
        <v>297</v>
      </c>
      <c r="G52" s="450"/>
    </row>
    <row r="53" spans="1:7" ht="15.75">
      <c r="A53" s="102" t="s">
        <v>780</v>
      </c>
      <c r="G53" s="450"/>
    </row>
    <row r="54" ht="15.75">
      <c r="G54" s="450"/>
    </row>
    <row r="55" ht="15.75">
      <c r="G55" s="450"/>
    </row>
    <row r="56" ht="15.75">
      <c r="G56" s="450"/>
    </row>
    <row r="57" ht="15.75">
      <c r="G57" s="450"/>
    </row>
    <row r="58" ht="15.75">
      <c r="G58" s="450"/>
    </row>
    <row r="59" ht="15.75">
      <c r="G59" s="450"/>
    </row>
    <row r="60" ht="15.75">
      <c r="G60" s="450"/>
    </row>
    <row r="61" ht="15.75">
      <c r="G61" s="450"/>
    </row>
    <row r="62" ht="15.75">
      <c r="G62" s="450"/>
    </row>
    <row r="63" ht="15.75">
      <c r="G63" s="450"/>
    </row>
    <row r="64" ht="15.75">
      <c r="G64" s="450"/>
    </row>
    <row r="65" ht="15.75">
      <c r="G65" s="450"/>
    </row>
    <row r="66" ht="15.75">
      <c r="G66" s="450"/>
    </row>
    <row r="67" ht="15.75">
      <c r="G67" s="450"/>
    </row>
    <row r="68" ht="15.75">
      <c r="G68" s="450"/>
    </row>
    <row r="69" ht="15.75">
      <c r="G69" s="450"/>
    </row>
    <row r="70" ht="15.75">
      <c r="G70" s="450"/>
    </row>
    <row r="71" ht="15.75">
      <c r="G71" s="450"/>
    </row>
    <row r="72" ht="15.75">
      <c r="G72" s="450"/>
    </row>
    <row r="73" ht="15.75">
      <c r="G73" s="450"/>
    </row>
    <row r="74" ht="15.75">
      <c r="G74" s="450"/>
    </row>
    <row r="75" ht="15.75">
      <c r="G75" s="450"/>
    </row>
    <row r="76" ht="15.75">
      <c r="G76" s="450"/>
    </row>
    <row r="77" ht="15.75">
      <c r="G77" s="450"/>
    </row>
    <row r="78" ht="15.75">
      <c r="G78" s="450"/>
    </row>
    <row r="79" ht="15.75">
      <c r="G79" s="450"/>
    </row>
    <row r="80" ht="15.75">
      <c r="G80" s="450"/>
    </row>
    <row r="81" ht="15.75">
      <c r="G81" s="450"/>
    </row>
    <row r="82" ht="15.75">
      <c r="G82" s="450"/>
    </row>
    <row r="83" ht="15.75">
      <c r="G83" s="450"/>
    </row>
    <row r="84" ht="15.75">
      <c r="G84" s="450"/>
    </row>
    <row r="85" ht="15.75">
      <c r="G85" s="450"/>
    </row>
    <row r="86" ht="15.75">
      <c r="G86" s="450"/>
    </row>
    <row r="87" ht="15.75">
      <c r="G87" s="450"/>
    </row>
    <row r="88" ht="15.75">
      <c r="G88" s="450"/>
    </row>
    <row r="89" ht="15.75">
      <c r="G89" s="450"/>
    </row>
    <row r="90" ht="15.75">
      <c r="G90" s="450"/>
    </row>
    <row r="91" ht="15.75">
      <c r="G91" s="450"/>
    </row>
    <row r="92" ht="15.75">
      <c r="G92" s="450"/>
    </row>
    <row r="93" ht="15.75">
      <c r="G93" s="450"/>
    </row>
    <row r="94" ht="15.75">
      <c r="G94" s="450"/>
    </row>
    <row r="95" ht="15.75">
      <c r="G95" s="450"/>
    </row>
    <row r="96" ht="15.75">
      <c r="G96" s="450"/>
    </row>
    <row r="97" ht="15.75">
      <c r="G97" s="450"/>
    </row>
    <row r="98" ht="15.75">
      <c r="G98" s="450"/>
    </row>
    <row r="99" ht="15.75">
      <c r="G99" s="450"/>
    </row>
    <row r="100" ht="15.75">
      <c r="G100" s="450"/>
    </row>
    <row r="101" ht="15.75">
      <c r="G101" s="450"/>
    </row>
    <row r="102" ht="15.75">
      <c r="G102" s="450"/>
    </row>
    <row r="103" ht="15.75">
      <c r="G103" s="450"/>
    </row>
    <row r="104" ht="15.75">
      <c r="G104" s="450"/>
    </row>
    <row r="105" ht="15.75">
      <c r="G105" s="450"/>
    </row>
    <row r="106" ht="15.75">
      <c r="G106" s="450"/>
    </row>
    <row r="107" ht="15.75">
      <c r="G107" s="450"/>
    </row>
    <row r="108" ht="15.75">
      <c r="G108" s="450"/>
    </row>
    <row r="109" ht="15.75">
      <c r="G109" s="450"/>
    </row>
    <row r="110" ht="15.75">
      <c r="G110" s="450"/>
    </row>
    <row r="111" ht="15.75">
      <c r="G111" s="450"/>
    </row>
    <row r="112" ht="15.75">
      <c r="G112" s="450"/>
    </row>
    <row r="113" ht="15.75">
      <c r="G113" s="450"/>
    </row>
    <row r="114" ht="15.75">
      <c r="G114" s="450"/>
    </row>
    <row r="115" ht="15.75">
      <c r="G115" s="450"/>
    </row>
    <row r="116" ht="15.75">
      <c r="G116" s="450"/>
    </row>
    <row r="117" ht="15.75">
      <c r="G117" s="450"/>
    </row>
    <row r="118" ht="15.75">
      <c r="G118" s="450"/>
    </row>
    <row r="119" ht="15.75">
      <c r="G119" s="450"/>
    </row>
    <row r="120" ht="15.75">
      <c r="G120" s="450"/>
    </row>
    <row r="121" ht="15.75">
      <c r="G121" s="450"/>
    </row>
    <row r="122" ht="15.75">
      <c r="G122" s="450"/>
    </row>
    <row r="123" ht="15.75">
      <c r="G123" s="450"/>
    </row>
    <row r="124" ht="15.75">
      <c r="G124" s="450"/>
    </row>
    <row r="125" ht="15.75">
      <c r="G125" s="450"/>
    </row>
    <row r="126" ht="15.75">
      <c r="G126" s="450"/>
    </row>
    <row r="127" ht="15.75">
      <c r="G127" s="450"/>
    </row>
    <row r="128" ht="15.75">
      <c r="G128" s="450"/>
    </row>
    <row r="129" ht="15.75">
      <c r="G129" s="450"/>
    </row>
    <row r="130" ht="15.75">
      <c r="G130" s="450"/>
    </row>
    <row r="131" ht="15.75">
      <c r="G131" s="450"/>
    </row>
    <row r="132" ht="15.75">
      <c r="G132" s="450"/>
    </row>
    <row r="133" ht="15.75">
      <c r="G133" s="450"/>
    </row>
    <row r="134" ht="15.75">
      <c r="G134" s="450"/>
    </row>
    <row r="135" ht="15.75">
      <c r="G135" s="450"/>
    </row>
    <row r="136" ht="15.75">
      <c r="G136" s="450"/>
    </row>
    <row r="137" ht="15.75">
      <c r="G137" s="450"/>
    </row>
    <row r="138" ht="15.75">
      <c r="G138" s="450"/>
    </row>
    <row r="139" ht="15.75">
      <c r="G139" s="450"/>
    </row>
    <row r="140" ht="15.75">
      <c r="G140" s="450"/>
    </row>
    <row r="141" ht="15.75">
      <c r="G141" s="450"/>
    </row>
    <row r="142" ht="15.75">
      <c r="G142" s="450"/>
    </row>
    <row r="143" ht="15.75">
      <c r="G143" s="450"/>
    </row>
    <row r="144" ht="15.75">
      <c r="G144" s="450"/>
    </row>
    <row r="145" ht="15.75">
      <c r="G145" s="450"/>
    </row>
    <row r="146" ht="15.75">
      <c r="G146" s="450"/>
    </row>
    <row r="147" ht="15.75">
      <c r="G147" s="450"/>
    </row>
    <row r="148" ht="15.75">
      <c r="G148" s="450"/>
    </row>
    <row r="149" ht="15.75">
      <c r="G149" s="450"/>
    </row>
    <row r="150" ht="15.75">
      <c r="G150" s="450"/>
    </row>
    <row r="151" ht="15.75">
      <c r="G151" s="450"/>
    </row>
    <row r="152" ht="15.75">
      <c r="G152" s="450"/>
    </row>
    <row r="153" ht="15.75">
      <c r="G153" s="450"/>
    </row>
    <row r="154" ht="15.75">
      <c r="G154" s="450"/>
    </row>
    <row r="155" ht="15.75">
      <c r="G155" s="450"/>
    </row>
    <row r="156" ht="15.75">
      <c r="G156" s="450"/>
    </row>
    <row r="157" ht="15.75">
      <c r="G157" s="450"/>
    </row>
    <row r="158" ht="15.75">
      <c r="G158" s="450"/>
    </row>
    <row r="159" ht="15.75">
      <c r="G159" s="450"/>
    </row>
    <row r="160" ht="15.75">
      <c r="G160" s="450"/>
    </row>
    <row r="161" ht="15.75">
      <c r="G161" s="450"/>
    </row>
    <row r="162" ht="15.75">
      <c r="G162" s="450"/>
    </row>
    <row r="163" ht="15.75">
      <c r="G163" s="450"/>
    </row>
    <row r="164" ht="15.75">
      <c r="G164" s="450"/>
    </row>
    <row r="165" ht="15.75">
      <c r="G165" s="450"/>
    </row>
    <row r="166" ht="15.75">
      <c r="G166" s="450"/>
    </row>
    <row r="167" ht="15.75">
      <c r="G167" s="450"/>
    </row>
    <row r="168" ht="15.75">
      <c r="G168" s="450"/>
    </row>
    <row r="169" ht="15.75">
      <c r="G169" s="450"/>
    </row>
    <row r="170" ht="15.75">
      <c r="G170" s="450"/>
    </row>
    <row r="171" ht="15.75">
      <c r="G171" s="450"/>
    </row>
    <row r="172" ht="15.75">
      <c r="G172" s="450"/>
    </row>
    <row r="173" ht="15.75">
      <c r="G173" s="450"/>
    </row>
    <row r="174" ht="15.75">
      <c r="G174" s="450"/>
    </row>
    <row r="175" ht="15.75">
      <c r="G175" s="450"/>
    </row>
    <row r="176" ht="15.75">
      <c r="G176" s="450"/>
    </row>
    <row r="177" ht="15.75">
      <c r="G177" s="450"/>
    </row>
    <row r="178" ht="15.75">
      <c r="G178" s="450"/>
    </row>
    <row r="179" ht="15.75">
      <c r="G179" s="450"/>
    </row>
    <row r="180" ht="15.75">
      <c r="G180" s="450"/>
    </row>
    <row r="181" ht="15.75">
      <c r="G181" s="450"/>
    </row>
    <row r="182" ht="15.75">
      <c r="G182" s="450"/>
    </row>
    <row r="183" ht="15.75">
      <c r="G183" s="450"/>
    </row>
    <row r="184" ht="15.75">
      <c r="G184" s="450"/>
    </row>
    <row r="185" ht="15.75">
      <c r="G185" s="450"/>
    </row>
    <row r="186" ht="15.75">
      <c r="G186" s="450"/>
    </row>
    <row r="187" ht="15.75">
      <c r="G187" s="450"/>
    </row>
    <row r="188" ht="15.75">
      <c r="G188" s="450"/>
    </row>
    <row r="189" ht="15.75">
      <c r="G189" s="450"/>
    </row>
    <row r="190" ht="15.75">
      <c r="G190" s="450"/>
    </row>
    <row r="191" ht="15.75">
      <c r="G191" s="450"/>
    </row>
    <row r="192" ht="15.75">
      <c r="G192" s="450"/>
    </row>
    <row r="193" ht="15.75">
      <c r="G193" s="450"/>
    </row>
    <row r="194" ht="15.75">
      <c r="G194" s="450"/>
    </row>
    <row r="195" ht="15.75">
      <c r="G195" s="450"/>
    </row>
    <row r="196" ht="15.75">
      <c r="G196" s="450"/>
    </row>
    <row r="197" ht="15.75">
      <c r="G197" s="450"/>
    </row>
    <row r="198" ht="15.75">
      <c r="G198" s="450"/>
    </row>
    <row r="199" ht="15.75">
      <c r="G199" s="450"/>
    </row>
    <row r="200" ht="15.75">
      <c r="G200" s="450"/>
    </row>
    <row r="201" ht="15.75">
      <c r="G201" s="450"/>
    </row>
    <row r="202" ht="15.75">
      <c r="G202" s="450"/>
    </row>
    <row r="203" ht="15.75">
      <c r="G203" s="450"/>
    </row>
    <row r="204" ht="15.75">
      <c r="G204" s="450"/>
    </row>
    <row r="205" ht="15.75">
      <c r="G205" s="450"/>
    </row>
    <row r="206" ht="15.75">
      <c r="G206" s="450"/>
    </row>
    <row r="207" ht="15.75">
      <c r="G207" s="450"/>
    </row>
    <row r="208" ht="15.75">
      <c r="G208" s="450"/>
    </row>
    <row r="209" ht="15.75">
      <c r="G209" s="450"/>
    </row>
    <row r="210" ht="15.75">
      <c r="G210" s="450"/>
    </row>
    <row r="211" ht="15.75">
      <c r="G211" s="450"/>
    </row>
    <row r="212" ht="15.75">
      <c r="G212" s="450"/>
    </row>
    <row r="213" ht="15.75">
      <c r="G213" s="450"/>
    </row>
    <row r="214" ht="15.75">
      <c r="G214" s="450"/>
    </row>
    <row r="215" ht="15.75">
      <c r="G215" s="450"/>
    </row>
    <row r="216" ht="15.75">
      <c r="G216" s="450"/>
    </row>
    <row r="217" ht="15.75">
      <c r="G217" s="450"/>
    </row>
    <row r="218" ht="15.75">
      <c r="G218" s="450"/>
    </row>
    <row r="219" ht="15.75">
      <c r="G219" s="450"/>
    </row>
    <row r="220" ht="15.75">
      <c r="G220" s="450"/>
    </row>
    <row r="221" ht="15.75">
      <c r="G221" s="450"/>
    </row>
    <row r="222" ht="15.75">
      <c r="G222" s="450"/>
    </row>
    <row r="223" ht="15.75">
      <c r="G223" s="450"/>
    </row>
    <row r="224" ht="15.75">
      <c r="G224" s="450"/>
    </row>
    <row r="225" ht="15.75">
      <c r="G225" s="450"/>
    </row>
    <row r="226" ht="15.75">
      <c r="G226" s="450"/>
    </row>
    <row r="227" ht="15.75">
      <c r="G227" s="450"/>
    </row>
    <row r="228" ht="15.75">
      <c r="G228" s="450"/>
    </row>
    <row r="229" ht="15.75">
      <c r="G229" s="450"/>
    </row>
    <row r="230" ht="15.75">
      <c r="G230" s="450"/>
    </row>
    <row r="231" ht="15.75">
      <c r="G231" s="450"/>
    </row>
    <row r="232" ht="15.75">
      <c r="G232" s="450"/>
    </row>
    <row r="233" ht="15.75">
      <c r="G233" s="450"/>
    </row>
    <row r="234" ht="15.75">
      <c r="G234" s="450"/>
    </row>
    <row r="235" ht="15.75">
      <c r="G235" s="450"/>
    </row>
    <row r="236" ht="15.75">
      <c r="G236" s="450"/>
    </row>
    <row r="237" ht="15.75">
      <c r="G237" s="450"/>
    </row>
    <row r="238" ht="15.75">
      <c r="G238" s="450"/>
    </row>
    <row r="239" ht="15.75">
      <c r="G239" s="450"/>
    </row>
    <row r="240" ht="15.75">
      <c r="G240" s="450"/>
    </row>
    <row r="241" ht="15.75">
      <c r="G241" s="450"/>
    </row>
    <row r="242" ht="15.75">
      <c r="G242" s="450"/>
    </row>
    <row r="243" ht="15.75">
      <c r="G243" s="450"/>
    </row>
    <row r="244" ht="15.75">
      <c r="G244" s="450"/>
    </row>
    <row r="245" ht="15.75">
      <c r="G245" s="450"/>
    </row>
    <row r="246" ht="15.75">
      <c r="G246" s="450"/>
    </row>
    <row r="247" ht="15.75">
      <c r="G247" s="450"/>
    </row>
    <row r="248" ht="15.75">
      <c r="G248" s="450"/>
    </row>
    <row r="249" ht="15.75">
      <c r="G249" s="450"/>
    </row>
    <row r="250" ht="15.75">
      <c r="G250" s="450"/>
    </row>
    <row r="251" ht="15.75">
      <c r="G251" s="450"/>
    </row>
    <row r="252" ht="15.75">
      <c r="G252" s="450"/>
    </row>
    <row r="253" ht="15.75">
      <c r="G253" s="450"/>
    </row>
    <row r="254" ht="15.75">
      <c r="G254" s="450"/>
    </row>
    <row r="255" ht="15.75">
      <c r="G255" s="450"/>
    </row>
    <row r="256" ht="15.75">
      <c r="G256" s="450"/>
    </row>
    <row r="257" ht="15.75">
      <c r="G257" s="450"/>
    </row>
    <row r="258" ht="15.75">
      <c r="G258" s="450"/>
    </row>
    <row r="259" ht="15.75">
      <c r="G259" s="450"/>
    </row>
    <row r="260" ht="15.75">
      <c r="G260" s="450"/>
    </row>
    <row r="261" ht="15.75">
      <c r="G261" s="450"/>
    </row>
    <row r="262" ht="15.75">
      <c r="G262" s="450"/>
    </row>
    <row r="263" ht="15.75">
      <c r="G263" s="450"/>
    </row>
    <row r="264" ht="15.75">
      <c r="G264" s="450"/>
    </row>
    <row r="265" ht="15.75">
      <c r="G265" s="450"/>
    </row>
    <row r="266" ht="15.75">
      <c r="G266" s="450"/>
    </row>
    <row r="267" ht="15.75">
      <c r="G267" s="450"/>
    </row>
    <row r="268" ht="15.75">
      <c r="G268" s="450"/>
    </row>
    <row r="269" ht="15.75">
      <c r="G269" s="450"/>
    </row>
    <row r="270" ht="15.75">
      <c r="G270" s="450"/>
    </row>
    <row r="271" ht="15.75">
      <c r="G271" s="450"/>
    </row>
    <row r="272" ht="15.75">
      <c r="G272" s="450"/>
    </row>
    <row r="273" ht="15.75">
      <c r="G273" s="450"/>
    </row>
    <row r="274" ht="15.75">
      <c r="G274" s="450"/>
    </row>
    <row r="275" ht="15.75">
      <c r="G275" s="450"/>
    </row>
    <row r="276" ht="15.75">
      <c r="G276" s="450"/>
    </row>
    <row r="277" ht="15.75">
      <c r="G277" s="450"/>
    </row>
    <row r="278" ht="15.75">
      <c r="G278" s="450"/>
    </row>
    <row r="279" ht="15.75">
      <c r="G279" s="450"/>
    </row>
    <row r="280" ht="15.75">
      <c r="G280" s="450"/>
    </row>
    <row r="281" ht="15.75">
      <c r="G281" s="450"/>
    </row>
    <row r="282" ht="15.75">
      <c r="G282" s="450"/>
    </row>
    <row r="283" ht="15.75">
      <c r="G283" s="450"/>
    </row>
    <row r="284" ht="15.75">
      <c r="G284" s="450"/>
    </row>
    <row r="285" ht="15.75">
      <c r="G285" s="450"/>
    </row>
    <row r="286" ht="15.75">
      <c r="G286" s="450"/>
    </row>
    <row r="287" ht="15.75">
      <c r="G287" s="450"/>
    </row>
    <row r="288" ht="15.75">
      <c r="G288" s="450"/>
    </row>
  </sheetData>
  <printOptions horizontalCentered="1"/>
  <pageMargins left="0.2" right="0.22" top="0.44" bottom="0.63" header="0.27" footer="0.19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57"/>
  <sheetViews>
    <sheetView zoomScale="120" zoomScaleNormal="120" workbookViewId="0" topLeftCell="A9">
      <pane xSplit="2" ySplit="3" topLeftCell="C913" activePane="bottomRight" state="frozen"/>
      <selection pane="topLeft" activeCell="A9" sqref="A9"/>
      <selection pane="topRight" activeCell="C9" sqref="C9"/>
      <selection pane="bottomLeft" activeCell="A12" sqref="A12"/>
      <selection pane="bottomRight" activeCell="A938" sqref="A938"/>
    </sheetView>
  </sheetViews>
  <sheetFormatPr defaultColWidth="9.00390625" defaultRowHeight="12.75"/>
  <cols>
    <col min="1" max="1" width="5.75390625" style="471" customWidth="1"/>
    <col min="2" max="2" width="19.25390625" style="472" customWidth="1"/>
    <col min="3" max="3" width="13.75390625" style="473" customWidth="1"/>
    <col min="4" max="4" width="11.25390625" style="473" customWidth="1"/>
    <col min="5" max="5" width="13.25390625" style="473" customWidth="1"/>
    <col min="6" max="6" width="10.875" style="473" customWidth="1"/>
    <col min="7" max="7" width="12.625" style="4" customWidth="1"/>
    <col min="8" max="8" width="10.875" style="473" customWidth="1"/>
    <col min="9" max="9" width="11.75390625" style="4" customWidth="1"/>
    <col min="10" max="16384" width="9.125" style="474" customWidth="1"/>
  </cols>
  <sheetData>
    <row r="1" ht="12.75">
      <c r="H1" s="110" t="s">
        <v>377</v>
      </c>
    </row>
    <row r="2" ht="12.75">
      <c r="H2" s="6" t="s">
        <v>299</v>
      </c>
    </row>
    <row r="3" ht="12.75">
      <c r="H3" s="4" t="s">
        <v>16</v>
      </c>
    </row>
    <row r="4" ht="12.75">
      <c r="H4" s="6"/>
    </row>
    <row r="5" ht="8.25" customHeight="1">
      <c r="H5" s="4"/>
    </row>
    <row r="6" spans="1:9" s="479" customFormat="1" ht="18" customHeight="1">
      <c r="A6" s="475" t="s">
        <v>378</v>
      </c>
      <c r="B6" s="476"/>
      <c r="C6" s="477"/>
      <c r="D6" s="477"/>
      <c r="E6" s="477"/>
      <c r="F6" s="477"/>
      <c r="G6" s="478"/>
      <c r="H6" s="477"/>
      <c r="I6" s="478"/>
    </row>
    <row r="7" spans="1:9" s="479" customFormat="1" ht="15.75">
      <c r="A7" s="480" t="s">
        <v>379</v>
      </c>
      <c r="B7" s="476"/>
      <c r="C7" s="477"/>
      <c r="D7" s="477"/>
      <c r="E7" s="477"/>
      <c r="F7" s="477"/>
      <c r="G7" s="478"/>
      <c r="H7" s="477"/>
      <c r="I7" s="478"/>
    </row>
    <row r="8" spans="1:9" ht="13.5" thickBot="1">
      <c r="A8" s="481" t="s">
        <v>766</v>
      </c>
      <c r="B8" s="482"/>
      <c r="C8" s="482"/>
      <c r="D8" s="482"/>
      <c r="E8" s="482"/>
      <c r="F8" s="482"/>
      <c r="G8" s="483"/>
      <c r="H8" s="482"/>
      <c r="I8" s="483" t="s">
        <v>237</v>
      </c>
    </row>
    <row r="9" spans="1:9" ht="19.5" customHeight="1" thickTop="1">
      <c r="A9" s="484"/>
      <c r="B9" s="485"/>
      <c r="C9" s="486" t="s">
        <v>242</v>
      </c>
      <c r="D9" s="487"/>
      <c r="E9" s="488"/>
      <c r="F9" s="489" t="s">
        <v>302</v>
      </c>
      <c r="G9" s="490"/>
      <c r="H9" s="489" t="s">
        <v>303</v>
      </c>
      <c r="I9" s="491"/>
    </row>
    <row r="10" spans="1:9" ht="68.25" customHeight="1" thickBot="1">
      <c r="A10" s="492" t="s">
        <v>380</v>
      </c>
      <c r="B10" s="493" t="s">
        <v>381</v>
      </c>
      <c r="C10" s="494" t="s">
        <v>382</v>
      </c>
      <c r="D10" s="495" t="s">
        <v>243</v>
      </c>
      <c r="E10" s="496" t="s">
        <v>383</v>
      </c>
      <c r="F10" s="497" t="s">
        <v>243</v>
      </c>
      <c r="G10" s="496" t="s">
        <v>383</v>
      </c>
      <c r="H10" s="497" t="s">
        <v>243</v>
      </c>
      <c r="I10" s="498" t="s">
        <v>383</v>
      </c>
    </row>
    <row r="11" spans="1:9" s="507" customFormat="1" ht="11.25" customHeight="1" thickBot="1" thickTop="1">
      <c r="A11" s="499">
        <v>1</v>
      </c>
      <c r="B11" s="500">
        <v>2</v>
      </c>
      <c r="C11" s="501">
        <v>3</v>
      </c>
      <c r="D11" s="502">
        <v>4</v>
      </c>
      <c r="E11" s="503">
        <v>5</v>
      </c>
      <c r="F11" s="504">
        <v>6</v>
      </c>
      <c r="G11" s="505">
        <v>7</v>
      </c>
      <c r="H11" s="504">
        <v>8</v>
      </c>
      <c r="I11" s="506">
        <v>9</v>
      </c>
    </row>
    <row r="12" spans="1:9" s="514" customFormat="1" ht="27" thickBot="1" thickTop="1">
      <c r="A12" s="508" t="s">
        <v>248</v>
      </c>
      <c r="B12" s="509" t="s">
        <v>249</v>
      </c>
      <c r="C12" s="510">
        <f>C15+C22</f>
        <v>3000</v>
      </c>
      <c r="D12" s="511">
        <f>D15</f>
        <v>3000</v>
      </c>
      <c r="E12" s="512"/>
      <c r="F12" s="513">
        <f>F15</f>
        <v>3000</v>
      </c>
      <c r="G12" s="512"/>
      <c r="H12" s="513"/>
      <c r="I12" s="457"/>
    </row>
    <row r="13" spans="1:9" ht="12" customHeight="1" hidden="1">
      <c r="A13" s="515"/>
      <c r="B13" s="516" t="s">
        <v>384</v>
      </c>
      <c r="C13" s="517">
        <f>SUM(C14)</f>
        <v>0</v>
      </c>
      <c r="D13" s="518"/>
      <c r="E13" s="519">
        <f>G13+I13</f>
        <v>0</v>
      </c>
      <c r="F13" s="520"/>
      <c r="G13" s="521"/>
      <c r="H13" s="520"/>
      <c r="I13" s="522">
        <f>SUM(I14)</f>
        <v>0</v>
      </c>
    </row>
    <row r="14" spans="1:9" s="531" customFormat="1" ht="11.25" customHeight="1" hidden="1">
      <c r="A14" s="523"/>
      <c r="B14" s="524" t="s">
        <v>385</v>
      </c>
      <c r="C14" s="525">
        <f>SUM(D14:E14)</f>
        <v>0</v>
      </c>
      <c r="D14" s="526"/>
      <c r="E14" s="527">
        <f>G14+I14</f>
        <v>0</v>
      </c>
      <c r="F14" s="528"/>
      <c r="G14" s="529"/>
      <c r="H14" s="528"/>
      <c r="I14" s="530"/>
    </row>
    <row r="15" spans="1:9" s="539" customFormat="1" ht="15" customHeight="1" thickTop="1">
      <c r="A15" s="532" t="s">
        <v>386</v>
      </c>
      <c r="B15" s="533" t="s">
        <v>387</v>
      </c>
      <c r="C15" s="534">
        <f>C16</f>
        <v>3000</v>
      </c>
      <c r="D15" s="535">
        <f>D16</f>
        <v>3000</v>
      </c>
      <c r="E15" s="536"/>
      <c r="F15" s="537">
        <f>F16</f>
        <v>3000</v>
      </c>
      <c r="G15" s="536"/>
      <c r="H15" s="537"/>
      <c r="I15" s="538"/>
    </row>
    <row r="16" spans="1:9" s="543" customFormat="1" ht="12.75">
      <c r="A16" s="515"/>
      <c r="B16" s="540" t="s">
        <v>388</v>
      </c>
      <c r="C16" s="517">
        <f>SUM(C17)</f>
        <v>3000</v>
      </c>
      <c r="D16" s="518">
        <f>SUM(D17)</f>
        <v>3000</v>
      </c>
      <c r="E16" s="519"/>
      <c r="F16" s="520">
        <f>SUM(F17)</f>
        <v>3000</v>
      </c>
      <c r="G16" s="521"/>
      <c r="H16" s="541"/>
      <c r="I16" s="542"/>
    </row>
    <row r="17" spans="1:9" s="531" customFormat="1" ht="13.5" thickBot="1">
      <c r="A17" s="523"/>
      <c r="B17" s="544" t="s">
        <v>389</v>
      </c>
      <c r="C17" s="525">
        <f>D17+E17</f>
        <v>3000</v>
      </c>
      <c r="D17" s="526">
        <f>F17+H17</f>
        <v>3000</v>
      </c>
      <c r="E17" s="527"/>
      <c r="F17" s="545">
        <v>3000</v>
      </c>
      <c r="G17" s="529"/>
      <c r="H17" s="528"/>
      <c r="I17" s="530"/>
    </row>
    <row r="18" spans="1:9" s="514" customFormat="1" ht="14.25" hidden="1" thickBot="1" thickTop="1">
      <c r="A18" s="508" t="s">
        <v>390</v>
      </c>
      <c r="B18" s="509" t="s">
        <v>391</v>
      </c>
      <c r="C18" s="510">
        <f aca="true" t="shared" si="0" ref="C18:H20">SUM(C19)</f>
        <v>0</v>
      </c>
      <c r="D18" s="511">
        <f t="shared" si="0"/>
        <v>0</v>
      </c>
      <c r="E18" s="512"/>
      <c r="F18" s="513"/>
      <c r="G18" s="512"/>
      <c r="H18" s="513">
        <f t="shared" si="0"/>
        <v>0</v>
      </c>
      <c r="I18" s="457"/>
    </row>
    <row r="19" spans="1:9" s="539" customFormat="1" ht="10.5" customHeight="1" hidden="1">
      <c r="A19" s="532" t="s">
        <v>392</v>
      </c>
      <c r="B19" s="533" t="s">
        <v>393</v>
      </c>
      <c r="C19" s="546">
        <f t="shared" si="0"/>
        <v>0</v>
      </c>
      <c r="D19" s="447">
        <f t="shared" si="0"/>
        <v>0</v>
      </c>
      <c r="E19" s="547"/>
      <c r="F19" s="548"/>
      <c r="G19" s="547"/>
      <c r="H19" s="548">
        <f t="shared" si="0"/>
        <v>0</v>
      </c>
      <c r="I19" s="449"/>
    </row>
    <row r="20" spans="1:9" s="543" customFormat="1" ht="13.5" customHeight="1" hidden="1">
      <c r="A20" s="515"/>
      <c r="B20" s="540" t="s">
        <v>388</v>
      </c>
      <c r="C20" s="517">
        <f t="shared" si="0"/>
        <v>0</v>
      </c>
      <c r="D20" s="518">
        <f t="shared" si="0"/>
        <v>0</v>
      </c>
      <c r="E20" s="519"/>
      <c r="F20" s="520"/>
      <c r="G20" s="521"/>
      <c r="H20" s="520">
        <f t="shared" si="0"/>
        <v>0</v>
      </c>
      <c r="I20" s="522"/>
    </row>
    <row r="21" spans="1:9" s="550" customFormat="1" ht="14.25" customHeight="1" hidden="1">
      <c r="A21" s="523"/>
      <c r="B21" s="544" t="s">
        <v>389</v>
      </c>
      <c r="C21" s="525">
        <f>SUM(D21:E21)</f>
        <v>0</v>
      </c>
      <c r="D21" s="526">
        <f>F21+H21</f>
        <v>0</v>
      </c>
      <c r="E21" s="527"/>
      <c r="F21" s="545"/>
      <c r="G21" s="527"/>
      <c r="H21" s="545"/>
      <c r="I21" s="549"/>
    </row>
    <row r="22" spans="1:9" s="557" customFormat="1" ht="14.25" customHeight="1" hidden="1">
      <c r="A22" s="532" t="s">
        <v>394</v>
      </c>
      <c r="B22" s="551" t="s">
        <v>395</v>
      </c>
      <c r="C22" s="552">
        <f>C23</f>
        <v>0</v>
      </c>
      <c r="D22" s="553"/>
      <c r="E22" s="554">
        <f>E23</f>
        <v>0</v>
      </c>
      <c r="F22" s="555"/>
      <c r="G22" s="554">
        <f>G24</f>
        <v>0</v>
      </c>
      <c r="H22" s="556"/>
      <c r="I22" s="398"/>
    </row>
    <row r="23" spans="1:9" s="557" customFormat="1" ht="14.25" customHeight="1" hidden="1">
      <c r="A23" s="558"/>
      <c r="B23" s="559" t="s">
        <v>388</v>
      </c>
      <c r="C23" s="560">
        <f>SUM(C24)</f>
        <v>0</v>
      </c>
      <c r="D23" s="561"/>
      <c r="E23" s="562">
        <f>E24</f>
        <v>0</v>
      </c>
      <c r="F23" s="563"/>
      <c r="G23" s="562">
        <f>G24</f>
        <v>0</v>
      </c>
      <c r="H23" s="564"/>
      <c r="I23" s="565"/>
    </row>
    <row r="24" spans="1:9" s="550" customFormat="1" ht="14.25" customHeight="1" hidden="1">
      <c r="A24" s="523"/>
      <c r="B24" s="544" t="s">
        <v>389</v>
      </c>
      <c r="C24" s="566"/>
      <c r="D24" s="567"/>
      <c r="E24" s="568"/>
      <c r="F24" s="569"/>
      <c r="G24" s="568"/>
      <c r="H24" s="545"/>
      <c r="I24" s="549"/>
    </row>
    <row r="25" spans="1:9" s="514" customFormat="1" ht="17.25" customHeight="1" thickBot="1" thickTop="1">
      <c r="A25" s="570">
        <v>500</v>
      </c>
      <c r="B25" s="509" t="s">
        <v>250</v>
      </c>
      <c r="C25" s="510">
        <f>SUM(C26)</f>
        <v>194000</v>
      </c>
      <c r="D25" s="511">
        <f>SUM(D26)</f>
        <v>194000</v>
      </c>
      <c r="E25" s="512"/>
      <c r="F25" s="513">
        <f>SUM(F26)</f>
        <v>194000</v>
      </c>
      <c r="G25" s="512"/>
      <c r="H25" s="513"/>
      <c r="I25" s="457"/>
    </row>
    <row r="26" spans="1:9" s="539" customFormat="1" ht="15.75" customHeight="1" thickTop="1">
      <c r="A26" s="571">
        <v>50095</v>
      </c>
      <c r="B26" s="533" t="s">
        <v>395</v>
      </c>
      <c r="C26" s="546">
        <f>C27+C30</f>
        <v>194000</v>
      </c>
      <c r="D26" s="447">
        <f>D27+D30</f>
        <v>194000</v>
      </c>
      <c r="E26" s="547"/>
      <c r="F26" s="548">
        <f>F27+F30</f>
        <v>194000</v>
      </c>
      <c r="G26" s="547"/>
      <c r="H26" s="548"/>
      <c r="I26" s="449"/>
    </row>
    <row r="27" spans="1:9" s="543" customFormat="1" ht="12.75">
      <c r="A27" s="515"/>
      <c r="B27" s="540" t="s">
        <v>388</v>
      </c>
      <c r="C27" s="517">
        <f>SUM(C28)</f>
        <v>174000</v>
      </c>
      <c r="D27" s="518">
        <f>SUM(D28)</f>
        <v>174000</v>
      </c>
      <c r="E27" s="519"/>
      <c r="F27" s="520">
        <f>SUM(F28)</f>
        <v>174000</v>
      </c>
      <c r="G27" s="521"/>
      <c r="H27" s="520"/>
      <c r="I27" s="522"/>
    </row>
    <row r="28" spans="1:9" s="550" customFormat="1" ht="12">
      <c r="A28" s="523"/>
      <c r="B28" s="544" t="s">
        <v>389</v>
      </c>
      <c r="C28" s="525">
        <f>D28+E28</f>
        <v>174000</v>
      </c>
      <c r="D28" s="526">
        <f>F28+H28</f>
        <v>174000</v>
      </c>
      <c r="E28" s="527"/>
      <c r="F28" s="545">
        <v>174000</v>
      </c>
      <c r="G28" s="527"/>
      <c r="H28" s="545"/>
      <c r="I28" s="549"/>
    </row>
    <row r="29" spans="1:9" s="550" customFormat="1" ht="11.25" customHeight="1">
      <c r="A29" s="523"/>
      <c r="B29" s="544" t="s">
        <v>396</v>
      </c>
      <c r="C29" s="525">
        <f>D29+E29</f>
        <v>25000</v>
      </c>
      <c r="D29" s="526">
        <f>F29+H29</f>
        <v>25000</v>
      </c>
      <c r="E29" s="527"/>
      <c r="F29" s="545">
        <v>25000</v>
      </c>
      <c r="G29" s="527"/>
      <c r="H29" s="545"/>
      <c r="I29" s="549"/>
    </row>
    <row r="30" spans="1:9" s="550" customFormat="1" ht="11.25" customHeight="1">
      <c r="A30" s="523"/>
      <c r="B30" s="516" t="s">
        <v>384</v>
      </c>
      <c r="C30" s="525">
        <f>C31</f>
        <v>20000</v>
      </c>
      <c r="D30" s="526">
        <f>D31</f>
        <v>20000</v>
      </c>
      <c r="E30" s="572"/>
      <c r="F30" s="545">
        <f>F31</f>
        <v>20000</v>
      </c>
      <c r="G30" s="527"/>
      <c r="H30" s="573"/>
      <c r="I30" s="549"/>
    </row>
    <row r="31" spans="1:9" s="550" customFormat="1" ht="11.25" customHeight="1" thickBot="1">
      <c r="A31" s="523"/>
      <c r="B31" s="574" t="s">
        <v>397</v>
      </c>
      <c r="C31" s="525">
        <f>D31+E31</f>
        <v>20000</v>
      </c>
      <c r="D31" s="526">
        <f>F31+H31</f>
        <v>20000</v>
      </c>
      <c r="E31" s="572"/>
      <c r="F31" s="545">
        <v>20000</v>
      </c>
      <c r="G31" s="527"/>
      <c r="H31" s="573"/>
      <c r="I31" s="549"/>
    </row>
    <row r="32" spans="1:9" s="514" customFormat="1" ht="27" thickBot="1" thickTop="1">
      <c r="A32" s="570">
        <v>600</v>
      </c>
      <c r="B32" s="509" t="s">
        <v>252</v>
      </c>
      <c r="C32" s="510">
        <f>SUM(C44+C60+C76+C54+C49+C67+C73)</f>
        <v>59035504</v>
      </c>
      <c r="D32" s="511">
        <f>SUM(D44+D60+D76+D54+D49+D67+D73)</f>
        <v>59035504</v>
      </c>
      <c r="E32" s="511"/>
      <c r="F32" s="513">
        <f>SUM(F44+F60+F76+F54+F49+F67+F73)</f>
        <v>30263504</v>
      </c>
      <c r="G32" s="512"/>
      <c r="H32" s="575">
        <f>SUM(H60+H76+H54+H67+H73)</f>
        <v>28772000</v>
      </c>
      <c r="I32" s="457"/>
    </row>
    <row r="33" spans="1:9" s="514" customFormat="1" ht="13.5" thickTop="1">
      <c r="A33" s="576"/>
      <c r="B33" s="577" t="s">
        <v>388</v>
      </c>
      <c r="C33" s="578">
        <f>D33+E33</f>
        <v>11489600</v>
      </c>
      <c r="D33" s="579">
        <f>F33+H33</f>
        <v>11489600</v>
      </c>
      <c r="E33" s="580"/>
      <c r="F33" s="581">
        <f>F45+F50+F55+F61+F68+F77</f>
        <v>10677600</v>
      </c>
      <c r="G33" s="582"/>
      <c r="H33" s="583">
        <f>H50+H55+H61+H68+H77</f>
        <v>812000</v>
      </c>
      <c r="I33" s="584"/>
    </row>
    <row r="34" spans="1:9" s="589" customFormat="1" ht="12.75">
      <c r="A34" s="585"/>
      <c r="B34" s="544" t="s">
        <v>398</v>
      </c>
      <c r="C34" s="586">
        <f>D34+E34</f>
        <v>1821000</v>
      </c>
      <c r="D34" s="587">
        <f>F34+H34</f>
        <v>1821000</v>
      </c>
      <c r="E34" s="529"/>
      <c r="F34" s="588">
        <f>F78</f>
        <v>1821000</v>
      </c>
      <c r="G34" s="529"/>
      <c r="H34" s="528"/>
      <c r="I34" s="530"/>
    </row>
    <row r="35" spans="1:9" s="589" customFormat="1" ht="12.75">
      <c r="A35" s="585"/>
      <c r="B35" s="544" t="s">
        <v>399</v>
      </c>
      <c r="C35" s="586"/>
      <c r="D35" s="587"/>
      <c r="E35" s="529"/>
      <c r="F35" s="588"/>
      <c r="G35" s="529"/>
      <c r="H35" s="528"/>
      <c r="I35" s="530"/>
    </row>
    <row r="36" spans="1:9" s="589" customFormat="1" ht="12.75">
      <c r="A36" s="585"/>
      <c r="B36" s="590" t="s">
        <v>400</v>
      </c>
      <c r="C36" s="586">
        <f>F36</f>
        <v>100000</v>
      </c>
      <c r="D36" s="587"/>
      <c r="E36" s="529"/>
      <c r="F36" s="588">
        <f>F46</f>
        <v>100000</v>
      </c>
      <c r="G36" s="529"/>
      <c r="H36" s="528"/>
      <c r="I36" s="530"/>
    </row>
    <row r="37" spans="1:9" s="589" customFormat="1" ht="12.75">
      <c r="A37" s="585"/>
      <c r="B37" s="544" t="s">
        <v>389</v>
      </c>
      <c r="C37" s="586">
        <f>SUM(D37:E37)</f>
        <v>9568600</v>
      </c>
      <c r="D37" s="587">
        <f aca="true" t="shared" si="1" ref="D37:D43">F37+H37</f>
        <v>9568600</v>
      </c>
      <c r="E37" s="529"/>
      <c r="F37" s="588">
        <f>F51+F56+F62+F69+F80</f>
        <v>8756600</v>
      </c>
      <c r="G37" s="529"/>
      <c r="H37" s="528">
        <f>H51+H56+H62+H69+H80</f>
        <v>812000</v>
      </c>
      <c r="I37" s="530"/>
    </row>
    <row r="38" spans="1:9" s="539" customFormat="1" ht="12">
      <c r="A38" s="591"/>
      <c r="B38" s="592" t="s">
        <v>396</v>
      </c>
      <c r="C38" s="517">
        <f>SUM(D38:E38)</f>
        <v>2448400</v>
      </c>
      <c r="D38" s="518">
        <f t="shared" si="1"/>
        <v>2448400</v>
      </c>
      <c r="E38" s="593"/>
      <c r="F38" s="594">
        <f>F57+F63+F70+F81</f>
        <v>1778400</v>
      </c>
      <c r="G38" s="519"/>
      <c r="H38" s="541">
        <f>H57+H63+H70+H81</f>
        <v>670000</v>
      </c>
      <c r="I38" s="542"/>
    </row>
    <row r="39" spans="1:9" s="514" customFormat="1" ht="12.75">
      <c r="A39" s="576"/>
      <c r="B39" s="595" t="s">
        <v>384</v>
      </c>
      <c r="C39" s="578">
        <f>SUM(D39:E39)</f>
        <v>47545904</v>
      </c>
      <c r="D39" s="579">
        <f t="shared" si="1"/>
        <v>47545904</v>
      </c>
      <c r="E39" s="580"/>
      <c r="F39" s="581">
        <f>F47+F52+F58+F64+F71+F82+F74</f>
        <v>19585904</v>
      </c>
      <c r="G39" s="580"/>
      <c r="H39" s="596">
        <f>H52+H58+H64+H71+H82+H74</f>
        <v>27960000</v>
      </c>
      <c r="I39" s="597"/>
    </row>
    <row r="40" spans="1:9" s="600" customFormat="1" ht="13.5">
      <c r="A40" s="598"/>
      <c r="B40" s="524" t="s">
        <v>397</v>
      </c>
      <c r="C40" s="525">
        <f>E40+D40</f>
        <v>45523904</v>
      </c>
      <c r="D40" s="526">
        <f t="shared" si="1"/>
        <v>45523904</v>
      </c>
      <c r="E40" s="599"/>
      <c r="F40" s="573">
        <f>F48+F59+F65+F72+F83+F75</f>
        <v>17563904</v>
      </c>
      <c r="G40" s="527"/>
      <c r="H40" s="545">
        <f>H59+H65+H72+H83+H75</f>
        <v>27960000</v>
      </c>
      <c r="I40" s="530"/>
    </row>
    <row r="41" spans="1:9" s="610" customFormat="1" ht="10.5" customHeight="1" hidden="1">
      <c r="A41" s="601"/>
      <c r="B41" s="602" t="s">
        <v>401</v>
      </c>
      <c r="C41" s="603">
        <f>D41+E41</f>
        <v>0</v>
      </c>
      <c r="D41" s="604"/>
      <c r="E41" s="605"/>
      <c r="F41" s="606"/>
      <c r="G41" s="607"/>
      <c r="H41" s="608"/>
      <c r="I41" s="609"/>
    </row>
    <row r="42" spans="1:9" s="600" customFormat="1" ht="12.75" customHeight="1">
      <c r="A42" s="598"/>
      <c r="B42" s="524" t="s">
        <v>385</v>
      </c>
      <c r="C42" s="525">
        <f>E42+D42</f>
        <v>22000</v>
      </c>
      <c r="D42" s="526">
        <f t="shared" si="1"/>
        <v>22000</v>
      </c>
      <c r="E42" s="599"/>
      <c r="F42" s="573">
        <f>F84</f>
        <v>22000</v>
      </c>
      <c r="G42" s="527"/>
      <c r="H42" s="545"/>
      <c r="I42" s="530"/>
    </row>
    <row r="43" spans="1:9" s="600" customFormat="1" ht="14.25" thickBot="1">
      <c r="A43" s="611"/>
      <c r="B43" s="612" t="s">
        <v>402</v>
      </c>
      <c r="C43" s="613">
        <f>E43+D43</f>
        <v>2000000</v>
      </c>
      <c r="D43" s="614">
        <f t="shared" si="1"/>
        <v>2000000</v>
      </c>
      <c r="E43" s="615"/>
      <c r="F43" s="616">
        <f>F53</f>
        <v>2000000</v>
      </c>
      <c r="G43" s="617"/>
      <c r="H43" s="618"/>
      <c r="I43" s="619"/>
    </row>
    <row r="44" spans="1:9" s="539" customFormat="1" ht="18" customHeight="1" thickTop="1">
      <c r="A44" s="620">
        <v>60002</v>
      </c>
      <c r="B44" s="621" t="s">
        <v>403</v>
      </c>
      <c r="C44" s="622">
        <f>SUM(D44:E44)</f>
        <v>100000</v>
      </c>
      <c r="D44" s="623">
        <f>D45+D47</f>
        <v>100000</v>
      </c>
      <c r="E44" s="624"/>
      <c r="F44" s="625">
        <f>F45+F47</f>
        <v>100000</v>
      </c>
      <c r="G44" s="624"/>
      <c r="H44" s="625"/>
      <c r="I44" s="626"/>
    </row>
    <row r="45" spans="1:9" s="632" customFormat="1" ht="15" customHeight="1">
      <c r="A45" s="558"/>
      <c r="B45" s="559" t="s">
        <v>388</v>
      </c>
      <c r="C45" s="627">
        <f>C46</f>
        <v>100000</v>
      </c>
      <c r="D45" s="628">
        <f>D46</f>
        <v>100000</v>
      </c>
      <c r="E45" s="629"/>
      <c r="F45" s="630">
        <f>F46</f>
        <v>100000</v>
      </c>
      <c r="G45" s="629"/>
      <c r="H45" s="630"/>
      <c r="I45" s="631"/>
    </row>
    <row r="46" spans="1:9" s="640" customFormat="1" ht="15" customHeight="1">
      <c r="A46" s="633"/>
      <c r="B46" s="634" t="s">
        <v>400</v>
      </c>
      <c r="C46" s="635">
        <f>SUM(D46:E46)</f>
        <v>100000</v>
      </c>
      <c r="D46" s="636">
        <f>F46</f>
        <v>100000</v>
      </c>
      <c r="E46" s="637"/>
      <c r="F46" s="638">
        <v>100000</v>
      </c>
      <c r="G46" s="637"/>
      <c r="H46" s="638"/>
      <c r="I46" s="639"/>
    </row>
    <row r="47" spans="1:9" ht="13.5" customHeight="1" hidden="1">
      <c r="A47" s="515"/>
      <c r="B47" s="516" t="s">
        <v>384</v>
      </c>
      <c r="C47" s="517">
        <f>SUM(C48)</f>
        <v>0</v>
      </c>
      <c r="D47" s="518">
        <f>F47+H47</f>
        <v>0</v>
      </c>
      <c r="E47" s="519"/>
      <c r="F47" s="520">
        <f>SUM(F48)</f>
        <v>0</v>
      </c>
      <c r="G47" s="521"/>
      <c r="H47" s="520"/>
      <c r="I47" s="522"/>
    </row>
    <row r="48" spans="1:9" ht="11.25" customHeight="1" hidden="1">
      <c r="A48" s="641"/>
      <c r="B48" s="574" t="s">
        <v>397</v>
      </c>
      <c r="C48" s="642">
        <f>SUM(D48:E48)</f>
        <v>0</v>
      </c>
      <c r="D48" s="643">
        <f>F48+H48</f>
        <v>0</v>
      </c>
      <c r="E48" s="644"/>
      <c r="F48" s="645"/>
      <c r="G48" s="646"/>
      <c r="H48" s="647"/>
      <c r="I48" s="648"/>
    </row>
    <row r="49" spans="1:9" s="539" customFormat="1" ht="23.25" customHeight="1">
      <c r="A49" s="620">
        <v>60004</v>
      </c>
      <c r="B49" s="621" t="s">
        <v>404</v>
      </c>
      <c r="C49" s="622">
        <f>C50+C52</f>
        <v>8100000</v>
      </c>
      <c r="D49" s="623">
        <f>D50+D52</f>
        <v>8100000</v>
      </c>
      <c r="E49" s="624"/>
      <c r="F49" s="625">
        <f>F50+F52</f>
        <v>8100000</v>
      </c>
      <c r="G49" s="624"/>
      <c r="H49" s="625"/>
      <c r="I49" s="626"/>
    </row>
    <row r="50" spans="1:9" s="543" customFormat="1" ht="12.75" customHeight="1">
      <c r="A50" s="515"/>
      <c r="B50" s="516" t="s">
        <v>405</v>
      </c>
      <c r="C50" s="517">
        <f>SUM(C51)</f>
        <v>6100000</v>
      </c>
      <c r="D50" s="518">
        <f>SUM(D51)</f>
        <v>6100000</v>
      </c>
      <c r="E50" s="519"/>
      <c r="F50" s="520">
        <f>SUM(F51)</f>
        <v>6100000</v>
      </c>
      <c r="G50" s="521"/>
      <c r="H50" s="520"/>
      <c r="I50" s="522"/>
    </row>
    <row r="51" spans="1:9" s="550" customFormat="1" ht="10.5" customHeight="1">
      <c r="A51" s="523"/>
      <c r="B51" s="544" t="s">
        <v>389</v>
      </c>
      <c r="C51" s="525">
        <f>SUM(D51:E51)</f>
        <v>6100000</v>
      </c>
      <c r="D51" s="526">
        <f>F51+H51</f>
        <v>6100000</v>
      </c>
      <c r="E51" s="527"/>
      <c r="F51" s="545">
        <v>6100000</v>
      </c>
      <c r="G51" s="527"/>
      <c r="H51" s="545"/>
      <c r="I51" s="549"/>
    </row>
    <row r="52" spans="1:9" ht="12" customHeight="1">
      <c r="A52" s="515"/>
      <c r="B52" s="516" t="s">
        <v>384</v>
      </c>
      <c r="C52" s="517">
        <f>SUM(D52:E52)</f>
        <v>2000000</v>
      </c>
      <c r="D52" s="518">
        <f>F52+H52</f>
        <v>2000000</v>
      </c>
      <c r="E52" s="519"/>
      <c r="F52" s="541">
        <f>F53</f>
        <v>2000000</v>
      </c>
      <c r="G52" s="521"/>
      <c r="H52" s="520"/>
      <c r="I52" s="530"/>
    </row>
    <row r="53" spans="1:9" ht="12" customHeight="1">
      <c r="A53" s="515"/>
      <c r="B53" s="649" t="s">
        <v>402</v>
      </c>
      <c r="C53" s="642">
        <f>SUM(D53:E53)</f>
        <v>2000000</v>
      </c>
      <c r="D53" s="526">
        <f>F53+H53</f>
        <v>2000000</v>
      </c>
      <c r="E53" s="527"/>
      <c r="F53" s="545">
        <v>2000000</v>
      </c>
      <c r="G53" s="521"/>
      <c r="H53" s="520"/>
      <c r="I53" s="530"/>
    </row>
    <row r="54" spans="1:9" s="539" customFormat="1" ht="36.75" customHeight="1">
      <c r="A54" s="571">
        <v>60015</v>
      </c>
      <c r="B54" s="650" t="s">
        <v>406</v>
      </c>
      <c r="C54" s="534">
        <f>C55+C58</f>
        <v>28772000</v>
      </c>
      <c r="D54" s="535">
        <f>D55+D58</f>
        <v>28772000</v>
      </c>
      <c r="E54" s="535"/>
      <c r="F54" s="537"/>
      <c r="G54" s="536"/>
      <c r="H54" s="651">
        <f>H55+H58</f>
        <v>28772000</v>
      </c>
      <c r="I54" s="538"/>
    </row>
    <row r="55" spans="1:9" s="543" customFormat="1" ht="12.75">
      <c r="A55" s="515"/>
      <c r="B55" s="540" t="s">
        <v>388</v>
      </c>
      <c r="C55" s="517">
        <f>SUM(C56)</f>
        <v>812000</v>
      </c>
      <c r="D55" s="518">
        <f>SUM(D56)</f>
        <v>812000</v>
      </c>
      <c r="E55" s="519"/>
      <c r="F55" s="520"/>
      <c r="G55" s="521"/>
      <c r="H55" s="652">
        <f>SUM(H56)</f>
        <v>812000</v>
      </c>
      <c r="I55" s="522"/>
    </row>
    <row r="56" spans="1:9" s="550" customFormat="1" ht="12">
      <c r="A56" s="523"/>
      <c r="B56" s="544" t="s">
        <v>389</v>
      </c>
      <c r="C56" s="525">
        <f>SUM(D56:E56)</f>
        <v>812000</v>
      </c>
      <c r="D56" s="526">
        <f>F56+H56</f>
        <v>812000</v>
      </c>
      <c r="E56" s="527"/>
      <c r="F56" s="545"/>
      <c r="G56" s="527"/>
      <c r="H56" s="573">
        <v>812000</v>
      </c>
      <c r="I56" s="549"/>
    </row>
    <row r="57" spans="1:9" s="550" customFormat="1" ht="12">
      <c r="A57" s="523"/>
      <c r="B57" s="544" t="s">
        <v>396</v>
      </c>
      <c r="C57" s="525">
        <f>SUM(D57:E57)</f>
        <v>670000</v>
      </c>
      <c r="D57" s="526">
        <f>F57+H57</f>
        <v>670000</v>
      </c>
      <c r="E57" s="527"/>
      <c r="F57" s="545"/>
      <c r="G57" s="527"/>
      <c r="H57" s="573">
        <v>670000</v>
      </c>
      <c r="I57" s="549"/>
    </row>
    <row r="58" spans="1:9" ht="11.25" customHeight="1">
      <c r="A58" s="515"/>
      <c r="B58" s="516" t="s">
        <v>384</v>
      </c>
      <c r="C58" s="517">
        <f>SUM(C59)</f>
        <v>27960000</v>
      </c>
      <c r="D58" s="518">
        <f>F58+H58</f>
        <v>27960000</v>
      </c>
      <c r="E58" s="519"/>
      <c r="F58" s="520"/>
      <c r="G58" s="521"/>
      <c r="H58" s="652">
        <f>SUM(H59)</f>
        <v>27960000</v>
      </c>
      <c r="I58" s="522"/>
    </row>
    <row r="59" spans="1:9" s="531" customFormat="1" ht="12.75">
      <c r="A59" s="523"/>
      <c r="B59" s="524" t="s">
        <v>397</v>
      </c>
      <c r="C59" s="525">
        <f>SUM(D59:E59)</f>
        <v>27960000</v>
      </c>
      <c r="D59" s="526">
        <f>F59+H59</f>
        <v>27960000</v>
      </c>
      <c r="E59" s="527"/>
      <c r="F59" s="528"/>
      <c r="G59" s="529"/>
      <c r="H59" s="573">
        <v>27960000</v>
      </c>
      <c r="I59" s="653"/>
    </row>
    <row r="60" spans="1:9" s="539" customFormat="1" ht="13.5" customHeight="1">
      <c r="A60" s="571">
        <v>60016</v>
      </c>
      <c r="B60" s="533" t="s">
        <v>407</v>
      </c>
      <c r="C60" s="534">
        <f>C61+C64</f>
        <v>16073904</v>
      </c>
      <c r="D60" s="535">
        <f>D61+D64</f>
        <v>16073904</v>
      </c>
      <c r="E60" s="536"/>
      <c r="F60" s="537">
        <f>F61+F64</f>
        <v>16073904</v>
      </c>
      <c r="G60" s="536"/>
      <c r="H60" s="537"/>
      <c r="I60" s="538"/>
    </row>
    <row r="61" spans="1:9" ht="9.75" customHeight="1">
      <c r="A61" s="515"/>
      <c r="B61" s="540" t="s">
        <v>388</v>
      </c>
      <c r="C61" s="517">
        <f>SUM(C62)</f>
        <v>770000</v>
      </c>
      <c r="D61" s="518">
        <f>SUM(D62)</f>
        <v>770000</v>
      </c>
      <c r="E61" s="519"/>
      <c r="F61" s="520">
        <f>SUM(F62)</f>
        <v>770000</v>
      </c>
      <c r="G61" s="654"/>
      <c r="H61" s="655"/>
      <c r="I61" s="656"/>
    </row>
    <row r="62" spans="1:9" ht="12.75">
      <c r="A62" s="515"/>
      <c r="B62" s="544" t="s">
        <v>389</v>
      </c>
      <c r="C62" s="525">
        <f>SUM(D62:E62)</f>
        <v>770000</v>
      </c>
      <c r="D62" s="526">
        <f>F62+H62</f>
        <v>770000</v>
      </c>
      <c r="E62" s="527"/>
      <c r="F62" s="545">
        <v>770000</v>
      </c>
      <c r="G62" s="521"/>
      <c r="H62" s="520"/>
      <c r="I62" s="522"/>
    </row>
    <row r="63" spans="1:9" s="531" customFormat="1" ht="11.25" customHeight="1">
      <c r="A63" s="657"/>
      <c r="B63" s="658" t="s">
        <v>396</v>
      </c>
      <c r="C63" s="642">
        <f>SUM(D63:E63)</f>
        <v>720000</v>
      </c>
      <c r="D63" s="643">
        <f>F63+H63</f>
        <v>720000</v>
      </c>
      <c r="E63" s="644"/>
      <c r="F63" s="645">
        <v>720000</v>
      </c>
      <c r="G63" s="659"/>
      <c r="H63" s="660"/>
      <c r="I63" s="661"/>
    </row>
    <row r="64" spans="1:9" ht="13.5" customHeight="1">
      <c r="A64" s="515"/>
      <c r="B64" s="516" t="s">
        <v>384</v>
      </c>
      <c r="C64" s="517">
        <f>SUM(C65)</f>
        <v>15303904</v>
      </c>
      <c r="D64" s="518">
        <f>F64+H64</f>
        <v>15303904</v>
      </c>
      <c r="E64" s="519"/>
      <c r="F64" s="520">
        <f>SUM(F65)</f>
        <v>15303904</v>
      </c>
      <c r="G64" s="521"/>
      <c r="H64" s="520"/>
      <c r="I64" s="522"/>
    </row>
    <row r="65" spans="1:9" ht="11.25" customHeight="1">
      <c r="A65" s="515"/>
      <c r="B65" s="524" t="s">
        <v>397</v>
      </c>
      <c r="C65" s="525">
        <f>SUM(D65:E65)</f>
        <v>15303904</v>
      </c>
      <c r="D65" s="526">
        <f>F65+H65</f>
        <v>15303904</v>
      </c>
      <c r="E65" s="527"/>
      <c r="F65" s="545">
        <v>15303904</v>
      </c>
      <c r="G65" s="521"/>
      <c r="H65" s="520"/>
      <c r="I65" s="522"/>
    </row>
    <row r="66" spans="1:9" s="610" customFormat="1" ht="12.75" customHeight="1" hidden="1">
      <c r="A66" s="662"/>
      <c r="B66" s="663" t="s">
        <v>401</v>
      </c>
      <c r="C66" s="664">
        <f>D66+E66</f>
        <v>0</v>
      </c>
      <c r="D66" s="665">
        <f>F66+H66</f>
        <v>0</v>
      </c>
      <c r="E66" s="666"/>
      <c r="F66" s="667"/>
      <c r="G66" s="668"/>
      <c r="H66" s="669"/>
      <c r="I66" s="670"/>
    </row>
    <row r="67" spans="1:9" s="539" customFormat="1" ht="15" customHeight="1">
      <c r="A67" s="571">
        <v>60017</v>
      </c>
      <c r="B67" s="533" t="s">
        <v>408</v>
      </c>
      <c r="C67" s="534">
        <f>C68+C71</f>
        <v>2272900</v>
      </c>
      <c r="D67" s="535">
        <f>D68+D71</f>
        <v>2272900</v>
      </c>
      <c r="E67" s="536"/>
      <c r="F67" s="537">
        <f>F68+F71</f>
        <v>2272900</v>
      </c>
      <c r="G67" s="536"/>
      <c r="H67" s="537"/>
      <c r="I67" s="538"/>
    </row>
    <row r="68" spans="1:9" ht="12.75">
      <c r="A68" s="515"/>
      <c r="B68" s="540" t="s">
        <v>388</v>
      </c>
      <c r="C68" s="517">
        <f>SUM(C69)</f>
        <v>1012900</v>
      </c>
      <c r="D68" s="518">
        <f>SUM(D69)</f>
        <v>1012900</v>
      </c>
      <c r="E68" s="519"/>
      <c r="F68" s="520">
        <f>SUM(F69)</f>
        <v>1012900</v>
      </c>
      <c r="G68" s="654"/>
      <c r="H68" s="655"/>
      <c r="I68" s="656"/>
    </row>
    <row r="69" spans="1:9" ht="11.25" customHeight="1">
      <c r="A69" s="515"/>
      <c r="B69" s="544" t="s">
        <v>389</v>
      </c>
      <c r="C69" s="525">
        <f>SUM(D69:E69)</f>
        <v>1012900</v>
      </c>
      <c r="D69" s="526">
        <f>F69+H69</f>
        <v>1012900</v>
      </c>
      <c r="E69" s="527"/>
      <c r="F69" s="545">
        <v>1012900</v>
      </c>
      <c r="G69" s="521"/>
      <c r="H69" s="520"/>
      <c r="I69" s="522"/>
    </row>
    <row r="70" spans="1:9" s="531" customFormat="1" ht="11.25" customHeight="1">
      <c r="A70" s="523"/>
      <c r="B70" s="544" t="s">
        <v>396</v>
      </c>
      <c r="C70" s="525">
        <f>SUM(D70:E70)</f>
        <v>1005400</v>
      </c>
      <c r="D70" s="526">
        <f>F70+H70</f>
        <v>1005400</v>
      </c>
      <c r="E70" s="527"/>
      <c r="F70" s="545">
        <v>1005400</v>
      </c>
      <c r="G70" s="529"/>
      <c r="H70" s="528"/>
      <c r="I70" s="530"/>
    </row>
    <row r="71" spans="1:9" ht="10.5" customHeight="1">
      <c r="A71" s="515"/>
      <c r="B71" s="516" t="s">
        <v>384</v>
      </c>
      <c r="C71" s="517">
        <f>SUM(C72)</f>
        <v>1260000</v>
      </c>
      <c r="D71" s="518">
        <f>F71+H71</f>
        <v>1260000</v>
      </c>
      <c r="E71" s="519"/>
      <c r="F71" s="520">
        <f>SUM(F72)</f>
        <v>1260000</v>
      </c>
      <c r="G71" s="521"/>
      <c r="H71" s="520"/>
      <c r="I71" s="522"/>
    </row>
    <row r="72" spans="1:9" ht="12.75" customHeight="1">
      <c r="A72" s="641"/>
      <c r="B72" s="574" t="s">
        <v>397</v>
      </c>
      <c r="C72" s="642">
        <f>SUM(D72:E72)</f>
        <v>1260000</v>
      </c>
      <c r="D72" s="643">
        <f>F72+H72</f>
        <v>1260000</v>
      </c>
      <c r="E72" s="644"/>
      <c r="F72" s="645">
        <v>1260000</v>
      </c>
      <c r="G72" s="646"/>
      <c r="H72" s="647"/>
      <c r="I72" s="648"/>
    </row>
    <row r="73" spans="1:9" s="539" customFormat="1" ht="25.5" customHeight="1">
      <c r="A73" s="571">
        <v>60053</v>
      </c>
      <c r="B73" s="533" t="s">
        <v>409</v>
      </c>
      <c r="C73" s="534">
        <f>SUM(C74)</f>
        <v>1000000</v>
      </c>
      <c r="D73" s="535">
        <f>SUM(D74)</f>
        <v>1000000</v>
      </c>
      <c r="E73" s="536"/>
      <c r="F73" s="537">
        <f>SUM(F74)</f>
        <v>1000000</v>
      </c>
      <c r="G73" s="536"/>
      <c r="H73" s="537"/>
      <c r="I73" s="538"/>
    </row>
    <row r="74" spans="1:9" ht="10.5" customHeight="1">
      <c r="A74" s="515"/>
      <c r="B74" s="516" t="s">
        <v>384</v>
      </c>
      <c r="C74" s="517">
        <f>SUM(C75)</f>
        <v>1000000</v>
      </c>
      <c r="D74" s="518">
        <f>F74+H74</f>
        <v>1000000</v>
      </c>
      <c r="E74" s="519"/>
      <c r="F74" s="520">
        <f>SUM(F75)</f>
        <v>1000000</v>
      </c>
      <c r="G74" s="521"/>
      <c r="H74" s="520"/>
      <c r="I74" s="522"/>
    </row>
    <row r="75" spans="1:9" ht="12.75" customHeight="1">
      <c r="A75" s="641"/>
      <c r="B75" s="574" t="s">
        <v>397</v>
      </c>
      <c r="C75" s="642">
        <f>SUM(D75:E75)</f>
        <v>1000000</v>
      </c>
      <c r="D75" s="643">
        <f>F75+H75</f>
        <v>1000000</v>
      </c>
      <c r="E75" s="644"/>
      <c r="F75" s="645">
        <v>1000000</v>
      </c>
      <c r="G75" s="646"/>
      <c r="H75" s="647"/>
      <c r="I75" s="648"/>
    </row>
    <row r="76" spans="1:9" ht="14.25" customHeight="1">
      <c r="A76" s="571">
        <v>60095</v>
      </c>
      <c r="B76" s="671" t="s">
        <v>395</v>
      </c>
      <c r="C76" s="546">
        <f>C77+C82</f>
        <v>2716700</v>
      </c>
      <c r="D76" s="447">
        <f>D77+D82</f>
        <v>2716700</v>
      </c>
      <c r="E76" s="547"/>
      <c r="F76" s="548">
        <f>F77+F82</f>
        <v>2716700</v>
      </c>
      <c r="G76" s="547"/>
      <c r="H76" s="548"/>
      <c r="I76" s="449"/>
    </row>
    <row r="77" spans="1:9" ht="12">
      <c r="A77" s="515"/>
      <c r="B77" s="540" t="s">
        <v>388</v>
      </c>
      <c r="C77" s="672">
        <f>SUM(C78:C80)</f>
        <v>2694700</v>
      </c>
      <c r="D77" s="518">
        <f>SUM(D78:D80)</f>
        <v>2694700</v>
      </c>
      <c r="E77" s="519"/>
      <c r="F77" s="541">
        <f>SUM(F78:F80)</f>
        <v>2694700</v>
      </c>
      <c r="G77" s="519"/>
      <c r="H77" s="541"/>
      <c r="I77" s="542"/>
    </row>
    <row r="78" spans="1:9" s="676" customFormat="1" ht="12">
      <c r="A78" s="673"/>
      <c r="B78" s="544" t="s">
        <v>398</v>
      </c>
      <c r="C78" s="525">
        <f>SUM(D78:E78)</f>
        <v>1821000</v>
      </c>
      <c r="D78" s="526">
        <f>F78+H78</f>
        <v>1821000</v>
      </c>
      <c r="E78" s="599"/>
      <c r="F78" s="674">
        <v>1821000</v>
      </c>
      <c r="G78" s="599"/>
      <c r="H78" s="674"/>
      <c r="I78" s="675"/>
    </row>
    <row r="79" spans="1:9" s="676" customFormat="1" ht="11.25" customHeight="1">
      <c r="A79" s="673"/>
      <c r="B79" s="544" t="s">
        <v>399</v>
      </c>
      <c r="C79" s="525"/>
      <c r="D79" s="526"/>
      <c r="E79" s="599"/>
      <c r="F79" s="674"/>
      <c r="G79" s="599"/>
      <c r="H79" s="674"/>
      <c r="I79" s="675"/>
    </row>
    <row r="80" spans="1:9" s="531" customFormat="1" ht="11.25" customHeight="1">
      <c r="A80" s="523"/>
      <c r="B80" s="544" t="s">
        <v>389</v>
      </c>
      <c r="C80" s="525">
        <f>SUM(D80:E80)</f>
        <v>873700</v>
      </c>
      <c r="D80" s="526">
        <f>F80+H80</f>
        <v>873700</v>
      </c>
      <c r="E80" s="527"/>
      <c r="F80" s="545">
        <v>873700</v>
      </c>
      <c r="G80" s="529"/>
      <c r="H80" s="528"/>
      <c r="I80" s="530"/>
    </row>
    <row r="81" spans="1:9" s="531" customFormat="1" ht="10.5" customHeight="1">
      <c r="A81" s="523"/>
      <c r="B81" s="544" t="s">
        <v>396</v>
      </c>
      <c r="C81" s="525">
        <f>SUM(D81:E81)</f>
        <v>53000</v>
      </c>
      <c r="D81" s="526">
        <f>F81+H81</f>
        <v>53000</v>
      </c>
      <c r="E81" s="527"/>
      <c r="F81" s="545">
        <v>53000</v>
      </c>
      <c r="G81" s="529"/>
      <c r="H81" s="528"/>
      <c r="I81" s="530"/>
    </row>
    <row r="82" spans="1:9" ht="10.5" customHeight="1">
      <c r="A82" s="515"/>
      <c r="B82" s="516" t="s">
        <v>384</v>
      </c>
      <c r="C82" s="677">
        <f>SUM(C83:C84)</f>
        <v>22000</v>
      </c>
      <c r="D82" s="678">
        <f>SUM(D83:D84)</f>
        <v>22000</v>
      </c>
      <c r="E82" s="519"/>
      <c r="F82" s="520">
        <f>SUM(F83:F84)</f>
        <v>22000</v>
      </c>
      <c r="G82" s="521"/>
      <c r="H82" s="520"/>
      <c r="I82" s="522"/>
    </row>
    <row r="83" spans="1:9" ht="13.5" customHeight="1" hidden="1">
      <c r="A83" s="515"/>
      <c r="B83" s="524" t="s">
        <v>397</v>
      </c>
      <c r="C83" s="525">
        <f>SUM(D83:E83)</f>
        <v>0</v>
      </c>
      <c r="D83" s="526">
        <f>F83+H83</f>
        <v>0</v>
      </c>
      <c r="E83" s="519"/>
      <c r="F83" s="545"/>
      <c r="G83" s="521"/>
      <c r="H83" s="520"/>
      <c r="I83" s="522"/>
    </row>
    <row r="84" spans="1:9" ht="12" customHeight="1" thickBot="1">
      <c r="A84" s="515"/>
      <c r="B84" s="524" t="s">
        <v>385</v>
      </c>
      <c r="C84" s="525">
        <f>SUM(D84:E84)</f>
        <v>22000</v>
      </c>
      <c r="D84" s="526">
        <f>F84+H84</f>
        <v>22000</v>
      </c>
      <c r="E84" s="527"/>
      <c r="F84" s="545">
        <v>22000</v>
      </c>
      <c r="G84" s="521"/>
      <c r="H84" s="520"/>
      <c r="I84" s="522"/>
    </row>
    <row r="85" spans="1:9" s="514" customFormat="1" ht="17.25" customHeight="1" thickBot="1" thickTop="1">
      <c r="A85" s="570">
        <v>630</v>
      </c>
      <c r="B85" s="509" t="s">
        <v>410</v>
      </c>
      <c r="C85" s="510">
        <f>C89+C93</f>
        <v>64000</v>
      </c>
      <c r="D85" s="511">
        <f>D89+D93</f>
        <v>64000</v>
      </c>
      <c r="E85" s="512"/>
      <c r="F85" s="513">
        <f>SUM(F89)+F93</f>
        <v>64000</v>
      </c>
      <c r="G85" s="512"/>
      <c r="H85" s="513"/>
      <c r="I85" s="457"/>
    </row>
    <row r="86" spans="1:9" s="514" customFormat="1" ht="13.5" customHeight="1" thickTop="1">
      <c r="A86" s="576"/>
      <c r="B86" s="540" t="s">
        <v>388</v>
      </c>
      <c r="C86" s="677">
        <f>D86+E86</f>
        <v>64000</v>
      </c>
      <c r="D86" s="678">
        <f>F86+H86</f>
        <v>64000</v>
      </c>
      <c r="E86" s="580"/>
      <c r="F86" s="520">
        <f>F90+F94</f>
        <v>64000</v>
      </c>
      <c r="G86" s="580"/>
      <c r="H86" s="596"/>
      <c r="I86" s="597"/>
    </row>
    <row r="87" spans="1:9" s="600" customFormat="1" ht="13.5" customHeight="1">
      <c r="A87" s="598"/>
      <c r="B87" s="544" t="s">
        <v>400</v>
      </c>
      <c r="C87" s="586">
        <f>D87+E87</f>
        <v>7000</v>
      </c>
      <c r="D87" s="587">
        <f>F87+H87</f>
        <v>7000</v>
      </c>
      <c r="E87" s="679"/>
      <c r="F87" s="528">
        <f>F91+F95</f>
        <v>7000</v>
      </c>
      <c r="G87" s="679"/>
      <c r="H87" s="680"/>
      <c r="I87" s="681"/>
    </row>
    <row r="88" spans="1:9" s="600" customFormat="1" ht="13.5" customHeight="1" thickBot="1">
      <c r="A88" s="611"/>
      <c r="B88" s="682" t="s">
        <v>389</v>
      </c>
      <c r="C88" s="683">
        <f>D88+E88</f>
        <v>57000</v>
      </c>
      <c r="D88" s="684">
        <f>F88+H88</f>
        <v>57000</v>
      </c>
      <c r="E88" s="685"/>
      <c r="F88" s="686">
        <f>F92+F96</f>
        <v>57000</v>
      </c>
      <c r="G88" s="685"/>
      <c r="H88" s="687"/>
      <c r="I88" s="688"/>
    </row>
    <row r="89" spans="1:9" ht="28.5" customHeight="1" thickTop="1">
      <c r="A89" s="620">
        <v>63003</v>
      </c>
      <c r="B89" s="689" t="s">
        <v>411</v>
      </c>
      <c r="C89" s="690">
        <f>C90</f>
        <v>64000</v>
      </c>
      <c r="D89" s="691">
        <f>D90</f>
        <v>64000</v>
      </c>
      <c r="E89" s="692"/>
      <c r="F89" s="693">
        <f>F90</f>
        <v>64000</v>
      </c>
      <c r="G89" s="692"/>
      <c r="H89" s="693"/>
      <c r="I89" s="694"/>
    </row>
    <row r="90" spans="1:9" s="543" customFormat="1" ht="10.5" customHeight="1">
      <c r="A90" s="515"/>
      <c r="B90" s="540" t="s">
        <v>388</v>
      </c>
      <c r="C90" s="677">
        <f>SUM(C91:C92)</f>
        <v>64000</v>
      </c>
      <c r="D90" s="678">
        <f>SUM(D91:D92)</f>
        <v>64000</v>
      </c>
      <c r="E90" s="519"/>
      <c r="F90" s="520">
        <f>SUM(F91:F92)</f>
        <v>64000</v>
      </c>
      <c r="G90" s="521"/>
      <c r="H90" s="520"/>
      <c r="I90" s="522"/>
    </row>
    <row r="91" spans="1:9" s="550" customFormat="1" ht="10.5" customHeight="1">
      <c r="A91" s="523"/>
      <c r="B91" s="544" t="s">
        <v>400</v>
      </c>
      <c r="C91" s="525">
        <f>SUM(D91:E91)</f>
        <v>7000</v>
      </c>
      <c r="D91" s="526">
        <f>F91+H91</f>
        <v>7000</v>
      </c>
      <c r="E91" s="527"/>
      <c r="F91" s="545">
        <v>7000</v>
      </c>
      <c r="G91" s="529"/>
      <c r="H91" s="528"/>
      <c r="I91" s="530"/>
    </row>
    <row r="92" spans="1:9" s="550" customFormat="1" ht="10.5" customHeight="1" thickBot="1">
      <c r="A92" s="657"/>
      <c r="B92" s="658" t="s">
        <v>389</v>
      </c>
      <c r="C92" s="642">
        <f>SUM(D92:E92)</f>
        <v>57000</v>
      </c>
      <c r="D92" s="643">
        <f>F92+H92</f>
        <v>57000</v>
      </c>
      <c r="E92" s="644"/>
      <c r="F92" s="645">
        <v>57000</v>
      </c>
      <c r="G92" s="659"/>
      <c r="H92" s="660"/>
      <c r="I92" s="661"/>
    </row>
    <row r="93" spans="1:9" s="539" customFormat="1" ht="12.75" hidden="1" thickBot="1">
      <c r="A93" s="571">
        <v>63095</v>
      </c>
      <c r="B93" s="695" t="s">
        <v>395</v>
      </c>
      <c r="C93" s="546">
        <f>SUM(C94)</f>
        <v>0</v>
      </c>
      <c r="D93" s="447">
        <f>SUM(D94)</f>
        <v>0</v>
      </c>
      <c r="E93" s="547"/>
      <c r="F93" s="548">
        <f>SUM(F94)</f>
        <v>0</v>
      </c>
      <c r="G93" s="547"/>
      <c r="H93" s="548"/>
      <c r="I93" s="449"/>
    </row>
    <row r="94" spans="1:9" ht="12" customHeight="1" hidden="1">
      <c r="A94" s="515"/>
      <c r="B94" s="540" t="s">
        <v>388</v>
      </c>
      <c r="C94" s="517">
        <f>SUM(C95:C96)</f>
        <v>0</v>
      </c>
      <c r="D94" s="518">
        <f>SUM(D95:D96)</f>
        <v>0</v>
      </c>
      <c r="E94" s="519"/>
      <c r="F94" s="520">
        <f>SUM(F95:F96)</f>
        <v>0</v>
      </c>
      <c r="G94" s="654"/>
      <c r="H94" s="655"/>
      <c r="I94" s="522"/>
    </row>
    <row r="95" spans="1:9" s="550" customFormat="1" ht="11.25" customHeight="1" hidden="1">
      <c r="A95" s="523"/>
      <c r="B95" s="544" t="s">
        <v>400</v>
      </c>
      <c r="C95" s="525">
        <f>SUM(D95:E95)</f>
        <v>0</v>
      </c>
      <c r="D95" s="526">
        <f>F95+H95</f>
        <v>0</v>
      </c>
      <c r="E95" s="527"/>
      <c r="F95" s="545">
        <v>0</v>
      </c>
      <c r="G95" s="529"/>
      <c r="H95" s="528"/>
      <c r="I95" s="530"/>
    </row>
    <row r="96" spans="1:9" ht="10.5" customHeight="1" hidden="1">
      <c r="A96" s="515"/>
      <c r="B96" s="544" t="s">
        <v>389</v>
      </c>
      <c r="C96" s="525">
        <f>SUM(D96:E96)</f>
        <v>0</v>
      </c>
      <c r="D96" s="526">
        <f>F96+H96</f>
        <v>0</v>
      </c>
      <c r="E96" s="527"/>
      <c r="F96" s="545"/>
      <c r="G96" s="521"/>
      <c r="H96" s="520"/>
      <c r="I96" s="530"/>
    </row>
    <row r="97" spans="1:9" s="696" customFormat="1" ht="27" thickBot="1" thickTop="1">
      <c r="A97" s="570">
        <v>700</v>
      </c>
      <c r="B97" s="509" t="s">
        <v>412</v>
      </c>
      <c r="C97" s="510">
        <f>C109+C117+C120+C127+C130</f>
        <v>23542100</v>
      </c>
      <c r="D97" s="511">
        <f>D109+D117+D120+D127+D130</f>
        <v>23498600</v>
      </c>
      <c r="E97" s="512">
        <f>E109+E117+E120+E130</f>
        <v>43500</v>
      </c>
      <c r="F97" s="513">
        <f>F109+F117+F120+F127+F130</f>
        <v>23498600</v>
      </c>
      <c r="G97" s="512"/>
      <c r="H97" s="513"/>
      <c r="I97" s="457">
        <f>I109+I117+I120+I130</f>
        <v>43500</v>
      </c>
    </row>
    <row r="98" spans="1:9" s="514" customFormat="1" ht="13.5" thickTop="1">
      <c r="A98" s="576"/>
      <c r="B98" s="577" t="s">
        <v>388</v>
      </c>
      <c r="C98" s="578">
        <f>D98+E98</f>
        <v>12425100</v>
      </c>
      <c r="D98" s="579">
        <f>F98+H98</f>
        <v>12381600</v>
      </c>
      <c r="E98" s="580">
        <f>G98+I98</f>
        <v>43500</v>
      </c>
      <c r="F98" s="583">
        <f>F121+F131+F110</f>
        <v>12381600</v>
      </c>
      <c r="G98" s="579"/>
      <c r="H98" s="583"/>
      <c r="I98" s="584">
        <f>I121+I131</f>
        <v>43500</v>
      </c>
    </row>
    <row r="99" spans="1:9" s="589" customFormat="1" ht="11.25" customHeight="1">
      <c r="A99" s="598"/>
      <c r="B99" s="524" t="s">
        <v>413</v>
      </c>
      <c r="C99" s="586">
        <f>D99+E99</f>
        <v>6700</v>
      </c>
      <c r="D99" s="587">
        <f>F99+H99</f>
        <v>6700</v>
      </c>
      <c r="E99" s="529"/>
      <c r="F99" s="528">
        <f>F132</f>
        <v>6700</v>
      </c>
      <c r="G99" s="587"/>
      <c r="H99" s="528"/>
      <c r="I99" s="530"/>
    </row>
    <row r="100" spans="1:9" s="589" customFormat="1" ht="12" customHeight="1">
      <c r="A100" s="598"/>
      <c r="B100" s="524" t="s">
        <v>414</v>
      </c>
      <c r="C100" s="586"/>
      <c r="D100" s="587"/>
      <c r="E100" s="529"/>
      <c r="F100" s="528"/>
      <c r="G100" s="697"/>
      <c r="H100" s="528"/>
      <c r="I100" s="530"/>
    </row>
    <row r="101" spans="1:9" s="589" customFormat="1" ht="9.75" customHeight="1">
      <c r="A101" s="598"/>
      <c r="B101" s="544" t="s">
        <v>400</v>
      </c>
      <c r="C101" s="586">
        <f aca="true" t="shared" si="2" ref="C101:C108">D101+E101</f>
        <v>6700000</v>
      </c>
      <c r="D101" s="587">
        <f aca="true" t="shared" si="3" ref="D101:D108">F101+H101</f>
        <v>6700000</v>
      </c>
      <c r="E101" s="529"/>
      <c r="F101" s="528">
        <f>F111</f>
        <v>6700000</v>
      </c>
      <c r="G101" s="698"/>
      <c r="H101" s="528"/>
      <c r="I101" s="530"/>
    </row>
    <row r="102" spans="1:9" s="589" customFormat="1" ht="10.5" customHeight="1">
      <c r="A102" s="598"/>
      <c r="B102" s="544" t="s">
        <v>389</v>
      </c>
      <c r="C102" s="586">
        <f t="shared" si="2"/>
        <v>5718400</v>
      </c>
      <c r="D102" s="587">
        <f t="shared" si="3"/>
        <v>5674900</v>
      </c>
      <c r="E102" s="529">
        <f>G102+I102</f>
        <v>43500</v>
      </c>
      <c r="F102" s="528">
        <f>F124+F134+F113</f>
        <v>5674900</v>
      </c>
      <c r="G102" s="587"/>
      <c r="H102" s="528"/>
      <c r="I102" s="530">
        <f>I124+I134</f>
        <v>43500</v>
      </c>
    </row>
    <row r="103" spans="1:9" s="589" customFormat="1" ht="10.5" customHeight="1">
      <c r="A103" s="598"/>
      <c r="B103" s="544" t="s">
        <v>396</v>
      </c>
      <c r="C103" s="586"/>
      <c r="D103" s="587"/>
      <c r="E103" s="529"/>
      <c r="F103" s="528"/>
      <c r="G103" s="587"/>
      <c r="H103" s="528"/>
      <c r="I103" s="530"/>
    </row>
    <row r="104" spans="1:9" s="514" customFormat="1" ht="12.75">
      <c r="A104" s="576"/>
      <c r="B104" s="595" t="s">
        <v>384</v>
      </c>
      <c r="C104" s="578">
        <f t="shared" si="2"/>
        <v>11117000</v>
      </c>
      <c r="D104" s="579">
        <f t="shared" si="3"/>
        <v>11117000</v>
      </c>
      <c r="E104" s="580"/>
      <c r="F104" s="596">
        <f>F114+F125+F128+F136</f>
        <v>11117000</v>
      </c>
      <c r="G104" s="579"/>
      <c r="H104" s="596"/>
      <c r="I104" s="597"/>
    </row>
    <row r="105" spans="1:9" s="589" customFormat="1" ht="13.5">
      <c r="A105" s="598"/>
      <c r="B105" s="524" t="s">
        <v>397</v>
      </c>
      <c r="C105" s="586">
        <f t="shared" si="2"/>
        <v>4600000</v>
      </c>
      <c r="D105" s="587">
        <f t="shared" si="3"/>
        <v>4600000</v>
      </c>
      <c r="E105" s="529"/>
      <c r="F105" s="528">
        <f>F115+F137</f>
        <v>4600000</v>
      </c>
      <c r="G105" s="587"/>
      <c r="H105" s="528"/>
      <c r="I105" s="530"/>
    </row>
    <row r="106" spans="1:9" s="610" customFormat="1" ht="12.75" hidden="1">
      <c r="A106" s="699"/>
      <c r="B106" s="602" t="s">
        <v>401</v>
      </c>
      <c r="C106" s="677">
        <f t="shared" si="2"/>
        <v>0</v>
      </c>
      <c r="D106" s="678">
        <f t="shared" si="3"/>
        <v>0</v>
      </c>
      <c r="E106" s="521"/>
      <c r="F106" s="520">
        <f>F116</f>
        <v>0</v>
      </c>
      <c r="G106" s="678"/>
      <c r="H106" s="520"/>
      <c r="I106" s="522"/>
    </row>
    <row r="107" spans="1:9" s="589" customFormat="1" ht="13.5">
      <c r="A107" s="598"/>
      <c r="B107" s="524" t="s">
        <v>385</v>
      </c>
      <c r="C107" s="586">
        <f t="shared" si="2"/>
        <v>1000000</v>
      </c>
      <c r="D107" s="587">
        <f t="shared" si="3"/>
        <v>1000000</v>
      </c>
      <c r="E107" s="529"/>
      <c r="F107" s="528">
        <f>F126</f>
        <v>1000000</v>
      </c>
      <c r="G107" s="587"/>
      <c r="H107" s="528"/>
      <c r="I107" s="530"/>
    </row>
    <row r="108" spans="1:9" s="589" customFormat="1" ht="14.25" thickBot="1">
      <c r="A108" s="611"/>
      <c r="B108" s="700" t="s">
        <v>402</v>
      </c>
      <c r="C108" s="683">
        <f t="shared" si="2"/>
        <v>5517000</v>
      </c>
      <c r="D108" s="684">
        <f t="shared" si="3"/>
        <v>5517000</v>
      </c>
      <c r="E108" s="701"/>
      <c r="F108" s="686">
        <f>F129</f>
        <v>5517000</v>
      </c>
      <c r="G108" s="684"/>
      <c r="H108" s="686"/>
      <c r="I108" s="619"/>
    </row>
    <row r="109" spans="1:9" s="539" customFormat="1" ht="24.75" thickTop="1">
      <c r="A109" s="620">
        <v>70001</v>
      </c>
      <c r="B109" s="689" t="s">
        <v>415</v>
      </c>
      <c r="C109" s="690">
        <f>SUM(C110)+C114</f>
        <v>6700000</v>
      </c>
      <c r="D109" s="691">
        <f>SUM(D110)+D114</f>
        <v>6700000</v>
      </c>
      <c r="E109" s="692"/>
      <c r="F109" s="693">
        <f>SUM(F110)+F114</f>
        <v>6700000</v>
      </c>
      <c r="G109" s="692"/>
      <c r="H109" s="693"/>
      <c r="I109" s="694"/>
    </row>
    <row r="110" spans="1:9" ht="12.75">
      <c r="A110" s="515"/>
      <c r="B110" s="540" t="s">
        <v>388</v>
      </c>
      <c r="C110" s="517">
        <f>SUM(C111:C113)</f>
        <v>6700000</v>
      </c>
      <c r="D110" s="518">
        <f>SUM(D111:D113)</f>
        <v>6700000</v>
      </c>
      <c r="E110" s="519"/>
      <c r="F110" s="520">
        <f>SUM(F111:F113)</f>
        <v>6700000</v>
      </c>
      <c r="G110" s="654"/>
      <c r="H110" s="655"/>
      <c r="I110" s="656"/>
    </row>
    <row r="111" spans="1:9" ht="11.25" customHeight="1">
      <c r="A111" s="515"/>
      <c r="B111" s="544" t="s">
        <v>400</v>
      </c>
      <c r="C111" s="525">
        <f>SUM(D111:E111)</f>
        <v>6700000</v>
      </c>
      <c r="D111" s="526">
        <f>F111+H111</f>
        <v>6700000</v>
      </c>
      <c r="E111" s="527"/>
      <c r="F111" s="545">
        <v>6700000</v>
      </c>
      <c r="G111" s="521"/>
      <c r="H111" s="520"/>
      <c r="I111" s="522"/>
    </row>
    <row r="112" spans="1:9" ht="11.25" customHeight="1" hidden="1">
      <c r="A112" s="515"/>
      <c r="B112" s="544" t="s">
        <v>416</v>
      </c>
      <c r="C112" s="525">
        <f>SUM(D112:E112)</f>
        <v>0</v>
      </c>
      <c r="D112" s="526">
        <f>F112+H112</f>
        <v>0</v>
      </c>
      <c r="E112" s="527"/>
      <c r="F112" s="545"/>
      <c r="G112" s="521"/>
      <c r="H112" s="520"/>
      <c r="I112" s="522"/>
    </row>
    <row r="113" spans="1:9" ht="15.75" customHeight="1" hidden="1">
      <c r="A113" s="515"/>
      <c r="B113" s="544" t="s">
        <v>389</v>
      </c>
      <c r="C113" s="525">
        <f>SUM(D113:E113)</f>
        <v>0</v>
      </c>
      <c r="D113" s="526">
        <f>F113+H113</f>
        <v>0</v>
      </c>
      <c r="E113" s="527"/>
      <c r="F113" s="545"/>
      <c r="G113" s="519"/>
      <c r="H113" s="541"/>
      <c r="I113" s="549"/>
    </row>
    <row r="114" spans="1:9" ht="10.5" customHeight="1" hidden="1">
      <c r="A114" s="515"/>
      <c r="B114" s="516" t="s">
        <v>384</v>
      </c>
      <c r="C114" s="677">
        <f>SUM(C115)</f>
        <v>0</v>
      </c>
      <c r="D114" s="678">
        <f>SUM(D115)</f>
        <v>0</v>
      </c>
      <c r="E114" s="519"/>
      <c r="F114" s="520">
        <f>SUM(F115)</f>
        <v>0</v>
      </c>
      <c r="G114" s="521"/>
      <c r="H114" s="520"/>
      <c r="I114" s="522"/>
    </row>
    <row r="115" spans="1:9" ht="12" customHeight="1" hidden="1">
      <c r="A115" s="515"/>
      <c r="B115" s="524" t="s">
        <v>397</v>
      </c>
      <c r="C115" s="525">
        <f>SUM(D115:E115)</f>
        <v>0</v>
      </c>
      <c r="D115" s="526">
        <f>F115+H115</f>
        <v>0</v>
      </c>
      <c r="E115" s="519"/>
      <c r="F115" s="545"/>
      <c r="G115" s="521"/>
      <c r="H115" s="520"/>
      <c r="I115" s="522"/>
    </row>
    <row r="116" spans="1:9" s="610" customFormat="1" ht="12" customHeight="1" hidden="1">
      <c r="A116" s="662"/>
      <c r="B116" s="663" t="s">
        <v>401</v>
      </c>
      <c r="C116" s="702">
        <f>SUM(D116:E116)</f>
        <v>0</v>
      </c>
      <c r="D116" s="703">
        <f>F116+H116</f>
        <v>0</v>
      </c>
      <c r="E116" s="668"/>
      <c r="F116" s="669"/>
      <c r="G116" s="668"/>
      <c r="H116" s="669"/>
      <c r="I116" s="670"/>
    </row>
    <row r="117" spans="1:9" s="539" customFormat="1" ht="48" hidden="1">
      <c r="A117" s="571">
        <v>70004</v>
      </c>
      <c r="B117" s="695" t="s">
        <v>417</v>
      </c>
      <c r="C117" s="546">
        <f>SUM(C119)</f>
        <v>0</v>
      </c>
      <c r="D117" s="447">
        <f>SUM(D119)</f>
        <v>0</v>
      </c>
      <c r="E117" s="547"/>
      <c r="F117" s="548">
        <f>SUM(F119)</f>
        <v>0</v>
      </c>
      <c r="G117" s="547"/>
      <c r="H117" s="548"/>
      <c r="I117" s="449"/>
    </row>
    <row r="118" spans="1:9" ht="12.75" hidden="1">
      <c r="A118" s="515"/>
      <c r="B118" s="540" t="s">
        <v>388</v>
      </c>
      <c r="C118" s="517">
        <f>SUM(C119)</f>
        <v>0</v>
      </c>
      <c r="D118" s="518">
        <f>SUM(D119)</f>
        <v>0</v>
      </c>
      <c r="E118" s="519"/>
      <c r="F118" s="520">
        <f>SUM(F119)</f>
        <v>0</v>
      </c>
      <c r="G118" s="654"/>
      <c r="H118" s="655"/>
      <c r="I118" s="656"/>
    </row>
    <row r="119" spans="1:9" ht="12.75" hidden="1">
      <c r="A119" s="515"/>
      <c r="B119" s="544" t="s">
        <v>389</v>
      </c>
      <c r="C119" s="525">
        <f>SUM(D119:E119)</f>
        <v>0</v>
      </c>
      <c r="D119" s="526">
        <f>F119+H119</f>
        <v>0</v>
      </c>
      <c r="E119" s="527"/>
      <c r="F119" s="528">
        <v>0</v>
      </c>
      <c r="G119" s="521"/>
      <c r="H119" s="520"/>
      <c r="I119" s="522"/>
    </row>
    <row r="120" spans="1:9" s="539" customFormat="1" ht="24.75" customHeight="1">
      <c r="A120" s="571">
        <v>70005</v>
      </c>
      <c r="B120" s="695" t="s">
        <v>418</v>
      </c>
      <c r="C120" s="546">
        <f>C121+C125</f>
        <v>6697500</v>
      </c>
      <c r="D120" s="447">
        <f>D121+D125</f>
        <v>6654000</v>
      </c>
      <c r="E120" s="547">
        <f>SUM(E121)</f>
        <v>43500</v>
      </c>
      <c r="F120" s="548">
        <f>F121+F125</f>
        <v>6654000</v>
      </c>
      <c r="G120" s="547"/>
      <c r="H120" s="548"/>
      <c r="I120" s="449">
        <f>I121+I125</f>
        <v>43500</v>
      </c>
    </row>
    <row r="121" spans="1:9" ht="14.25" customHeight="1">
      <c r="A121" s="704"/>
      <c r="B121" s="705" t="s">
        <v>388</v>
      </c>
      <c r="C121" s="672">
        <f>SUM(C122:C124)</f>
        <v>5697500</v>
      </c>
      <c r="D121" s="706">
        <f>SUM(D124)</f>
        <v>5654000</v>
      </c>
      <c r="E121" s="707">
        <f>SUM(E122:E124)</f>
        <v>43500</v>
      </c>
      <c r="F121" s="708">
        <f>SUM(F124)</f>
        <v>5654000</v>
      </c>
      <c r="G121" s="709"/>
      <c r="H121" s="710"/>
      <c r="I121" s="711">
        <f>SUM(I122:I124)</f>
        <v>43500</v>
      </c>
    </row>
    <row r="122" spans="1:9" ht="12.75" hidden="1">
      <c r="A122" s="515"/>
      <c r="B122" s="524" t="s">
        <v>413</v>
      </c>
      <c r="C122" s="525">
        <f>SUM(D122:E122)</f>
        <v>0</v>
      </c>
      <c r="D122" s="526">
        <f>F122+H122</f>
        <v>0</v>
      </c>
      <c r="E122" s="527">
        <f>G122+I122</f>
        <v>0</v>
      </c>
      <c r="F122" s="520"/>
      <c r="G122" s="654"/>
      <c r="H122" s="655"/>
      <c r="I122" s="522"/>
    </row>
    <row r="123" spans="1:9" ht="12.75" hidden="1">
      <c r="A123" s="515"/>
      <c r="B123" s="524" t="s">
        <v>414</v>
      </c>
      <c r="C123" s="525"/>
      <c r="D123" s="526"/>
      <c r="E123" s="519"/>
      <c r="F123" s="520"/>
      <c r="G123" s="654"/>
      <c r="H123" s="655"/>
      <c r="I123" s="522"/>
    </row>
    <row r="124" spans="1:9" ht="12" customHeight="1">
      <c r="A124" s="515"/>
      <c r="B124" s="544" t="s">
        <v>389</v>
      </c>
      <c r="C124" s="525">
        <f>SUM(D124:E124)</f>
        <v>5697500</v>
      </c>
      <c r="D124" s="526">
        <f>F124+H124</f>
        <v>5654000</v>
      </c>
      <c r="E124" s="527">
        <f>G124+I124</f>
        <v>43500</v>
      </c>
      <c r="F124" s="545">
        <v>5654000</v>
      </c>
      <c r="G124" s="519"/>
      <c r="H124" s="541"/>
      <c r="I124" s="549">
        <v>43500</v>
      </c>
    </row>
    <row r="125" spans="1:9" ht="11.25" customHeight="1">
      <c r="A125" s="515"/>
      <c r="B125" s="516" t="s">
        <v>384</v>
      </c>
      <c r="C125" s="517">
        <f>SUM(C126)</f>
        <v>1000000</v>
      </c>
      <c r="D125" s="518">
        <f>F125+H125</f>
        <v>1000000</v>
      </c>
      <c r="E125" s="519"/>
      <c r="F125" s="520">
        <f>SUM(F126)</f>
        <v>1000000</v>
      </c>
      <c r="G125" s="521"/>
      <c r="H125" s="520"/>
      <c r="I125" s="522"/>
    </row>
    <row r="126" spans="1:9" ht="11.25" customHeight="1">
      <c r="A126" s="641"/>
      <c r="B126" s="574" t="s">
        <v>385</v>
      </c>
      <c r="C126" s="642">
        <f>SUM(D126:E126)</f>
        <v>1000000</v>
      </c>
      <c r="D126" s="643">
        <f>F126+H126</f>
        <v>1000000</v>
      </c>
      <c r="E126" s="644"/>
      <c r="F126" s="645">
        <v>1000000</v>
      </c>
      <c r="G126" s="646"/>
      <c r="H126" s="647"/>
      <c r="I126" s="661"/>
    </row>
    <row r="127" spans="1:9" ht="36.75" customHeight="1">
      <c r="A127" s="571">
        <v>70021</v>
      </c>
      <c r="B127" s="695" t="s">
        <v>419</v>
      </c>
      <c r="C127" s="546">
        <f>C128</f>
        <v>5517000</v>
      </c>
      <c r="D127" s="447">
        <f>D128</f>
        <v>5517000</v>
      </c>
      <c r="E127" s="547"/>
      <c r="F127" s="548">
        <f>F128</f>
        <v>5517000</v>
      </c>
      <c r="G127" s="547"/>
      <c r="H127" s="548"/>
      <c r="I127" s="449"/>
    </row>
    <row r="128" spans="1:9" ht="12.75">
      <c r="A128" s="515"/>
      <c r="B128" s="516" t="s">
        <v>384</v>
      </c>
      <c r="C128" s="712">
        <f>SUM(D128:E128)</f>
        <v>5517000</v>
      </c>
      <c r="D128" s="518">
        <f>F128+H128</f>
        <v>5517000</v>
      </c>
      <c r="E128" s="527"/>
      <c r="F128" s="545">
        <f>F129</f>
        <v>5517000</v>
      </c>
      <c r="G128" s="521"/>
      <c r="H128" s="520"/>
      <c r="I128" s="530"/>
    </row>
    <row r="129" spans="1:9" ht="11.25" customHeight="1">
      <c r="A129" s="641"/>
      <c r="B129" s="574" t="s">
        <v>402</v>
      </c>
      <c r="C129" s="642">
        <f>SUM(D129:E129)</f>
        <v>5517000</v>
      </c>
      <c r="D129" s="643">
        <f>F129+H129</f>
        <v>5517000</v>
      </c>
      <c r="E129" s="644"/>
      <c r="F129" s="645">
        <v>5517000</v>
      </c>
      <c r="G129" s="646"/>
      <c r="H129" s="647"/>
      <c r="I129" s="661"/>
    </row>
    <row r="130" spans="1:9" s="539" customFormat="1" ht="12">
      <c r="A130" s="571">
        <v>70095</v>
      </c>
      <c r="B130" s="695" t="s">
        <v>395</v>
      </c>
      <c r="C130" s="546">
        <f>C131+C136</f>
        <v>4627600</v>
      </c>
      <c r="D130" s="447">
        <f>D131+D136</f>
        <v>4627600</v>
      </c>
      <c r="E130" s="547"/>
      <c r="F130" s="548">
        <f>F131+F136</f>
        <v>4627600</v>
      </c>
      <c r="G130" s="547"/>
      <c r="H130" s="548"/>
      <c r="I130" s="449"/>
    </row>
    <row r="131" spans="1:9" ht="12.75">
      <c r="A131" s="515"/>
      <c r="B131" s="540" t="s">
        <v>388</v>
      </c>
      <c r="C131" s="517">
        <f>SUM(C132:C134)</f>
        <v>27600</v>
      </c>
      <c r="D131" s="518">
        <f>SUM(D132:D134)</f>
        <v>27600</v>
      </c>
      <c r="E131" s="519"/>
      <c r="F131" s="520">
        <f>SUM(F132:F134)</f>
        <v>27600</v>
      </c>
      <c r="G131" s="654"/>
      <c r="H131" s="655"/>
      <c r="I131" s="522"/>
    </row>
    <row r="132" spans="1:9" ht="12.75">
      <c r="A132" s="515"/>
      <c r="B132" s="524" t="s">
        <v>413</v>
      </c>
      <c r="C132" s="525">
        <f>SUM(D132:E132)</f>
        <v>6700</v>
      </c>
      <c r="D132" s="526">
        <f>F132+H132</f>
        <v>6700</v>
      </c>
      <c r="E132" s="519"/>
      <c r="F132" s="520">
        <v>6700</v>
      </c>
      <c r="G132" s="654"/>
      <c r="H132" s="655"/>
      <c r="I132" s="522"/>
    </row>
    <row r="133" spans="1:9" ht="12.75">
      <c r="A133" s="515"/>
      <c r="B133" s="524" t="s">
        <v>414</v>
      </c>
      <c r="C133" s="525"/>
      <c r="D133" s="526"/>
      <c r="E133" s="519"/>
      <c r="F133" s="520"/>
      <c r="G133" s="654"/>
      <c r="H133" s="655"/>
      <c r="I133" s="522"/>
    </row>
    <row r="134" spans="1:9" ht="11.25" customHeight="1">
      <c r="A134" s="515"/>
      <c r="B134" s="544" t="s">
        <v>389</v>
      </c>
      <c r="C134" s="525">
        <f>SUM(D134:E134)</f>
        <v>20900</v>
      </c>
      <c r="D134" s="526">
        <f>F134+H134</f>
        <v>20900</v>
      </c>
      <c r="E134" s="527"/>
      <c r="F134" s="545">
        <v>20900</v>
      </c>
      <c r="G134" s="521"/>
      <c r="H134" s="520"/>
      <c r="I134" s="530"/>
    </row>
    <row r="135" spans="1:9" ht="11.25" customHeight="1" hidden="1">
      <c r="A135" s="515"/>
      <c r="B135" s="544" t="s">
        <v>396</v>
      </c>
      <c r="C135" s="525">
        <f>SUM(D135:E135)</f>
        <v>0</v>
      </c>
      <c r="D135" s="526">
        <f>F135+H135</f>
        <v>0</v>
      </c>
      <c r="E135" s="527"/>
      <c r="F135" s="545"/>
      <c r="G135" s="521"/>
      <c r="H135" s="520"/>
      <c r="I135" s="530"/>
    </row>
    <row r="136" spans="1:9" ht="12" customHeight="1">
      <c r="A136" s="515"/>
      <c r="B136" s="516" t="s">
        <v>384</v>
      </c>
      <c r="C136" s="517">
        <f>SUM(C137:C138)</f>
        <v>4600000</v>
      </c>
      <c r="D136" s="518">
        <f>F136+H136</f>
        <v>4600000</v>
      </c>
      <c r="E136" s="519"/>
      <c r="F136" s="520">
        <f>SUM(F137:F138)</f>
        <v>4600000</v>
      </c>
      <c r="G136" s="521"/>
      <c r="H136" s="520"/>
      <c r="I136" s="522"/>
    </row>
    <row r="137" spans="1:9" s="531" customFormat="1" ht="14.25" customHeight="1" thickBot="1">
      <c r="A137" s="657"/>
      <c r="B137" s="574" t="s">
        <v>397</v>
      </c>
      <c r="C137" s="642">
        <f>SUM(D137:E137)</f>
        <v>4600000</v>
      </c>
      <c r="D137" s="643">
        <f>F137+H137</f>
        <v>4600000</v>
      </c>
      <c r="E137" s="644"/>
      <c r="F137" s="645">
        <v>4600000</v>
      </c>
      <c r="G137" s="644"/>
      <c r="H137" s="645"/>
      <c r="I137" s="653"/>
    </row>
    <row r="138" spans="1:9" ht="12.75" hidden="1" thickBot="1">
      <c r="A138" s="515"/>
      <c r="B138" s="524" t="s">
        <v>420</v>
      </c>
      <c r="C138" s="642">
        <f>SUM(D138:E138)</f>
        <v>0</v>
      </c>
      <c r="D138" s="526">
        <f>F138+H138</f>
        <v>0</v>
      </c>
      <c r="E138" s="527"/>
      <c r="F138" s="545">
        <v>0</v>
      </c>
      <c r="G138" s="519"/>
      <c r="H138" s="541"/>
      <c r="I138" s="542"/>
    </row>
    <row r="139" spans="1:9" s="696" customFormat="1" ht="30" customHeight="1" thickBot="1" thickTop="1">
      <c r="A139" s="570">
        <v>710</v>
      </c>
      <c r="B139" s="509" t="s">
        <v>258</v>
      </c>
      <c r="C139" s="510">
        <f>C152+C155+C158+C165+C147+C172</f>
        <v>3818400</v>
      </c>
      <c r="D139" s="511">
        <f>D152+D155+D158+D165+D147+D172</f>
        <v>3363700</v>
      </c>
      <c r="E139" s="512">
        <f>E152+E155+E158+E165</f>
        <v>454700</v>
      </c>
      <c r="F139" s="513">
        <f>F152+F155+F158+F165+F147+F172</f>
        <v>3163700</v>
      </c>
      <c r="G139" s="512">
        <f>G152+G155+G158+G165+G147</f>
        <v>16600</v>
      </c>
      <c r="H139" s="511">
        <f>H152+H155+H158+H165+H147</f>
        <v>200000</v>
      </c>
      <c r="I139" s="457">
        <f>I152+I155+I158+I165+I147</f>
        <v>438100</v>
      </c>
    </row>
    <row r="140" spans="1:9" s="514" customFormat="1" ht="14.25" customHeight="1" thickTop="1">
      <c r="A140" s="576"/>
      <c r="B140" s="577" t="s">
        <v>388</v>
      </c>
      <c r="C140" s="578">
        <f>D140+E140</f>
        <v>3310400</v>
      </c>
      <c r="D140" s="579">
        <f>F140+H140</f>
        <v>2863700</v>
      </c>
      <c r="E140" s="580">
        <f>G140+I140</f>
        <v>446700</v>
      </c>
      <c r="F140" s="583">
        <f>F148+F153+F156+F159+F166</f>
        <v>2663700</v>
      </c>
      <c r="G140" s="582">
        <f>G148+G153+G156+G159+G166</f>
        <v>16600</v>
      </c>
      <c r="H140" s="458">
        <f>H148+H153+H156+H159+H166</f>
        <v>200000</v>
      </c>
      <c r="I140" s="584">
        <f>I148+I153+I156+I159+I166</f>
        <v>430100</v>
      </c>
    </row>
    <row r="141" spans="1:9" s="589" customFormat="1" ht="12" customHeight="1">
      <c r="A141" s="598"/>
      <c r="B141" s="524" t="s">
        <v>413</v>
      </c>
      <c r="C141" s="586">
        <f>D141+E141</f>
        <v>471150</v>
      </c>
      <c r="D141" s="587">
        <f>F141+H141</f>
        <v>184300</v>
      </c>
      <c r="E141" s="529">
        <f>G141+I141</f>
        <v>286850</v>
      </c>
      <c r="F141" s="588">
        <f>F149+F160</f>
        <v>24700</v>
      </c>
      <c r="G141" s="529"/>
      <c r="H141" s="698">
        <f>H160</f>
        <v>159600</v>
      </c>
      <c r="I141" s="530">
        <f>I160</f>
        <v>286850</v>
      </c>
    </row>
    <row r="142" spans="1:9" s="589" customFormat="1" ht="12" customHeight="1">
      <c r="A142" s="598"/>
      <c r="B142" s="524" t="s">
        <v>414</v>
      </c>
      <c r="C142" s="586"/>
      <c r="D142" s="587"/>
      <c r="E142" s="529"/>
      <c r="F142" s="528"/>
      <c r="G142" s="529"/>
      <c r="H142" s="698"/>
      <c r="I142" s="530"/>
    </row>
    <row r="143" spans="1:9" s="589" customFormat="1" ht="12" customHeight="1">
      <c r="A143" s="598"/>
      <c r="B143" s="544" t="s">
        <v>389</v>
      </c>
      <c r="C143" s="586">
        <f>D143+E143</f>
        <v>2839250</v>
      </c>
      <c r="D143" s="587">
        <f>F143+H143</f>
        <v>2679400</v>
      </c>
      <c r="E143" s="529">
        <f>G143+I143</f>
        <v>159850</v>
      </c>
      <c r="F143" s="528">
        <f>F151+F154+F157+F162+F167</f>
        <v>2639000</v>
      </c>
      <c r="G143" s="529">
        <f>G167</f>
        <v>16600</v>
      </c>
      <c r="H143" s="698">
        <f>H151+H154+H157+H162</f>
        <v>40400</v>
      </c>
      <c r="I143" s="530">
        <f>I151+I154+I157+I162</f>
        <v>143250</v>
      </c>
    </row>
    <row r="144" spans="1:9" s="514" customFormat="1" ht="12.75">
      <c r="A144" s="576"/>
      <c r="B144" s="595" t="s">
        <v>384</v>
      </c>
      <c r="C144" s="578">
        <f>D144+E144</f>
        <v>508000</v>
      </c>
      <c r="D144" s="579">
        <f>F144+H144</f>
        <v>500000</v>
      </c>
      <c r="E144" s="579">
        <f>G144+I144</f>
        <v>8000</v>
      </c>
      <c r="F144" s="596">
        <f>SUM(F145:F146)</f>
        <v>500000</v>
      </c>
      <c r="G144" s="580"/>
      <c r="H144" s="458"/>
      <c r="I144" s="597">
        <f>SUM(I145:I146)</f>
        <v>8000</v>
      </c>
    </row>
    <row r="145" spans="1:9" s="589" customFormat="1" ht="13.5">
      <c r="A145" s="598"/>
      <c r="B145" s="524" t="s">
        <v>397</v>
      </c>
      <c r="C145" s="525">
        <f>D145+E145</f>
        <v>500000</v>
      </c>
      <c r="D145" s="526">
        <f>F145+H145</f>
        <v>500000</v>
      </c>
      <c r="E145" s="527"/>
      <c r="F145" s="545">
        <f>F171</f>
        <v>500000</v>
      </c>
      <c r="G145" s="527"/>
      <c r="H145" s="526"/>
      <c r="I145" s="549"/>
    </row>
    <row r="146" spans="1:9" ht="13.5" thickBot="1">
      <c r="A146" s="713"/>
      <c r="B146" s="700" t="s">
        <v>385</v>
      </c>
      <c r="C146" s="613">
        <f>SUM(D146:E146)</f>
        <v>8000</v>
      </c>
      <c r="D146" s="614"/>
      <c r="E146" s="617">
        <f>G146+I146</f>
        <v>8000</v>
      </c>
      <c r="F146" s="686"/>
      <c r="G146" s="701"/>
      <c r="H146" s="684"/>
      <c r="I146" s="619">
        <f>I164</f>
        <v>8000</v>
      </c>
    </row>
    <row r="147" spans="1:9" s="539" customFormat="1" ht="27" customHeight="1" thickTop="1">
      <c r="A147" s="620">
        <v>71004</v>
      </c>
      <c r="B147" s="689" t="s">
        <v>421</v>
      </c>
      <c r="C147" s="690">
        <f>SUM(C148)</f>
        <v>1274700</v>
      </c>
      <c r="D147" s="691">
        <f>D148+D152</f>
        <v>1274700</v>
      </c>
      <c r="E147" s="692"/>
      <c r="F147" s="693">
        <f>SUM(F148)</f>
        <v>1274700</v>
      </c>
      <c r="G147" s="692"/>
      <c r="H147" s="693"/>
      <c r="I147" s="694"/>
    </row>
    <row r="148" spans="1:9" ht="13.5" customHeight="1">
      <c r="A148" s="515"/>
      <c r="B148" s="540" t="s">
        <v>388</v>
      </c>
      <c r="C148" s="517">
        <f>SUM(C151)+C149</f>
        <v>1274700</v>
      </c>
      <c r="D148" s="518">
        <f>SUM(D151)+D149</f>
        <v>1274700</v>
      </c>
      <c r="E148" s="519"/>
      <c r="F148" s="520">
        <f>F149+F151</f>
        <v>1274700</v>
      </c>
      <c r="G148" s="654"/>
      <c r="H148" s="655"/>
      <c r="I148" s="522"/>
    </row>
    <row r="149" spans="1:9" ht="12.75">
      <c r="A149" s="515"/>
      <c r="B149" s="524" t="s">
        <v>413</v>
      </c>
      <c r="C149" s="525">
        <f>SUM(D149:E149)</f>
        <v>24700</v>
      </c>
      <c r="D149" s="526">
        <f>F149+H149</f>
        <v>24700</v>
      </c>
      <c r="E149" s="519"/>
      <c r="F149" s="520">
        <v>24700</v>
      </c>
      <c r="G149" s="654"/>
      <c r="H149" s="655"/>
      <c r="I149" s="522"/>
    </row>
    <row r="150" spans="1:9" ht="11.25" customHeight="1">
      <c r="A150" s="515"/>
      <c r="B150" s="524" t="s">
        <v>414</v>
      </c>
      <c r="C150" s="525"/>
      <c r="D150" s="526"/>
      <c r="E150" s="519"/>
      <c r="F150" s="520"/>
      <c r="G150" s="654"/>
      <c r="H150" s="655"/>
      <c r="I150" s="522"/>
    </row>
    <row r="151" spans="1:9" ht="12" customHeight="1">
      <c r="A151" s="515"/>
      <c r="B151" s="544" t="s">
        <v>389</v>
      </c>
      <c r="C151" s="525">
        <f>SUM(D151:E151)</f>
        <v>1250000</v>
      </c>
      <c r="D151" s="526">
        <f>F151+H151</f>
        <v>1250000</v>
      </c>
      <c r="E151" s="527"/>
      <c r="F151" s="545">
        <v>1250000</v>
      </c>
      <c r="G151" s="519"/>
      <c r="H151" s="541"/>
      <c r="I151" s="549"/>
    </row>
    <row r="152" spans="1:9" s="539" customFormat="1" ht="24.75" customHeight="1">
      <c r="A152" s="571">
        <v>71013</v>
      </c>
      <c r="B152" s="695" t="s">
        <v>422</v>
      </c>
      <c r="C152" s="546">
        <f aca="true" t="shared" si="4" ref="C152:E153">SUM(C153)</f>
        <v>80000</v>
      </c>
      <c r="D152" s="447"/>
      <c r="E152" s="547">
        <f t="shared" si="4"/>
        <v>80000</v>
      </c>
      <c r="F152" s="548"/>
      <c r="G152" s="547"/>
      <c r="H152" s="548"/>
      <c r="I152" s="449">
        <f>SUM(I153)</f>
        <v>80000</v>
      </c>
    </row>
    <row r="153" spans="1:9" ht="12" customHeight="1">
      <c r="A153" s="515"/>
      <c r="B153" s="540" t="s">
        <v>388</v>
      </c>
      <c r="C153" s="517">
        <f t="shared" si="4"/>
        <v>80000</v>
      </c>
      <c r="D153" s="518"/>
      <c r="E153" s="519">
        <f t="shared" si="4"/>
        <v>80000</v>
      </c>
      <c r="F153" s="520"/>
      <c r="G153" s="654"/>
      <c r="H153" s="655"/>
      <c r="I153" s="522">
        <f>SUM(I154)</f>
        <v>80000</v>
      </c>
    </row>
    <row r="154" spans="1:9" ht="11.25" customHeight="1">
      <c r="A154" s="515"/>
      <c r="B154" s="544" t="s">
        <v>389</v>
      </c>
      <c r="C154" s="525">
        <f>SUM(D154:E154)</f>
        <v>80000</v>
      </c>
      <c r="D154" s="526"/>
      <c r="E154" s="527">
        <f>G154+I154</f>
        <v>80000</v>
      </c>
      <c r="F154" s="545"/>
      <c r="G154" s="519"/>
      <c r="H154" s="541"/>
      <c r="I154" s="549">
        <v>80000</v>
      </c>
    </row>
    <row r="155" spans="1:9" s="539" customFormat="1" ht="22.5" customHeight="1">
      <c r="A155" s="571">
        <v>71014</v>
      </c>
      <c r="B155" s="695" t="s">
        <v>423</v>
      </c>
      <c r="C155" s="546">
        <f>SUM(C157)</f>
        <v>20000</v>
      </c>
      <c r="D155" s="447"/>
      <c r="E155" s="547">
        <f>SUM(E156)</f>
        <v>20000</v>
      </c>
      <c r="F155" s="548"/>
      <c r="G155" s="547"/>
      <c r="H155" s="548"/>
      <c r="I155" s="449">
        <f>SUM(I156)</f>
        <v>20000</v>
      </c>
    </row>
    <row r="156" spans="1:9" ht="12" customHeight="1">
      <c r="A156" s="515"/>
      <c r="B156" s="540" t="s">
        <v>388</v>
      </c>
      <c r="C156" s="517">
        <f>SUM(C157)</f>
        <v>20000</v>
      </c>
      <c r="D156" s="518"/>
      <c r="E156" s="519">
        <f>SUM(E157)</f>
        <v>20000</v>
      </c>
      <c r="F156" s="520"/>
      <c r="G156" s="654"/>
      <c r="H156" s="655"/>
      <c r="I156" s="522">
        <f>SUM(I157)</f>
        <v>20000</v>
      </c>
    </row>
    <row r="157" spans="1:9" ht="12" customHeight="1">
      <c r="A157" s="641"/>
      <c r="B157" s="658" t="s">
        <v>389</v>
      </c>
      <c r="C157" s="642">
        <f>SUM(D157:E157)</f>
        <v>20000</v>
      </c>
      <c r="D157" s="643"/>
      <c r="E157" s="644">
        <f>G157+I157</f>
        <v>20000</v>
      </c>
      <c r="F157" s="645"/>
      <c r="G157" s="714"/>
      <c r="H157" s="715"/>
      <c r="I157" s="653">
        <v>20000</v>
      </c>
    </row>
    <row r="158" spans="1:9" s="539" customFormat="1" ht="12.75" customHeight="1">
      <c r="A158" s="571">
        <v>71015</v>
      </c>
      <c r="B158" s="695" t="s">
        <v>424</v>
      </c>
      <c r="C158" s="546">
        <f>C159+C163</f>
        <v>538100</v>
      </c>
      <c r="D158" s="447">
        <f>D159+D163</f>
        <v>200000</v>
      </c>
      <c r="E158" s="547">
        <f>E159+E163</f>
        <v>338100</v>
      </c>
      <c r="F158" s="548"/>
      <c r="G158" s="547"/>
      <c r="H158" s="548">
        <f>H159+H163</f>
        <v>200000</v>
      </c>
      <c r="I158" s="449">
        <f>I159+I163</f>
        <v>338100</v>
      </c>
    </row>
    <row r="159" spans="1:9" ht="12">
      <c r="A159" s="515"/>
      <c r="B159" s="540" t="s">
        <v>388</v>
      </c>
      <c r="C159" s="517">
        <f>SUM(C160:C162)</f>
        <v>530100</v>
      </c>
      <c r="D159" s="518">
        <f>SUM(D160:D162)</f>
        <v>200000</v>
      </c>
      <c r="E159" s="519">
        <f>SUM(E160:E162)</f>
        <v>330100</v>
      </c>
      <c r="F159" s="541"/>
      <c r="G159" s="519"/>
      <c r="H159" s="541">
        <f>SUM(H160:H162)</f>
        <v>200000</v>
      </c>
      <c r="I159" s="542">
        <f>SUM(I160:I162)</f>
        <v>330100</v>
      </c>
    </row>
    <row r="160" spans="1:9" ht="12">
      <c r="A160" s="515"/>
      <c r="B160" s="524" t="s">
        <v>413</v>
      </c>
      <c r="C160" s="525">
        <f>SUM(D160:E160)</f>
        <v>446450</v>
      </c>
      <c r="D160" s="526">
        <f>F160+H160</f>
        <v>159600</v>
      </c>
      <c r="E160" s="527">
        <f>G160+I160</f>
        <v>286850</v>
      </c>
      <c r="F160" s="545"/>
      <c r="G160" s="519"/>
      <c r="H160" s="545">
        <v>159600</v>
      </c>
      <c r="I160" s="549">
        <v>286850</v>
      </c>
    </row>
    <row r="161" spans="1:9" ht="12">
      <c r="A161" s="515"/>
      <c r="B161" s="524" t="s">
        <v>414</v>
      </c>
      <c r="C161" s="525"/>
      <c r="D161" s="526"/>
      <c r="E161" s="527"/>
      <c r="F161" s="545"/>
      <c r="G161" s="519"/>
      <c r="H161" s="545"/>
      <c r="I161" s="549"/>
    </row>
    <row r="162" spans="1:9" ht="10.5" customHeight="1">
      <c r="A162" s="515"/>
      <c r="B162" s="544" t="s">
        <v>389</v>
      </c>
      <c r="C162" s="525">
        <f>SUM(D162:E162)</f>
        <v>83650</v>
      </c>
      <c r="D162" s="526">
        <f>F162+H162</f>
        <v>40400</v>
      </c>
      <c r="E162" s="527">
        <f>G162+I162</f>
        <v>43250</v>
      </c>
      <c r="F162" s="545"/>
      <c r="G162" s="519"/>
      <c r="H162" s="545">
        <v>40400</v>
      </c>
      <c r="I162" s="549">
        <v>43250</v>
      </c>
    </row>
    <row r="163" spans="1:9" ht="11.25" customHeight="1">
      <c r="A163" s="515"/>
      <c r="B163" s="516" t="s">
        <v>384</v>
      </c>
      <c r="C163" s="517">
        <f>SUM(C164)</f>
        <v>8000</v>
      </c>
      <c r="D163" s="526"/>
      <c r="E163" s="519">
        <f>SUM(E164)</f>
        <v>8000</v>
      </c>
      <c r="F163" s="528"/>
      <c r="G163" s="521"/>
      <c r="H163" s="520"/>
      <c r="I163" s="522">
        <f>SUM(I164)</f>
        <v>8000</v>
      </c>
    </row>
    <row r="164" spans="1:9" ht="12.75">
      <c r="A164" s="515"/>
      <c r="B164" s="524" t="s">
        <v>385</v>
      </c>
      <c r="C164" s="525">
        <f>SUM(D164:E164)</f>
        <v>8000</v>
      </c>
      <c r="D164" s="526"/>
      <c r="E164" s="527">
        <f>G164+I164</f>
        <v>8000</v>
      </c>
      <c r="F164" s="528"/>
      <c r="G164" s="521"/>
      <c r="H164" s="660"/>
      <c r="I164" s="530">
        <v>8000</v>
      </c>
    </row>
    <row r="165" spans="1:9" s="539" customFormat="1" ht="10.5" customHeight="1">
      <c r="A165" s="571">
        <v>71035</v>
      </c>
      <c r="B165" s="695" t="s">
        <v>425</v>
      </c>
      <c r="C165" s="546">
        <f>SUM(C167+C170)</f>
        <v>1905600</v>
      </c>
      <c r="D165" s="447">
        <f>D166+D170</f>
        <v>1889000</v>
      </c>
      <c r="E165" s="547">
        <f>SUM(E166)</f>
        <v>16600</v>
      </c>
      <c r="F165" s="548">
        <f>F166+F170</f>
        <v>1889000</v>
      </c>
      <c r="G165" s="547">
        <f>SUM(G166)</f>
        <v>16600</v>
      </c>
      <c r="H165" s="716"/>
      <c r="I165" s="449"/>
    </row>
    <row r="166" spans="1:9" ht="13.5" customHeight="1">
      <c r="A166" s="704"/>
      <c r="B166" s="705" t="s">
        <v>388</v>
      </c>
      <c r="C166" s="672">
        <f>SUM(C167)</f>
        <v>1405600</v>
      </c>
      <c r="D166" s="706">
        <f>SUM(D167)</f>
        <v>1389000</v>
      </c>
      <c r="E166" s="519">
        <f>SUM(E167)</f>
        <v>16600</v>
      </c>
      <c r="F166" s="708">
        <f>SUM(F167)</f>
        <v>1389000</v>
      </c>
      <c r="G166" s="717">
        <f>SUM(G167)</f>
        <v>16600</v>
      </c>
      <c r="H166" s="718"/>
      <c r="I166" s="711"/>
    </row>
    <row r="167" spans="1:9" ht="11.25" customHeight="1">
      <c r="A167" s="515"/>
      <c r="B167" s="544" t="s">
        <v>389</v>
      </c>
      <c r="C167" s="525">
        <f>SUM(D167:E167)</f>
        <v>1405600</v>
      </c>
      <c r="D167" s="526">
        <f>F167+H167</f>
        <v>1389000</v>
      </c>
      <c r="E167" s="527">
        <f>G167+I167</f>
        <v>16600</v>
      </c>
      <c r="F167" s="545">
        <v>1389000</v>
      </c>
      <c r="G167" s="527">
        <v>16600</v>
      </c>
      <c r="H167" s="719"/>
      <c r="I167" s="549"/>
    </row>
    <row r="168" spans="1:9" s="531" customFormat="1" ht="12" customHeight="1" hidden="1">
      <c r="A168" s="657"/>
      <c r="B168" s="658" t="s">
        <v>396</v>
      </c>
      <c r="C168" s="525">
        <f>SUM(D168:E168)</f>
        <v>0</v>
      </c>
      <c r="D168" s="643">
        <f>F168+H168</f>
        <v>0</v>
      </c>
      <c r="E168" s="527">
        <f>G168+I168</f>
        <v>0</v>
      </c>
      <c r="F168" s="645"/>
      <c r="G168" s="644"/>
      <c r="H168" s="643"/>
      <c r="I168" s="653"/>
    </row>
    <row r="169" spans="1:9" s="723" customFormat="1" ht="12" customHeight="1">
      <c r="A169" s="720"/>
      <c r="B169" s="721" t="s">
        <v>426</v>
      </c>
      <c r="C169" s="603">
        <f>SUM(D169:E169)</f>
        <v>16600</v>
      </c>
      <c r="D169" s="604"/>
      <c r="E169" s="605">
        <f>G169+I169</f>
        <v>16600</v>
      </c>
      <c r="F169" s="606"/>
      <c r="G169" s="605">
        <v>16600</v>
      </c>
      <c r="H169" s="604"/>
      <c r="I169" s="722"/>
    </row>
    <row r="170" spans="1:9" ht="12" customHeight="1">
      <c r="A170" s="515"/>
      <c r="B170" s="516" t="s">
        <v>384</v>
      </c>
      <c r="C170" s="517">
        <f>SUM(C171:C172)</f>
        <v>500000</v>
      </c>
      <c r="D170" s="518">
        <f>F170+H170</f>
        <v>500000</v>
      </c>
      <c r="E170" s="519"/>
      <c r="F170" s="520">
        <f>SUM(F171:F172)</f>
        <v>500000</v>
      </c>
      <c r="G170" s="521"/>
      <c r="H170" s="678"/>
      <c r="I170" s="522"/>
    </row>
    <row r="171" spans="1:9" s="531" customFormat="1" ht="14.25" customHeight="1" thickBot="1">
      <c r="A171" s="523"/>
      <c r="B171" s="524" t="s">
        <v>397</v>
      </c>
      <c r="C171" s="525">
        <f>SUM(D171:E171)</f>
        <v>500000</v>
      </c>
      <c r="D171" s="526">
        <f>F171+H171</f>
        <v>500000</v>
      </c>
      <c r="E171" s="527"/>
      <c r="F171" s="545">
        <v>500000</v>
      </c>
      <c r="G171" s="527"/>
      <c r="H171" s="545"/>
      <c r="I171" s="549"/>
    </row>
    <row r="172" spans="1:9" s="531" customFormat="1" ht="15" customHeight="1" hidden="1">
      <c r="A172" s="571">
        <v>71095</v>
      </c>
      <c r="B172" s="533" t="s">
        <v>395</v>
      </c>
      <c r="C172" s="546">
        <f>SUM(C174)</f>
        <v>0</v>
      </c>
      <c r="D172" s="447">
        <f>D173</f>
        <v>0</v>
      </c>
      <c r="E172" s="547"/>
      <c r="F172" s="548">
        <f>F173</f>
        <v>0</v>
      </c>
      <c r="G172" s="547"/>
      <c r="H172" s="548"/>
      <c r="I172" s="449"/>
    </row>
    <row r="173" spans="1:9" s="531" customFormat="1" ht="9" customHeight="1" hidden="1">
      <c r="A173" s="523"/>
      <c r="B173" s="540" t="s">
        <v>427</v>
      </c>
      <c r="C173" s="672">
        <f>SUM(C174)</f>
        <v>0</v>
      </c>
      <c r="D173" s="706">
        <f>SUM(D174)</f>
        <v>0</v>
      </c>
      <c r="E173" s="527"/>
      <c r="F173" s="541">
        <f>F174</f>
        <v>0</v>
      </c>
      <c r="G173" s="527"/>
      <c r="H173" s="545"/>
      <c r="I173" s="549"/>
    </row>
    <row r="174" spans="1:9" s="531" customFormat="1" ht="16.5" customHeight="1" hidden="1">
      <c r="A174" s="523"/>
      <c r="B174" s="544" t="s">
        <v>428</v>
      </c>
      <c r="C174" s="525">
        <f>SUM(D174:E174)</f>
        <v>0</v>
      </c>
      <c r="D174" s="526">
        <f>F174+H174</f>
        <v>0</v>
      </c>
      <c r="E174" s="527"/>
      <c r="F174" s="545">
        <v>0</v>
      </c>
      <c r="G174" s="617"/>
      <c r="H174" s="545"/>
      <c r="I174" s="549"/>
    </row>
    <row r="175" spans="1:9" s="514" customFormat="1" ht="27.75" customHeight="1" thickBot="1" thickTop="1">
      <c r="A175" s="570">
        <v>750</v>
      </c>
      <c r="B175" s="509" t="s">
        <v>260</v>
      </c>
      <c r="C175" s="510">
        <f aca="true" t="shared" si="5" ref="C175:I175">C185+C197+C200+C222+C190+C209+C216</f>
        <v>35920735</v>
      </c>
      <c r="D175" s="511">
        <f t="shared" si="5"/>
        <v>34882135</v>
      </c>
      <c r="E175" s="512">
        <f t="shared" si="5"/>
        <v>1038600</v>
      </c>
      <c r="F175" s="513">
        <f t="shared" si="5"/>
        <v>29909555</v>
      </c>
      <c r="G175" s="512">
        <f t="shared" si="5"/>
        <v>757900</v>
      </c>
      <c r="H175" s="513">
        <f t="shared" si="5"/>
        <v>4972580</v>
      </c>
      <c r="I175" s="457">
        <f t="shared" si="5"/>
        <v>280700</v>
      </c>
    </row>
    <row r="176" spans="1:9" s="514" customFormat="1" ht="12.75" customHeight="1" thickTop="1">
      <c r="A176" s="724"/>
      <c r="B176" s="725" t="s">
        <v>388</v>
      </c>
      <c r="C176" s="726">
        <f>D176+E176</f>
        <v>33748735</v>
      </c>
      <c r="D176" s="727">
        <f>F176+H176</f>
        <v>32710135</v>
      </c>
      <c r="E176" s="582">
        <f>G176+I176</f>
        <v>1038600</v>
      </c>
      <c r="F176" s="728">
        <f>F186+F191+F198+F201+F210+F217+F223</f>
        <v>27737555</v>
      </c>
      <c r="G176" s="729">
        <f>G186+G191+G198+G201+G210+G217+G223</f>
        <v>757900</v>
      </c>
      <c r="H176" s="583">
        <f>H186+H191+H198+H201+H210+H217+H223</f>
        <v>4972580</v>
      </c>
      <c r="I176" s="584">
        <f>I186+I191+I198+I201+I210+I217+I223</f>
        <v>280700</v>
      </c>
    </row>
    <row r="177" spans="1:9" s="589" customFormat="1" ht="12.75" customHeight="1">
      <c r="A177" s="585"/>
      <c r="B177" s="524" t="s">
        <v>413</v>
      </c>
      <c r="C177" s="586">
        <f>D177+E177</f>
        <v>19837425</v>
      </c>
      <c r="D177" s="587">
        <f>F177+H177</f>
        <v>18814325</v>
      </c>
      <c r="E177" s="529">
        <f>G177+I177</f>
        <v>1023100</v>
      </c>
      <c r="F177" s="588">
        <f>F187+F192+F202+F211+F218+F224</f>
        <v>17498425</v>
      </c>
      <c r="G177" s="730">
        <f>G187+G192+G202+G211+G218+G224</f>
        <v>757900</v>
      </c>
      <c r="H177" s="528">
        <f>H187+H192+H202+H211+H218+H224</f>
        <v>1315900</v>
      </c>
      <c r="I177" s="530">
        <f>I187+I192+I202+I211+I218+I224</f>
        <v>265200</v>
      </c>
    </row>
    <row r="178" spans="1:9" s="589" customFormat="1" ht="12.75" customHeight="1">
      <c r="A178" s="585"/>
      <c r="B178" s="524" t="s">
        <v>414</v>
      </c>
      <c r="C178" s="586"/>
      <c r="D178" s="587"/>
      <c r="E178" s="529"/>
      <c r="F178" s="588"/>
      <c r="G178" s="730"/>
      <c r="H178" s="528"/>
      <c r="I178" s="530"/>
    </row>
    <row r="179" spans="1:9" s="589" customFormat="1" ht="12.75" customHeight="1">
      <c r="A179" s="585"/>
      <c r="B179" s="544" t="s">
        <v>400</v>
      </c>
      <c r="C179" s="586">
        <f>D179+E179</f>
        <v>2645180</v>
      </c>
      <c r="D179" s="587">
        <f aca="true" t="shared" si="6" ref="D179:D184">F179+H179</f>
        <v>2645180</v>
      </c>
      <c r="E179" s="529"/>
      <c r="F179" s="588">
        <f>F195+F226</f>
        <v>668000</v>
      </c>
      <c r="G179" s="529"/>
      <c r="H179" s="731">
        <f>H195+H226</f>
        <v>1977180</v>
      </c>
      <c r="I179" s="530"/>
    </row>
    <row r="180" spans="1:9" s="589" customFormat="1" ht="12.75" customHeight="1">
      <c r="A180" s="585"/>
      <c r="B180" s="524" t="s">
        <v>389</v>
      </c>
      <c r="C180" s="586">
        <f>D180+E180</f>
        <v>11266130</v>
      </c>
      <c r="D180" s="587">
        <f t="shared" si="6"/>
        <v>11250630</v>
      </c>
      <c r="E180" s="529">
        <f>G180+I180</f>
        <v>15500</v>
      </c>
      <c r="F180" s="588">
        <f>F189+F196+F199+F204+F214+F220+F227</f>
        <v>9571130</v>
      </c>
      <c r="G180" s="730"/>
      <c r="H180" s="528">
        <f>H189+H196+H199+H204+H214+H220+H227</f>
        <v>1679500</v>
      </c>
      <c r="I180" s="530">
        <f>I189+I196+I199+I204+I214+I220+I227</f>
        <v>15500</v>
      </c>
    </row>
    <row r="181" spans="1:9" ht="12.75" customHeight="1">
      <c r="A181" s="515"/>
      <c r="B181" s="524" t="s">
        <v>416</v>
      </c>
      <c r="C181" s="517">
        <f>D181+E181</f>
        <v>776000</v>
      </c>
      <c r="D181" s="518">
        <f t="shared" si="6"/>
        <v>776000</v>
      </c>
      <c r="E181" s="519"/>
      <c r="F181" s="594">
        <f>F205</f>
        <v>776000</v>
      </c>
      <c r="G181" s="732"/>
      <c r="H181" s="541"/>
      <c r="I181" s="542"/>
    </row>
    <row r="182" spans="1:9" s="514" customFormat="1" ht="12.75" customHeight="1">
      <c r="A182" s="576"/>
      <c r="B182" s="725" t="s">
        <v>384</v>
      </c>
      <c r="C182" s="578">
        <f>D182+E182</f>
        <v>2172000</v>
      </c>
      <c r="D182" s="579">
        <f t="shared" si="6"/>
        <v>2172000</v>
      </c>
      <c r="E182" s="580"/>
      <c r="F182" s="581">
        <f>F206</f>
        <v>2172000</v>
      </c>
      <c r="G182" s="733"/>
      <c r="H182" s="596"/>
      <c r="I182" s="597"/>
    </row>
    <row r="183" spans="1:9" s="589" customFormat="1" ht="13.5" customHeight="1">
      <c r="A183" s="585"/>
      <c r="B183" s="524" t="s">
        <v>385</v>
      </c>
      <c r="C183" s="586">
        <f>D183+E183</f>
        <v>1337000</v>
      </c>
      <c r="D183" s="587">
        <f t="shared" si="6"/>
        <v>1337000</v>
      </c>
      <c r="E183" s="529"/>
      <c r="F183" s="588">
        <f>F208</f>
        <v>1337000</v>
      </c>
      <c r="G183" s="730"/>
      <c r="H183" s="528"/>
      <c r="I183" s="530"/>
    </row>
    <row r="184" spans="1:9" s="531" customFormat="1" ht="15" customHeight="1">
      <c r="A184" s="657"/>
      <c r="B184" s="574" t="s">
        <v>397</v>
      </c>
      <c r="C184" s="734">
        <f>SUM(D184:E184)</f>
        <v>835000</v>
      </c>
      <c r="D184" s="735">
        <f t="shared" si="6"/>
        <v>835000</v>
      </c>
      <c r="E184" s="659"/>
      <c r="F184" s="660">
        <f>F207</f>
        <v>835000</v>
      </c>
      <c r="G184" s="659"/>
      <c r="H184" s="660"/>
      <c r="I184" s="661"/>
    </row>
    <row r="185" spans="1:9" ht="15" customHeight="1">
      <c r="A185" s="620">
        <v>75011</v>
      </c>
      <c r="B185" s="689" t="s">
        <v>429</v>
      </c>
      <c r="C185" s="690">
        <f>SUM(C186)</f>
        <v>1536700</v>
      </c>
      <c r="D185" s="691">
        <f>SUM(D186)</f>
        <v>537600</v>
      </c>
      <c r="E185" s="692">
        <f>SUM(E186)</f>
        <v>999100</v>
      </c>
      <c r="F185" s="693">
        <f>SUM(F186)</f>
        <v>537600</v>
      </c>
      <c r="G185" s="692">
        <f>G186</f>
        <v>757900</v>
      </c>
      <c r="H185" s="693"/>
      <c r="I185" s="694">
        <f>I186</f>
        <v>241200</v>
      </c>
    </row>
    <row r="186" spans="1:9" ht="12.75" customHeight="1">
      <c r="A186" s="515"/>
      <c r="B186" s="516" t="s">
        <v>388</v>
      </c>
      <c r="C186" s="517">
        <f>SUM(C187:C189)</f>
        <v>1536700</v>
      </c>
      <c r="D186" s="518">
        <f>SUM(D187:D189)</f>
        <v>537600</v>
      </c>
      <c r="E186" s="519">
        <f>SUM(E187:E189)</f>
        <v>999100</v>
      </c>
      <c r="F186" s="541">
        <f>SUM(F187:F189)</f>
        <v>537600</v>
      </c>
      <c r="G186" s="519">
        <f>SUM(G187:G189)</f>
        <v>757900</v>
      </c>
      <c r="H186" s="541"/>
      <c r="I186" s="542">
        <f>SUM(I187:I189)</f>
        <v>241200</v>
      </c>
    </row>
    <row r="187" spans="1:9" s="531" customFormat="1" ht="14.25" customHeight="1">
      <c r="A187" s="523"/>
      <c r="B187" s="524" t="s">
        <v>413</v>
      </c>
      <c r="C187" s="525">
        <f>SUM(D187:E187)</f>
        <v>1209700</v>
      </c>
      <c r="D187" s="526">
        <f>F187+H187</f>
        <v>210600</v>
      </c>
      <c r="E187" s="527">
        <f>G187+I187</f>
        <v>999100</v>
      </c>
      <c r="F187" s="545">
        <v>210600</v>
      </c>
      <c r="G187" s="527">
        <v>757900</v>
      </c>
      <c r="H187" s="545"/>
      <c r="I187" s="549">
        <v>241200</v>
      </c>
    </row>
    <row r="188" spans="1:9" s="531" customFormat="1" ht="12">
      <c r="A188" s="523"/>
      <c r="B188" s="524" t="s">
        <v>414</v>
      </c>
      <c r="C188" s="525"/>
      <c r="D188" s="526"/>
      <c r="E188" s="527"/>
      <c r="F188" s="545"/>
      <c r="G188" s="527"/>
      <c r="H188" s="545"/>
      <c r="I188" s="549"/>
    </row>
    <row r="189" spans="1:9" s="531" customFormat="1" ht="10.5" customHeight="1">
      <c r="A189" s="657"/>
      <c r="B189" s="574" t="s">
        <v>389</v>
      </c>
      <c r="C189" s="642">
        <f>SUM(D189:E189)</f>
        <v>327000</v>
      </c>
      <c r="D189" s="643">
        <f>F189+H189</f>
        <v>327000</v>
      </c>
      <c r="E189" s="644"/>
      <c r="F189" s="645">
        <v>327000</v>
      </c>
      <c r="G189" s="644"/>
      <c r="H189" s="645"/>
      <c r="I189" s="653"/>
    </row>
    <row r="190" spans="1:9" ht="14.25" customHeight="1">
      <c r="A190" s="571">
        <v>75020</v>
      </c>
      <c r="B190" s="695" t="s">
        <v>430</v>
      </c>
      <c r="C190" s="546">
        <f>SUM(C191)</f>
        <v>4969580</v>
      </c>
      <c r="D190" s="447">
        <f>SUM(D191)</f>
        <v>4969580</v>
      </c>
      <c r="E190" s="692"/>
      <c r="F190" s="736"/>
      <c r="G190" s="737"/>
      <c r="H190" s="548">
        <f>SUM(H191)</f>
        <v>4969580</v>
      </c>
      <c r="I190" s="449"/>
    </row>
    <row r="191" spans="1:9" ht="14.25" customHeight="1">
      <c r="A191" s="515"/>
      <c r="B191" s="516" t="s">
        <v>388</v>
      </c>
      <c r="C191" s="517">
        <f>SUM(C192:C196)</f>
        <v>4969580</v>
      </c>
      <c r="D191" s="518">
        <f>SUM(D192:D196)</f>
        <v>4969580</v>
      </c>
      <c r="E191" s="519"/>
      <c r="F191" s="541"/>
      <c r="G191" s="519"/>
      <c r="H191" s="541">
        <f>SUM(H192:H196)</f>
        <v>4969580</v>
      </c>
      <c r="I191" s="542"/>
    </row>
    <row r="192" spans="1:9" s="531" customFormat="1" ht="12">
      <c r="A192" s="523"/>
      <c r="B192" s="524" t="s">
        <v>413</v>
      </c>
      <c r="C192" s="525">
        <f>SUM(D192:E192)</f>
        <v>1315900</v>
      </c>
      <c r="D192" s="526">
        <f>F192+H192</f>
        <v>1315900</v>
      </c>
      <c r="E192" s="527"/>
      <c r="F192" s="545"/>
      <c r="G192" s="527"/>
      <c r="H192" s="545">
        <v>1315900</v>
      </c>
      <c r="I192" s="549"/>
    </row>
    <row r="193" spans="1:9" s="531" customFormat="1" ht="12">
      <c r="A193" s="523"/>
      <c r="B193" s="524" t="s">
        <v>414</v>
      </c>
      <c r="C193" s="525"/>
      <c r="D193" s="526"/>
      <c r="E193" s="527"/>
      <c r="F193" s="545"/>
      <c r="G193" s="527"/>
      <c r="H193" s="545"/>
      <c r="I193" s="549"/>
    </row>
    <row r="194" spans="1:9" s="531" customFormat="1" ht="12" hidden="1">
      <c r="A194" s="523"/>
      <c r="B194" s="544" t="s">
        <v>400</v>
      </c>
      <c r="C194" s="525">
        <f>SUM(D194:E194)</f>
        <v>0</v>
      </c>
      <c r="D194" s="526">
        <f>F194+H194</f>
        <v>0</v>
      </c>
      <c r="E194" s="527"/>
      <c r="F194" s="545"/>
      <c r="G194" s="527"/>
      <c r="H194" s="545"/>
      <c r="I194" s="549"/>
    </row>
    <row r="195" spans="1:9" s="531" customFormat="1" ht="12">
      <c r="A195" s="523"/>
      <c r="B195" s="544" t="s">
        <v>400</v>
      </c>
      <c r="C195" s="525">
        <f>SUM(D195:E195)</f>
        <v>1977180</v>
      </c>
      <c r="D195" s="526">
        <f>F195+H195</f>
        <v>1977180</v>
      </c>
      <c r="E195" s="519"/>
      <c r="F195" s="545"/>
      <c r="G195" s="527"/>
      <c r="H195" s="545">
        <v>1977180</v>
      </c>
      <c r="I195" s="549"/>
    </row>
    <row r="196" spans="1:9" s="531" customFormat="1" ht="12.75">
      <c r="A196" s="657"/>
      <c r="B196" s="574" t="s">
        <v>389</v>
      </c>
      <c r="C196" s="642">
        <f>SUM(D196:E196)</f>
        <v>1676500</v>
      </c>
      <c r="D196" s="643">
        <f>F196+H196</f>
        <v>1676500</v>
      </c>
      <c r="E196" s="692"/>
      <c r="F196" s="660"/>
      <c r="G196" s="659"/>
      <c r="H196" s="645">
        <v>1676500</v>
      </c>
      <c r="I196" s="661"/>
    </row>
    <row r="197" spans="1:9" ht="15.75" customHeight="1">
      <c r="A197" s="571">
        <v>75022</v>
      </c>
      <c r="B197" s="695" t="s">
        <v>431</v>
      </c>
      <c r="C197" s="546">
        <f>C198</f>
        <v>776000</v>
      </c>
      <c r="D197" s="447">
        <f>SUM(D198)</f>
        <v>776000</v>
      </c>
      <c r="E197" s="547"/>
      <c r="F197" s="548">
        <f>SUM(F198)</f>
        <v>776000</v>
      </c>
      <c r="G197" s="547"/>
      <c r="H197" s="548"/>
      <c r="I197" s="449"/>
    </row>
    <row r="198" spans="1:9" ht="12.75">
      <c r="A198" s="515"/>
      <c r="B198" s="540" t="s">
        <v>388</v>
      </c>
      <c r="C198" s="517">
        <f>SUM(C199)</f>
        <v>776000</v>
      </c>
      <c r="D198" s="518">
        <f>SUM(D199)</f>
        <v>776000</v>
      </c>
      <c r="E198" s="519"/>
      <c r="F198" s="520">
        <f>SUM(F199)</f>
        <v>776000</v>
      </c>
      <c r="G198" s="654"/>
      <c r="H198" s="655"/>
      <c r="I198" s="656"/>
    </row>
    <row r="199" spans="1:9" ht="12.75">
      <c r="A199" s="641"/>
      <c r="B199" s="658" t="s">
        <v>389</v>
      </c>
      <c r="C199" s="642">
        <f>SUM(D199:E199)</f>
        <v>776000</v>
      </c>
      <c r="D199" s="643">
        <f>F199+H199</f>
        <v>776000</v>
      </c>
      <c r="E199" s="644"/>
      <c r="F199" s="645">
        <v>776000</v>
      </c>
      <c r="G199" s="646"/>
      <c r="H199" s="647"/>
      <c r="I199" s="648"/>
    </row>
    <row r="200" spans="1:9" ht="15" customHeight="1">
      <c r="A200" s="571">
        <v>75023</v>
      </c>
      <c r="B200" s="738" t="s">
        <v>432</v>
      </c>
      <c r="C200" s="546">
        <f>C201+C206</f>
        <v>24370605</v>
      </c>
      <c r="D200" s="447">
        <f>D201+D206</f>
        <v>24370605</v>
      </c>
      <c r="E200" s="547"/>
      <c r="F200" s="548">
        <f>F201+F206</f>
        <v>24370605</v>
      </c>
      <c r="G200" s="547"/>
      <c r="H200" s="548"/>
      <c r="I200" s="449"/>
    </row>
    <row r="201" spans="1:9" ht="12">
      <c r="A201" s="515"/>
      <c r="B201" s="516" t="s">
        <v>388</v>
      </c>
      <c r="C201" s="517">
        <f>SUM(C202:C204)</f>
        <v>22198605</v>
      </c>
      <c r="D201" s="518">
        <f>SUM(D202:D204)</f>
        <v>22198605</v>
      </c>
      <c r="E201" s="519"/>
      <c r="F201" s="541">
        <f>SUM(F202:F204)</f>
        <v>22198605</v>
      </c>
      <c r="G201" s="519"/>
      <c r="H201" s="541"/>
      <c r="I201" s="542"/>
    </row>
    <row r="202" spans="1:9" s="531" customFormat="1" ht="12">
      <c r="A202" s="523"/>
      <c r="B202" s="524" t="s">
        <v>413</v>
      </c>
      <c r="C202" s="525">
        <f>SUM(D202:E202)</f>
        <v>17228865</v>
      </c>
      <c r="D202" s="526">
        <f>F202+H202</f>
        <v>17228865</v>
      </c>
      <c r="E202" s="527"/>
      <c r="F202" s="545">
        <v>17228865</v>
      </c>
      <c r="G202" s="527"/>
      <c r="H202" s="545"/>
      <c r="I202" s="549"/>
    </row>
    <row r="203" spans="1:9" s="531" customFormat="1" ht="12">
      <c r="A203" s="523"/>
      <c r="B203" s="524" t="s">
        <v>414</v>
      </c>
      <c r="C203" s="525"/>
      <c r="D203" s="526"/>
      <c r="E203" s="527"/>
      <c r="F203" s="545"/>
      <c r="G203" s="527"/>
      <c r="H203" s="545"/>
      <c r="I203" s="549"/>
    </row>
    <row r="204" spans="1:9" s="531" customFormat="1" ht="9.75" customHeight="1">
      <c r="A204" s="523"/>
      <c r="B204" s="524" t="s">
        <v>389</v>
      </c>
      <c r="C204" s="525">
        <f>SUM(D204:E204)</f>
        <v>4969740</v>
      </c>
      <c r="D204" s="526">
        <f>F204+H204</f>
        <v>4969740</v>
      </c>
      <c r="E204" s="527"/>
      <c r="F204" s="545">
        <v>4969740</v>
      </c>
      <c r="G204" s="527"/>
      <c r="H204" s="545"/>
      <c r="I204" s="549"/>
    </row>
    <row r="205" spans="1:9" s="531" customFormat="1" ht="11.25" customHeight="1">
      <c r="A205" s="523"/>
      <c r="B205" s="524" t="s">
        <v>416</v>
      </c>
      <c r="C205" s="525">
        <f>SUM(D205:E205)</f>
        <v>776000</v>
      </c>
      <c r="D205" s="526">
        <f>F205+H205</f>
        <v>776000</v>
      </c>
      <c r="E205" s="527"/>
      <c r="F205" s="545">
        <v>776000</v>
      </c>
      <c r="G205" s="529"/>
      <c r="H205" s="528"/>
      <c r="I205" s="530"/>
    </row>
    <row r="206" spans="1:9" ht="12" customHeight="1">
      <c r="A206" s="515"/>
      <c r="B206" s="516" t="s">
        <v>384</v>
      </c>
      <c r="C206" s="517">
        <f>SUM(C207:C208)</f>
        <v>2172000</v>
      </c>
      <c r="D206" s="518">
        <f>SUM(D207:D208)</f>
        <v>2172000</v>
      </c>
      <c r="E206" s="519"/>
      <c r="F206" s="520">
        <f>SUM(F207:F208)</f>
        <v>2172000</v>
      </c>
      <c r="G206" s="521"/>
      <c r="H206" s="520"/>
      <c r="I206" s="522"/>
    </row>
    <row r="207" spans="1:9" s="531" customFormat="1" ht="12" customHeight="1">
      <c r="A207" s="523"/>
      <c r="B207" s="524" t="s">
        <v>397</v>
      </c>
      <c r="C207" s="525">
        <f>SUM(D207:E207)</f>
        <v>835000</v>
      </c>
      <c r="D207" s="526">
        <f>F207+H207</f>
        <v>835000</v>
      </c>
      <c r="E207" s="527"/>
      <c r="F207" s="545">
        <v>835000</v>
      </c>
      <c r="G207" s="529"/>
      <c r="H207" s="528"/>
      <c r="I207" s="530"/>
    </row>
    <row r="208" spans="1:9" ht="12" customHeight="1">
      <c r="A208" s="641"/>
      <c r="B208" s="574" t="s">
        <v>385</v>
      </c>
      <c r="C208" s="642">
        <f>SUM(D208:E208)</f>
        <v>1337000</v>
      </c>
      <c r="D208" s="643">
        <f>F208+H208</f>
        <v>1337000</v>
      </c>
      <c r="E208" s="644"/>
      <c r="F208" s="645">
        <v>1337000</v>
      </c>
      <c r="G208" s="646"/>
      <c r="H208" s="647"/>
      <c r="I208" s="648"/>
    </row>
    <row r="209" spans="1:9" ht="12" customHeight="1">
      <c r="A209" s="571">
        <v>75045</v>
      </c>
      <c r="B209" s="695" t="s">
        <v>433</v>
      </c>
      <c r="C209" s="546">
        <f>C210</f>
        <v>42500</v>
      </c>
      <c r="D209" s="447">
        <f>SUM(D210)</f>
        <v>3000</v>
      </c>
      <c r="E209" s="547">
        <f>SUM(E210)</f>
        <v>39500</v>
      </c>
      <c r="F209" s="736"/>
      <c r="G209" s="737"/>
      <c r="H209" s="548">
        <f>SUM(H210)</f>
        <v>3000</v>
      </c>
      <c r="I209" s="449">
        <f>SUM(I210)</f>
        <v>39500</v>
      </c>
    </row>
    <row r="210" spans="1:9" ht="12.75" customHeight="1">
      <c r="A210" s="515"/>
      <c r="B210" s="516" t="s">
        <v>388</v>
      </c>
      <c r="C210" s="517">
        <f>C211+C214</f>
        <v>42500</v>
      </c>
      <c r="D210" s="518">
        <f>SUM(D211:D214)</f>
        <v>3000</v>
      </c>
      <c r="E210" s="519">
        <f>E211+E214</f>
        <v>39500</v>
      </c>
      <c r="F210" s="541"/>
      <c r="G210" s="519"/>
      <c r="H210" s="541">
        <f>SUM(H211:H214)</f>
        <v>3000</v>
      </c>
      <c r="I210" s="542">
        <f>I211+I214</f>
        <v>39500</v>
      </c>
    </row>
    <row r="211" spans="1:9" s="531" customFormat="1" ht="12" customHeight="1">
      <c r="A211" s="523"/>
      <c r="B211" s="524" t="s">
        <v>413</v>
      </c>
      <c r="C211" s="525">
        <f>SUM(D211:E211)</f>
        <v>24000</v>
      </c>
      <c r="D211" s="526"/>
      <c r="E211" s="527">
        <f>G211+I211</f>
        <v>24000</v>
      </c>
      <c r="F211" s="545"/>
      <c r="G211" s="527"/>
      <c r="H211" s="545"/>
      <c r="I211" s="549">
        <v>24000</v>
      </c>
    </row>
    <row r="212" spans="1:9" s="531" customFormat="1" ht="11.25" customHeight="1">
      <c r="A212" s="523"/>
      <c r="B212" s="524" t="s">
        <v>414</v>
      </c>
      <c r="C212" s="525"/>
      <c r="D212" s="526"/>
      <c r="E212" s="527"/>
      <c r="F212" s="545"/>
      <c r="G212" s="527"/>
      <c r="H212" s="545"/>
      <c r="I212" s="549"/>
    </row>
    <row r="213" spans="1:9" s="531" customFormat="1" ht="11.25" customHeight="1">
      <c r="A213" s="523"/>
      <c r="B213" s="721" t="s">
        <v>426</v>
      </c>
      <c r="C213" s="525">
        <f>SUM(D213:E213)</f>
        <v>1000</v>
      </c>
      <c r="D213" s="526"/>
      <c r="E213" s="527">
        <f>I213</f>
        <v>1000</v>
      </c>
      <c r="F213" s="545"/>
      <c r="G213" s="527"/>
      <c r="H213" s="545"/>
      <c r="I213" s="549">
        <v>1000</v>
      </c>
    </row>
    <row r="214" spans="1:9" ht="11.25" customHeight="1">
      <c r="A214" s="515"/>
      <c r="B214" s="544" t="s">
        <v>389</v>
      </c>
      <c r="C214" s="525">
        <f>SUM(D214:E214)</f>
        <v>18500</v>
      </c>
      <c r="D214" s="526">
        <f>F214+H214</f>
        <v>3000</v>
      </c>
      <c r="E214" s="527">
        <f>G214+I214</f>
        <v>15500</v>
      </c>
      <c r="F214" s="545"/>
      <c r="G214" s="519"/>
      <c r="H214" s="545">
        <v>3000</v>
      </c>
      <c r="I214" s="549">
        <v>15500</v>
      </c>
    </row>
    <row r="215" spans="1:9" s="610" customFormat="1" ht="12">
      <c r="A215" s="601"/>
      <c r="B215" s="721" t="s">
        <v>426</v>
      </c>
      <c r="C215" s="525">
        <f>SUM(D215:E215)</f>
        <v>4500</v>
      </c>
      <c r="D215" s="604"/>
      <c r="E215" s="527">
        <f>G215+I215</f>
        <v>4500</v>
      </c>
      <c r="F215" s="606"/>
      <c r="G215" s="607"/>
      <c r="H215" s="606"/>
      <c r="I215" s="722">
        <v>4500</v>
      </c>
    </row>
    <row r="216" spans="1:9" ht="24" customHeight="1">
      <c r="A216" s="571">
        <v>75075</v>
      </c>
      <c r="B216" s="695" t="s">
        <v>434</v>
      </c>
      <c r="C216" s="546">
        <f>C217</f>
        <v>1362000</v>
      </c>
      <c r="D216" s="447">
        <f>SUM(D217)</f>
        <v>1362000</v>
      </c>
      <c r="E216" s="547"/>
      <c r="F216" s="548">
        <f>SUM(F217)</f>
        <v>1362000</v>
      </c>
      <c r="G216" s="547"/>
      <c r="H216" s="548"/>
      <c r="I216" s="449"/>
    </row>
    <row r="217" spans="1:9" s="543" customFormat="1" ht="12.75">
      <c r="A217" s="515"/>
      <c r="B217" s="540" t="s">
        <v>388</v>
      </c>
      <c r="C217" s="677">
        <f>C218+C220</f>
        <v>1362000</v>
      </c>
      <c r="D217" s="678">
        <f>D218+D220</f>
        <v>1362000</v>
      </c>
      <c r="E217" s="519"/>
      <c r="F217" s="520">
        <f>F218+F220</f>
        <v>1362000</v>
      </c>
      <c r="G217" s="521"/>
      <c r="H217" s="520"/>
      <c r="I217" s="522"/>
    </row>
    <row r="218" spans="1:9" s="531" customFormat="1" ht="11.25" customHeight="1">
      <c r="A218" s="523"/>
      <c r="B218" s="524" t="s">
        <v>413</v>
      </c>
      <c r="C218" s="525">
        <f>SUM(D218:E218)</f>
        <v>2000</v>
      </c>
      <c r="D218" s="526">
        <f>F218+H218</f>
        <v>2000</v>
      </c>
      <c r="E218" s="527"/>
      <c r="F218" s="545">
        <v>2000</v>
      </c>
      <c r="G218" s="527"/>
      <c r="H218" s="545"/>
      <c r="I218" s="549"/>
    </row>
    <row r="219" spans="1:9" s="531" customFormat="1" ht="11.25" customHeight="1">
      <c r="A219" s="523"/>
      <c r="B219" s="524" t="s">
        <v>414</v>
      </c>
      <c r="C219" s="525"/>
      <c r="D219" s="526"/>
      <c r="E219" s="527"/>
      <c r="F219" s="545"/>
      <c r="G219" s="527"/>
      <c r="H219" s="545"/>
      <c r="I219" s="549"/>
    </row>
    <row r="220" spans="1:9" ht="12" customHeight="1">
      <c r="A220" s="515"/>
      <c r="B220" s="544" t="s">
        <v>389</v>
      </c>
      <c r="C220" s="525">
        <f>SUM(D220:E220)</f>
        <v>1360000</v>
      </c>
      <c r="D220" s="526">
        <f>F220+H220</f>
        <v>1360000</v>
      </c>
      <c r="E220" s="527"/>
      <c r="F220" s="545">
        <v>1360000</v>
      </c>
      <c r="G220" s="529"/>
      <c r="H220" s="528"/>
      <c r="I220" s="530"/>
    </row>
    <row r="221" spans="1:9" ht="9.75" customHeight="1" hidden="1">
      <c r="A221" s="515"/>
      <c r="B221" s="524" t="s">
        <v>416</v>
      </c>
      <c r="C221" s="642">
        <f>E221+G221</f>
        <v>0</v>
      </c>
      <c r="D221" s="643">
        <f>F221+H221</f>
        <v>0</v>
      </c>
      <c r="E221" s="739"/>
      <c r="F221" s="528"/>
      <c r="G221" s="529"/>
      <c r="H221" s="660"/>
      <c r="I221" s="530"/>
    </row>
    <row r="222" spans="1:9" ht="12" customHeight="1">
      <c r="A222" s="571">
        <v>75095</v>
      </c>
      <c r="B222" s="695" t="s">
        <v>395</v>
      </c>
      <c r="C222" s="546">
        <f>SUM(C223)</f>
        <v>2863350</v>
      </c>
      <c r="D222" s="447">
        <f>SUM(D223)</f>
        <v>2863350</v>
      </c>
      <c r="E222" s="547"/>
      <c r="F222" s="548">
        <f>SUM(F223)</f>
        <v>2863350</v>
      </c>
      <c r="G222" s="547"/>
      <c r="H222" s="548"/>
      <c r="I222" s="449"/>
    </row>
    <row r="223" spans="1:9" s="543" customFormat="1" ht="12" customHeight="1">
      <c r="A223" s="515"/>
      <c r="B223" s="540" t="s">
        <v>388</v>
      </c>
      <c r="C223" s="677">
        <f>SUM(C224:C227)</f>
        <v>2863350</v>
      </c>
      <c r="D223" s="678">
        <f>SUM(D224:D227)</f>
        <v>2863350</v>
      </c>
      <c r="E223" s="519"/>
      <c r="F223" s="520">
        <f>SUM(F224:F227)</f>
        <v>2863350</v>
      </c>
      <c r="G223" s="521"/>
      <c r="H223" s="520"/>
      <c r="I223" s="522"/>
    </row>
    <row r="224" spans="1:9" s="531" customFormat="1" ht="9.75" customHeight="1">
      <c r="A224" s="523"/>
      <c r="B224" s="524" t="s">
        <v>413</v>
      </c>
      <c r="C224" s="525">
        <f>SUM(D224:E224)</f>
        <v>56960</v>
      </c>
      <c r="D224" s="526">
        <f>F224+H224</f>
        <v>56960</v>
      </c>
      <c r="E224" s="527"/>
      <c r="F224" s="545">
        <v>56960</v>
      </c>
      <c r="G224" s="527"/>
      <c r="H224" s="545"/>
      <c r="I224" s="549"/>
    </row>
    <row r="225" spans="1:9" s="531" customFormat="1" ht="10.5" customHeight="1">
      <c r="A225" s="523"/>
      <c r="B225" s="524" t="s">
        <v>414</v>
      </c>
      <c r="C225" s="525"/>
      <c r="D225" s="526"/>
      <c r="E225" s="527"/>
      <c r="F225" s="545"/>
      <c r="G225" s="527"/>
      <c r="H225" s="545"/>
      <c r="I225" s="549"/>
    </row>
    <row r="226" spans="1:9" s="550" customFormat="1" ht="12">
      <c r="A226" s="523"/>
      <c r="B226" s="544" t="s">
        <v>400</v>
      </c>
      <c r="C226" s="525">
        <f>SUM(D226:E226)</f>
        <v>668000</v>
      </c>
      <c r="D226" s="526">
        <f>F226+H226</f>
        <v>668000</v>
      </c>
      <c r="E226" s="527"/>
      <c r="F226" s="545">
        <v>668000</v>
      </c>
      <c r="G226" s="527"/>
      <c r="H226" s="545"/>
      <c r="I226" s="549"/>
    </row>
    <row r="227" spans="1:9" s="550" customFormat="1" ht="12" customHeight="1" thickBot="1">
      <c r="A227" s="657"/>
      <c r="B227" s="658" t="s">
        <v>389</v>
      </c>
      <c r="C227" s="642">
        <f>SUM(D227:E227)</f>
        <v>2138390</v>
      </c>
      <c r="D227" s="643">
        <f>F227+H227</f>
        <v>2138390</v>
      </c>
      <c r="E227" s="644"/>
      <c r="F227" s="645">
        <v>2138390</v>
      </c>
      <c r="G227" s="644"/>
      <c r="H227" s="645"/>
      <c r="I227" s="653"/>
    </row>
    <row r="228" spans="1:9" s="550" customFormat="1" ht="1.5" customHeight="1" hidden="1">
      <c r="A228" s="523"/>
      <c r="B228" s="524" t="s">
        <v>416</v>
      </c>
      <c r="C228" s="525">
        <f>SUM(D228:E228)</f>
        <v>0</v>
      </c>
      <c r="D228" s="526">
        <f>F228+H228</f>
        <v>0</v>
      </c>
      <c r="E228" s="527"/>
      <c r="F228" s="545">
        <v>0</v>
      </c>
      <c r="G228" s="527"/>
      <c r="H228" s="545"/>
      <c r="I228" s="549"/>
    </row>
    <row r="229" spans="1:9" s="514" customFormat="1" ht="116.25" hidden="1" thickBot="1" thickTop="1">
      <c r="A229" s="508" t="s">
        <v>261</v>
      </c>
      <c r="B229" s="509" t="s">
        <v>262</v>
      </c>
      <c r="C229" s="510">
        <f>SUM(C230)</f>
        <v>0</v>
      </c>
      <c r="D229" s="511"/>
      <c r="E229" s="512">
        <f>E230</f>
        <v>0</v>
      </c>
      <c r="F229" s="513"/>
      <c r="G229" s="512">
        <f>SUM(G230)</f>
        <v>0</v>
      </c>
      <c r="H229" s="513"/>
      <c r="I229" s="457"/>
    </row>
    <row r="230" spans="1:9" s="539" customFormat="1" ht="48.75" hidden="1" thickBot="1">
      <c r="A230" s="532" t="s">
        <v>435</v>
      </c>
      <c r="B230" s="533" t="s">
        <v>436</v>
      </c>
      <c r="C230" s="546">
        <f>SUM(C231)</f>
        <v>0</v>
      </c>
      <c r="D230" s="447"/>
      <c r="E230" s="547">
        <f>E231</f>
        <v>0</v>
      </c>
      <c r="F230" s="548"/>
      <c r="G230" s="547">
        <f>SUM(G231)</f>
        <v>0</v>
      </c>
      <c r="H230" s="548"/>
      <c r="I230" s="449"/>
    </row>
    <row r="231" spans="1:9" s="543" customFormat="1" ht="12.75" customHeight="1" hidden="1">
      <c r="A231" s="704"/>
      <c r="B231" s="705" t="s">
        <v>388</v>
      </c>
      <c r="C231" s="672">
        <f>SUM(C232:C234)</f>
        <v>0</v>
      </c>
      <c r="D231" s="706"/>
      <c r="E231" s="707">
        <f>SUM(E232:E234)</f>
        <v>0</v>
      </c>
      <c r="F231" s="708"/>
      <c r="G231" s="717">
        <f>SUM(G232:G234)</f>
        <v>0</v>
      </c>
      <c r="H231" s="708"/>
      <c r="I231" s="711"/>
    </row>
    <row r="232" spans="1:9" s="543" customFormat="1" ht="13.5" hidden="1" thickBot="1">
      <c r="A232" s="515"/>
      <c r="B232" s="524" t="s">
        <v>413</v>
      </c>
      <c r="C232" s="525">
        <f>SUM(D232:E232)</f>
        <v>0</v>
      </c>
      <c r="D232" s="526"/>
      <c r="E232" s="527">
        <f>G232+I232</f>
        <v>0</v>
      </c>
      <c r="F232" s="520"/>
      <c r="G232" s="521"/>
      <c r="H232" s="520"/>
      <c r="I232" s="522"/>
    </row>
    <row r="233" spans="1:9" s="543" customFormat="1" ht="13.5" hidden="1" thickBot="1">
      <c r="A233" s="515"/>
      <c r="B233" s="524" t="s">
        <v>414</v>
      </c>
      <c r="C233" s="517"/>
      <c r="D233" s="518"/>
      <c r="E233" s="519"/>
      <c r="F233" s="520"/>
      <c r="G233" s="521"/>
      <c r="H233" s="520"/>
      <c r="I233" s="522"/>
    </row>
    <row r="234" spans="1:9" s="550" customFormat="1" ht="0.75" customHeight="1" hidden="1">
      <c r="A234" s="523"/>
      <c r="B234" s="544" t="s">
        <v>389</v>
      </c>
      <c r="C234" s="525">
        <f>SUM(D234:E234)</f>
        <v>0</v>
      </c>
      <c r="D234" s="526"/>
      <c r="E234" s="527">
        <f>G234+I234</f>
        <v>0</v>
      </c>
      <c r="F234" s="545">
        <v>0</v>
      </c>
      <c r="G234" s="527">
        <v>0</v>
      </c>
      <c r="H234" s="545"/>
      <c r="I234" s="549"/>
    </row>
    <row r="235" spans="1:9" s="550" customFormat="1" ht="86.25" customHeight="1" thickBot="1" thickTop="1">
      <c r="A235" s="740">
        <v>751</v>
      </c>
      <c r="B235" s="741" t="s">
        <v>262</v>
      </c>
      <c r="C235" s="510">
        <f>C236</f>
        <v>17577</v>
      </c>
      <c r="D235" s="511"/>
      <c r="E235" s="742">
        <f>E236</f>
        <v>17577</v>
      </c>
      <c r="F235" s="511"/>
      <c r="G235" s="512">
        <f>G236</f>
        <v>17577</v>
      </c>
      <c r="H235" s="513"/>
      <c r="I235" s="457"/>
    </row>
    <row r="236" spans="1:9" s="550" customFormat="1" ht="48.75" customHeight="1" thickTop="1">
      <c r="A236" s="620">
        <v>75101</v>
      </c>
      <c r="B236" s="621" t="s">
        <v>437</v>
      </c>
      <c r="C236" s="690">
        <f>C237</f>
        <v>17577</v>
      </c>
      <c r="D236" s="691"/>
      <c r="E236" s="691">
        <f>SUM(E237)</f>
        <v>17577</v>
      </c>
      <c r="F236" s="693"/>
      <c r="G236" s="692">
        <f>SUM(G237)</f>
        <v>17577</v>
      </c>
      <c r="H236" s="691"/>
      <c r="I236" s="694"/>
    </row>
    <row r="237" spans="1:9" s="550" customFormat="1" ht="9.75" customHeight="1">
      <c r="A237" s="743"/>
      <c r="B237" s="705" t="s">
        <v>427</v>
      </c>
      <c r="C237" s="672">
        <f>SUM(C240+C238)</f>
        <v>17577</v>
      </c>
      <c r="D237" s="706"/>
      <c r="E237" s="744">
        <f>SUM(E240)+E238</f>
        <v>17577</v>
      </c>
      <c r="F237" s="708"/>
      <c r="G237" s="744">
        <f>SUM(G240)+G238</f>
        <v>17577</v>
      </c>
      <c r="H237" s="710"/>
      <c r="I237" s="745"/>
    </row>
    <row r="238" spans="1:9" s="531" customFormat="1" ht="12" customHeight="1">
      <c r="A238" s="523"/>
      <c r="B238" s="524" t="s">
        <v>413</v>
      </c>
      <c r="C238" s="525">
        <f>SUM(D238:E238)</f>
        <v>16157</v>
      </c>
      <c r="D238" s="526"/>
      <c r="E238" s="527">
        <f>G238+I238</f>
        <v>16157</v>
      </c>
      <c r="F238" s="545"/>
      <c r="G238" s="527">
        <v>16157</v>
      </c>
      <c r="H238" s="545"/>
      <c r="I238" s="549"/>
    </row>
    <row r="239" spans="1:9" s="531" customFormat="1" ht="11.25" customHeight="1">
      <c r="A239" s="523"/>
      <c r="B239" s="524" t="s">
        <v>414</v>
      </c>
      <c r="C239" s="525"/>
      <c r="D239" s="526"/>
      <c r="E239" s="527"/>
      <c r="F239" s="545"/>
      <c r="G239" s="527"/>
      <c r="H239" s="545"/>
      <c r="I239" s="549"/>
    </row>
    <row r="240" spans="1:9" s="550" customFormat="1" ht="12" customHeight="1">
      <c r="A240" s="657"/>
      <c r="B240" s="658" t="s">
        <v>389</v>
      </c>
      <c r="C240" s="642">
        <f>SUM(D240:E240)</f>
        <v>1420</v>
      </c>
      <c r="D240" s="643"/>
      <c r="E240" s="746">
        <f>G240+I240</f>
        <v>1420</v>
      </c>
      <c r="F240" s="645"/>
      <c r="G240" s="746">
        <v>1420</v>
      </c>
      <c r="H240" s="645"/>
      <c r="I240" s="653"/>
    </row>
    <row r="241" spans="1:9" s="550" customFormat="1" ht="24" customHeight="1" hidden="1">
      <c r="A241" s="747">
        <v>752</v>
      </c>
      <c r="B241" s="748" t="s">
        <v>438</v>
      </c>
      <c r="C241" s="749">
        <f>C242</f>
        <v>0</v>
      </c>
      <c r="D241" s="750"/>
      <c r="E241" s="751">
        <f>E242</f>
        <v>0</v>
      </c>
      <c r="F241" s="750"/>
      <c r="G241" s="751"/>
      <c r="H241" s="752"/>
      <c r="I241" s="753">
        <f>I242</f>
        <v>0</v>
      </c>
    </row>
    <row r="242" spans="1:9" s="550" customFormat="1" ht="26.25" customHeight="1" hidden="1">
      <c r="A242" s="620">
        <v>75212</v>
      </c>
      <c r="B242" s="621" t="s">
        <v>439</v>
      </c>
      <c r="C242" s="690">
        <f>D242+E242</f>
        <v>0</v>
      </c>
      <c r="D242" s="691"/>
      <c r="E242" s="754">
        <f>I242+G242</f>
        <v>0</v>
      </c>
      <c r="F242" s="693"/>
      <c r="G242" s="692"/>
      <c r="H242" s="693"/>
      <c r="I242" s="694">
        <f>I243</f>
        <v>0</v>
      </c>
    </row>
    <row r="243" spans="1:9" s="550" customFormat="1" ht="15" customHeight="1" hidden="1">
      <c r="A243" s="523"/>
      <c r="B243" s="540" t="s">
        <v>427</v>
      </c>
      <c r="C243" s="672">
        <f>D243+E243</f>
        <v>0</v>
      </c>
      <c r="D243" s="755"/>
      <c r="E243" s="707">
        <f>I243+G243</f>
        <v>0</v>
      </c>
      <c r="F243" s="545"/>
      <c r="G243" s="527"/>
      <c r="H243" s="545"/>
      <c r="I243" s="542">
        <f>SUM(I244)</f>
        <v>0</v>
      </c>
    </row>
    <row r="244" spans="1:9" s="550" customFormat="1" ht="15" customHeight="1" hidden="1">
      <c r="A244" s="523"/>
      <c r="B244" s="544" t="s">
        <v>389</v>
      </c>
      <c r="C244" s="525">
        <f>D244+E244</f>
        <v>0</v>
      </c>
      <c r="D244" s="526"/>
      <c r="E244" s="739">
        <f>I244+G244</f>
        <v>0</v>
      </c>
      <c r="F244" s="545"/>
      <c r="G244" s="527"/>
      <c r="H244" s="545"/>
      <c r="I244" s="549"/>
    </row>
    <row r="245" spans="1:9" s="764" customFormat="1" ht="49.5" customHeight="1" thickBot="1">
      <c r="A245" s="756">
        <v>754</v>
      </c>
      <c r="B245" s="757" t="s">
        <v>264</v>
      </c>
      <c r="C245" s="758">
        <f>C256+C265+C276+C279+C292+C288</f>
        <v>7599500</v>
      </c>
      <c r="D245" s="759">
        <f>D256+D265+D276+D279+D292+D288</f>
        <v>219500</v>
      </c>
      <c r="E245" s="760">
        <f>E256+E265+E276+E279+E288</f>
        <v>7380000</v>
      </c>
      <c r="F245" s="761">
        <f>F256+F265+F276+F279+F292+F288</f>
        <v>179500</v>
      </c>
      <c r="G245" s="760">
        <f>G256+G265+G276+G279</f>
        <v>10000</v>
      </c>
      <c r="H245" s="762">
        <f>H256+H265+H276+H279</f>
        <v>40000</v>
      </c>
      <c r="I245" s="763">
        <f>I256+I265+I276+I279</f>
        <v>7370000</v>
      </c>
    </row>
    <row r="246" spans="1:9" s="514" customFormat="1" ht="15" customHeight="1" thickTop="1">
      <c r="A246" s="576"/>
      <c r="B246" s="595" t="s">
        <v>388</v>
      </c>
      <c r="C246" s="578">
        <f>D246+E246</f>
        <v>7449500</v>
      </c>
      <c r="D246" s="727">
        <f>F246+H246</f>
        <v>119500</v>
      </c>
      <c r="E246" s="579">
        <f>G246+I246</f>
        <v>7330000</v>
      </c>
      <c r="F246" s="581">
        <f>F266+F277+F280+F293+F289</f>
        <v>79500</v>
      </c>
      <c r="G246" s="580">
        <f>G266+G277+G280</f>
        <v>10000</v>
      </c>
      <c r="H246" s="583">
        <f>H266+H257</f>
        <v>40000</v>
      </c>
      <c r="I246" s="584">
        <f>I266+I277+I280</f>
        <v>7320000</v>
      </c>
    </row>
    <row r="247" spans="1:9" s="676" customFormat="1" ht="11.25" customHeight="1">
      <c r="A247" s="673"/>
      <c r="B247" s="524" t="s">
        <v>413</v>
      </c>
      <c r="C247" s="586">
        <f>D247+E247</f>
        <v>6007060</v>
      </c>
      <c r="D247" s="587"/>
      <c r="E247" s="587">
        <f>G247+I247</f>
        <v>6007060</v>
      </c>
      <c r="F247" s="588"/>
      <c r="G247" s="529"/>
      <c r="H247" s="528"/>
      <c r="I247" s="530">
        <f>I267</f>
        <v>6007060</v>
      </c>
    </row>
    <row r="248" spans="1:9" s="676" customFormat="1" ht="12" customHeight="1">
      <c r="A248" s="673"/>
      <c r="B248" s="524" t="s">
        <v>414</v>
      </c>
      <c r="C248" s="586"/>
      <c r="D248" s="587"/>
      <c r="E248" s="587"/>
      <c r="F248" s="588"/>
      <c r="G248" s="529"/>
      <c r="H248" s="528"/>
      <c r="I248" s="530"/>
    </row>
    <row r="249" spans="1:9" s="676" customFormat="1" ht="13.5" customHeight="1">
      <c r="A249" s="673"/>
      <c r="B249" s="544" t="s">
        <v>400</v>
      </c>
      <c r="C249" s="586">
        <f>D249+E249</f>
        <v>22000</v>
      </c>
      <c r="D249" s="587">
        <f aca="true" t="shared" si="7" ref="D249:D254">F249+H249</f>
        <v>22000</v>
      </c>
      <c r="E249" s="587"/>
      <c r="F249" s="588">
        <f>F278</f>
        <v>22000</v>
      </c>
      <c r="G249" s="529"/>
      <c r="H249" s="528"/>
      <c r="I249" s="530"/>
    </row>
    <row r="250" spans="1:9" s="676" customFormat="1" ht="13.5" customHeight="1">
      <c r="A250" s="673"/>
      <c r="B250" s="524" t="s">
        <v>389</v>
      </c>
      <c r="C250" s="586">
        <f>D250+E250</f>
        <v>1420440</v>
      </c>
      <c r="D250" s="587">
        <f t="shared" si="7"/>
        <v>97500</v>
      </c>
      <c r="E250" s="587">
        <f>G250+I250</f>
        <v>1322940</v>
      </c>
      <c r="F250" s="588">
        <f>F270+F283+F294+F290</f>
        <v>57500</v>
      </c>
      <c r="G250" s="529">
        <f>G270+G283</f>
        <v>10000</v>
      </c>
      <c r="H250" s="528">
        <f>H270+H260</f>
        <v>40000</v>
      </c>
      <c r="I250" s="530">
        <f>I270+I283</f>
        <v>1312940</v>
      </c>
    </row>
    <row r="251" spans="1:9" s="539" customFormat="1" ht="12.75" customHeight="1">
      <c r="A251" s="591"/>
      <c r="B251" s="524" t="s">
        <v>416</v>
      </c>
      <c r="C251" s="517">
        <f>D251+E251</f>
        <v>44200</v>
      </c>
      <c r="D251" s="587">
        <f t="shared" si="7"/>
        <v>4200</v>
      </c>
      <c r="E251" s="518">
        <f>G251+I251</f>
        <v>40000</v>
      </c>
      <c r="F251" s="594">
        <f>F291</f>
        <v>4200</v>
      </c>
      <c r="G251" s="732"/>
      <c r="H251" s="541"/>
      <c r="I251" s="542">
        <f>I271</f>
        <v>40000</v>
      </c>
    </row>
    <row r="252" spans="1:9" s="514" customFormat="1" ht="17.25" customHeight="1">
      <c r="A252" s="576"/>
      <c r="B252" s="595" t="s">
        <v>384</v>
      </c>
      <c r="C252" s="578">
        <f>D252+E252</f>
        <v>150000</v>
      </c>
      <c r="D252" s="579">
        <f t="shared" si="7"/>
        <v>100000</v>
      </c>
      <c r="E252" s="579">
        <f>G252+I252</f>
        <v>50000</v>
      </c>
      <c r="F252" s="596">
        <f>F262+F272+F295+F285</f>
        <v>100000</v>
      </c>
      <c r="G252" s="580"/>
      <c r="H252" s="596"/>
      <c r="I252" s="597">
        <f>I262+I272</f>
        <v>50000</v>
      </c>
    </row>
    <row r="253" spans="1:9" s="676" customFormat="1" ht="13.5" customHeight="1">
      <c r="A253" s="673"/>
      <c r="B253" s="524" t="s">
        <v>397</v>
      </c>
      <c r="C253" s="525">
        <f>D253+E253</f>
        <v>150000</v>
      </c>
      <c r="D253" s="526">
        <f t="shared" si="7"/>
        <v>100000</v>
      </c>
      <c r="E253" s="526">
        <f>G253+I253</f>
        <v>50000</v>
      </c>
      <c r="F253" s="545">
        <f>F263+F273+F296</f>
        <v>100000</v>
      </c>
      <c r="G253" s="527"/>
      <c r="H253" s="545"/>
      <c r="I253" s="549">
        <f>I263+I273</f>
        <v>50000</v>
      </c>
    </row>
    <row r="254" spans="1:9" ht="11.25" customHeight="1" hidden="1">
      <c r="A254" s="515"/>
      <c r="B254" s="524" t="s">
        <v>385</v>
      </c>
      <c r="C254" s="525">
        <f>SUM(D254:E254)</f>
        <v>0</v>
      </c>
      <c r="D254" s="526">
        <f t="shared" si="7"/>
        <v>0</v>
      </c>
      <c r="E254" s="527"/>
      <c r="F254" s="545">
        <f>F287</f>
        <v>0</v>
      </c>
      <c r="G254" s="521"/>
      <c r="H254" s="545">
        <f>H274+H264</f>
        <v>0</v>
      </c>
      <c r="I254" s="522"/>
    </row>
    <row r="255" spans="1:9" ht="11.25" customHeight="1" hidden="1">
      <c r="A255" s="713"/>
      <c r="B255" s="765" t="s">
        <v>401</v>
      </c>
      <c r="C255" s="613">
        <f>C275</f>
        <v>0</v>
      </c>
      <c r="D255" s="614">
        <f>D275</f>
        <v>0</v>
      </c>
      <c r="E255" s="617"/>
      <c r="F255" s="618"/>
      <c r="G255" s="766"/>
      <c r="H255" s="618">
        <f>H275</f>
        <v>0</v>
      </c>
      <c r="I255" s="767"/>
    </row>
    <row r="256" spans="1:9" s="539" customFormat="1" ht="24" customHeight="1" hidden="1">
      <c r="A256" s="620">
        <v>75405</v>
      </c>
      <c r="B256" s="689" t="s">
        <v>440</v>
      </c>
      <c r="C256" s="690">
        <f>C257+C262</f>
        <v>0</v>
      </c>
      <c r="D256" s="691">
        <f>D257+D262</f>
        <v>0</v>
      </c>
      <c r="E256" s="692"/>
      <c r="F256" s="693"/>
      <c r="G256" s="692"/>
      <c r="H256" s="693">
        <f>H257+H262</f>
        <v>0</v>
      </c>
      <c r="I256" s="694"/>
    </row>
    <row r="257" spans="1:9" s="539" customFormat="1" ht="11.25" customHeight="1" hidden="1">
      <c r="A257" s="515"/>
      <c r="B257" s="516" t="s">
        <v>388</v>
      </c>
      <c r="C257" s="517">
        <f>SUM(C258:C260)</f>
        <v>0</v>
      </c>
      <c r="D257" s="518">
        <f>F257+H257</f>
        <v>0</v>
      </c>
      <c r="E257" s="519">
        <f>SUM(E258:E260)</f>
        <v>0</v>
      </c>
      <c r="F257" s="768"/>
      <c r="G257" s="593"/>
      <c r="H257" s="541">
        <f>SUM(H258:H260)</f>
        <v>0</v>
      </c>
      <c r="I257" s="542">
        <f>SUM(I258:I260)</f>
        <v>0</v>
      </c>
    </row>
    <row r="258" spans="1:9" s="531" customFormat="1" ht="12.75" customHeight="1" hidden="1">
      <c r="A258" s="523"/>
      <c r="B258" s="524" t="s">
        <v>413</v>
      </c>
      <c r="C258" s="525">
        <f>SUM(D258:E258)</f>
        <v>0</v>
      </c>
      <c r="D258" s="526">
        <f>F258+H258</f>
        <v>0</v>
      </c>
      <c r="E258" s="527">
        <f>G258+I258</f>
        <v>0</v>
      </c>
      <c r="F258" s="545"/>
      <c r="G258" s="527"/>
      <c r="H258" s="545"/>
      <c r="I258" s="549"/>
    </row>
    <row r="259" spans="1:9" s="531" customFormat="1" ht="13.5" customHeight="1" hidden="1">
      <c r="A259" s="523"/>
      <c r="B259" s="524" t="s">
        <v>414</v>
      </c>
      <c r="C259" s="525"/>
      <c r="D259" s="526"/>
      <c r="E259" s="527"/>
      <c r="F259" s="545"/>
      <c r="G259" s="527"/>
      <c r="H259" s="545"/>
      <c r="I259" s="549"/>
    </row>
    <row r="260" spans="1:9" s="531" customFormat="1" ht="15" customHeight="1" hidden="1">
      <c r="A260" s="523"/>
      <c r="B260" s="524" t="s">
        <v>389</v>
      </c>
      <c r="C260" s="525">
        <f>SUM(D260:E260)</f>
        <v>0</v>
      </c>
      <c r="D260" s="526">
        <f>F260+H260</f>
        <v>0</v>
      </c>
      <c r="E260" s="527">
        <f>G260+I260</f>
        <v>0</v>
      </c>
      <c r="F260" s="545"/>
      <c r="G260" s="527"/>
      <c r="H260" s="545"/>
      <c r="I260" s="549"/>
    </row>
    <row r="261" spans="1:9" s="531" customFormat="1" ht="13.5" customHeight="1" hidden="1">
      <c r="A261" s="657"/>
      <c r="B261" s="574" t="s">
        <v>416</v>
      </c>
      <c r="C261" s="642">
        <f>SUM(D261:E261)</f>
        <v>0</v>
      </c>
      <c r="D261" s="643">
        <f>F261+H261</f>
        <v>0</v>
      </c>
      <c r="E261" s="644"/>
      <c r="F261" s="645"/>
      <c r="G261" s="644"/>
      <c r="H261" s="645"/>
      <c r="I261" s="653"/>
    </row>
    <row r="262" spans="1:9" ht="13.5" customHeight="1" hidden="1">
      <c r="A262" s="704"/>
      <c r="B262" s="769" t="s">
        <v>384</v>
      </c>
      <c r="C262" s="672">
        <f>SUM(C263:C264)</f>
        <v>0</v>
      </c>
      <c r="D262" s="706">
        <f>F262+H262</f>
        <v>0</v>
      </c>
      <c r="E262" s="707"/>
      <c r="F262" s="770"/>
      <c r="G262" s="707"/>
      <c r="H262" s="770">
        <f>SUM(H263:H264)</f>
        <v>0</v>
      </c>
      <c r="I262" s="423"/>
    </row>
    <row r="263" spans="1:9" ht="12" customHeight="1" hidden="1">
      <c r="A263" s="515"/>
      <c r="B263" s="524" t="s">
        <v>397</v>
      </c>
      <c r="C263" s="525">
        <f>SUM(D263:E263)</f>
        <v>0</v>
      </c>
      <c r="D263" s="526">
        <f>F263+H263</f>
        <v>0</v>
      </c>
      <c r="E263" s="527"/>
      <c r="F263" s="545"/>
      <c r="G263" s="519"/>
      <c r="H263" s="545">
        <v>0</v>
      </c>
      <c r="I263" s="549"/>
    </row>
    <row r="264" spans="1:9" ht="13.5" customHeight="1" hidden="1">
      <c r="A264" s="641"/>
      <c r="B264" s="524" t="s">
        <v>385</v>
      </c>
      <c r="C264" s="525">
        <f>SUM(D264:E264)</f>
        <v>0</v>
      </c>
      <c r="D264" s="526">
        <f>F264+H264</f>
        <v>0</v>
      </c>
      <c r="E264" s="644"/>
      <c r="F264" s="643"/>
      <c r="G264" s="714"/>
      <c r="H264" s="645"/>
      <c r="I264" s="653"/>
    </row>
    <row r="265" spans="1:9" s="539" customFormat="1" ht="36" customHeight="1">
      <c r="A265" s="571">
        <v>75411</v>
      </c>
      <c r="B265" s="695" t="s">
        <v>441</v>
      </c>
      <c r="C265" s="546">
        <f>C266+C272</f>
        <v>7410000</v>
      </c>
      <c r="D265" s="447">
        <f>D266+D272</f>
        <v>40000</v>
      </c>
      <c r="E265" s="547">
        <f>SUM(E266+E272)</f>
        <v>7370000</v>
      </c>
      <c r="F265" s="447"/>
      <c r="G265" s="547"/>
      <c r="H265" s="548">
        <f>H266+H272</f>
        <v>40000</v>
      </c>
      <c r="I265" s="449">
        <f>SUM(I266+I272)</f>
        <v>7370000</v>
      </c>
    </row>
    <row r="266" spans="1:9" s="539" customFormat="1" ht="15" customHeight="1">
      <c r="A266" s="515"/>
      <c r="B266" s="516" t="s">
        <v>388</v>
      </c>
      <c r="C266" s="517">
        <f>SUM(C267:C270)</f>
        <v>7360000</v>
      </c>
      <c r="D266" s="518">
        <f>F266+H266</f>
        <v>40000</v>
      </c>
      <c r="E266" s="519">
        <f>SUM(E267:E270)</f>
        <v>7320000</v>
      </c>
      <c r="F266" s="768"/>
      <c r="G266" s="593"/>
      <c r="H266" s="541">
        <f>H267+H270</f>
        <v>40000</v>
      </c>
      <c r="I266" s="542">
        <f>SUM(I267:I270)</f>
        <v>7320000</v>
      </c>
    </row>
    <row r="267" spans="1:9" s="531" customFormat="1" ht="12" customHeight="1">
      <c r="A267" s="523"/>
      <c r="B267" s="524" t="s">
        <v>413</v>
      </c>
      <c r="C267" s="525">
        <f>SUM(D267:E267)</f>
        <v>6007060</v>
      </c>
      <c r="D267" s="526"/>
      <c r="E267" s="527">
        <f>G267+I267</f>
        <v>6007060</v>
      </c>
      <c r="F267" s="545"/>
      <c r="G267" s="527"/>
      <c r="H267" s="528"/>
      <c r="I267" s="549">
        <v>6007060</v>
      </c>
    </row>
    <row r="268" spans="1:9" s="531" customFormat="1" ht="12" customHeight="1">
      <c r="A268" s="523"/>
      <c r="B268" s="524" t="s">
        <v>414</v>
      </c>
      <c r="C268" s="525"/>
      <c r="D268" s="526"/>
      <c r="E268" s="527"/>
      <c r="F268" s="545"/>
      <c r="G268" s="527"/>
      <c r="H268" s="528"/>
      <c r="I268" s="549"/>
    </row>
    <row r="269" spans="1:9" s="531" customFormat="1" ht="10.5" customHeight="1" hidden="1">
      <c r="A269" s="523"/>
      <c r="B269" s="544" t="s">
        <v>400</v>
      </c>
      <c r="C269" s="525"/>
      <c r="D269" s="526"/>
      <c r="E269" s="527"/>
      <c r="F269" s="545"/>
      <c r="G269" s="527"/>
      <c r="H269" s="528"/>
      <c r="I269" s="549"/>
    </row>
    <row r="270" spans="1:9" s="531" customFormat="1" ht="11.25" customHeight="1">
      <c r="A270" s="523"/>
      <c r="B270" s="524" t="s">
        <v>389</v>
      </c>
      <c r="C270" s="525">
        <f>D270+E270</f>
        <v>1352940</v>
      </c>
      <c r="D270" s="526">
        <f>F270+H270</f>
        <v>40000</v>
      </c>
      <c r="E270" s="527">
        <f>G270+I270</f>
        <v>1312940</v>
      </c>
      <c r="F270" s="545"/>
      <c r="G270" s="527"/>
      <c r="H270" s="545">
        <v>40000</v>
      </c>
      <c r="I270" s="549">
        <v>1312940</v>
      </c>
    </row>
    <row r="271" spans="1:9" s="531" customFormat="1" ht="15" customHeight="1">
      <c r="A271" s="523"/>
      <c r="B271" s="524" t="s">
        <v>416</v>
      </c>
      <c r="C271" s="525">
        <f>SUM(D271:E271)</f>
        <v>40000</v>
      </c>
      <c r="D271" s="526"/>
      <c r="E271" s="527">
        <f>G271+I271</f>
        <v>40000</v>
      </c>
      <c r="F271" s="545"/>
      <c r="G271" s="527"/>
      <c r="H271" s="545"/>
      <c r="I271" s="549">
        <v>40000</v>
      </c>
    </row>
    <row r="272" spans="1:9" ht="13.5" customHeight="1">
      <c r="A272" s="515"/>
      <c r="B272" s="516" t="s">
        <v>384</v>
      </c>
      <c r="C272" s="517">
        <f>SUM(C273:C274)</f>
        <v>50000</v>
      </c>
      <c r="D272" s="518"/>
      <c r="E272" s="519">
        <f>E273</f>
        <v>50000</v>
      </c>
      <c r="F272" s="518"/>
      <c r="G272" s="519"/>
      <c r="H272" s="541"/>
      <c r="I272" s="542">
        <f>SUM(I273:I274)</f>
        <v>50000</v>
      </c>
    </row>
    <row r="273" spans="1:9" ht="12" customHeight="1">
      <c r="A273" s="515"/>
      <c r="B273" s="524" t="s">
        <v>397</v>
      </c>
      <c r="C273" s="525">
        <f>SUM(D273:E273)</f>
        <v>50000</v>
      </c>
      <c r="D273" s="526"/>
      <c r="E273" s="527">
        <f>G273+I273</f>
        <v>50000</v>
      </c>
      <c r="F273" s="526"/>
      <c r="G273" s="519"/>
      <c r="H273" s="545"/>
      <c r="I273" s="549">
        <v>50000</v>
      </c>
    </row>
    <row r="274" spans="1:9" ht="12" customHeight="1" hidden="1">
      <c r="A274" s="515"/>
      <c r="B274" s="524" t="s">
        <v>385</v>
      </c>
      <c r="C274" s="525">
        <f>SUM(D274:E274)</f>
        <v>0</v>
      </c>
      <c r="D274" s="526"/>
      <c r="E274" s="527"/>
      <c r="F274" s="545"/>
      <c r="G274" s="521"/>
      <c r="H274" s="545"/>
      <c r="I274" s="522"/>
    </row>
    <row r="275" spans="1:9" ht="12" customHeight="1" hidden="1">
      <c r="A275" s="641"/>
      <c r="B275" s="771" t="s">
        <v>401</v>
      </c>
      <c r="C275" s="772">
        <f>SUM(D275:E275)</f>
        <v>0</v>
      </c>
      <c r="D275" s="773"/>
      <c r="E275" s="774"/>
      <c r="F275" s="775"/>
      <c r="G275" s="776"/>
      <c r="H275" s="775"/>
      <c r="I275" s="648"/>
    </row>
    <row r="276" spans="1:9" ht="16.5" customHeight="1">
      <c r="A276" s="571">
        <v>75412</v>
      </c>
      <c r="B276" s="695" t="s">
        <v>442</v>
      </c>
      <c r="C276" s="546">
        <f>SUM(C278)</f>
        <v>22000</v>
      </c>
      <c r="D276" s="447">
        <f>SUM(D278)</f>
        <v>22000</v>
      </c>
      <c r="E276" s="547"/>
      <c r="F276" s="548">
        <f>SUM(F278)</f>
        <v>22000</v>
      </c>
      <c r="G276" s="547"/>
      <c r="H276" s="548"/>
      <c r="I276" s="449"/>
    </row>
    <row r="277" spans="1:9" ht="12.75">
      <c r="A277" s="515"/>
      <c r="B277" s="540" t="s">
        <v>388</v>
      </c>
      <c r="C277" s="517">
        <f>SUM(C278)</f>
        <v>22000</v>
      </c>
      <c r="D277" s="518">
        <f>SUM(D278)</f>
        <v>22000</v>
      </c>
      <c r="E277" s="519"/>
      <c r="F277" s="520">
        <f>SUM(F278)</f>
        <v>22000</v>
      </c>
      <c r="G277" s="654"/>
      <c r="H277" s="655"/>
      <c r="I277" s="656"/>
    </row>
    <row r="278" spans="1:9" ht="11.25" customHeight="1">
      <c r="A278" s="515"/>
      <c r="B278" s="544" t="s">
        <v>400</v>
      </c>
      <c r="C278" s="525">
        <f>SUM(D278:E278)</f>
        <v>22000</v>
      </c>
      <c r="D278" s="526">
        <f>F278+H278</f>
        <v>22000</v>
      </c>
      <c r="E278" s="527"/>
      <c r="F278" s="545">
        <v>22000</v>
      </c>
      <c r="G278" s="521"/>
      <c r="H278" s="520"/>
      <c r="I278" s="522"/>
    </row>
    <row r="279" spans="1:9" ht="15.75" customHeight="1">
      <c r="A279" s="571">
        <v>75414</v>
      </c>
      <c r="B279" s="695" t="s">
        <v>443</v>
      </c>
      <c r="C279" s="546">
        <f>SUM(C280+C285)</f>
        <v>52500</v>
      </c>
      <c r="D279" s="716">
        <f>SUM(D280+D285)</f>
        <v>42500</v>
      </c>
      <c r="E279" s="547">
        <f>SUM(E280+E285)</f>
        <v>10000</v>
      </c>
      <c r="F279" s="777">
        <f>F280+F285</f>
        <v>42500</v>
      </c>
      <c r="G279" s="547">
        <f>G280+G285</f>
        <v>10000</v>
      </c>
      <c r="H279" s="548"/>
      <c r="I279" s="449"/>
    </row>
    <row r="280" spans="1:9" ht="12.75">
      <c r="A280" s="704"/>
      <c r="B280" s="705" t="s">
        <v>427</v>
      </c>
      <c r="C280" s="778">
        <f>SUM(C281:C283)</f>
        <v>52500</v>
      </c>
      <c r="D280" s="779">
        <f>F280+H280</f>
        <v>42500</v>
      </c>
      <c r="E280" s="707">
        <f>G280+I280</f>
        <v>10000</v>
      </c>
      <c r="F280" s="780">
        <f>SUM(F281:F283)</f>
        <v>42500</v>
      </c>
      <c r="G280" s="709">
        <f>SUM(G281:G283)</f>
        <v>10000</v>
      </c>
      <c r="H280" s="710"/>
      <c r="I280" s="745"/>
    </row>
    <row r="281" spans="1:9" s="531" customFormat="1" ht="12.75" hidden="1">
      <c r="A281" s="523" t="s">
        <v>444</v>
      </c>
      <c r="B281" s="524" t="s">
        <v>413</v>
      </c>
      <c r="C281" s="525">
        <f>D281+E281</f>
        <v>0</v>
      </c>
      <c r="D281" s="572">
        <f>F281+H281</f>
        <v>0</v>
      </c>
      <c r="E281" s="527">
        <f>G281+I281</f>
        <v>0</v>
      </c>
      <c r="F281" s="588"/>
      <c r="G281" s="529"/>
      <c r="H281" s="528"/>
      <c r="I281" s="530"/>
    </row>
    <row r="282" spans="1:9" s="531" customFormat="1" ht="12.75" hidden="1">
      <c r="A282" s="523"/>
      <c r="B282" s="524" t="s">
        <v>414</v>
      </c>
      <c r="C282" s="525"/>
      <c r="D282" s="572"/>
      <c r="E282" s="527"/>
      <c r="F282" s="588"/>
      <c r="G282" s="529"/>
      <c r="H282" s="528"/>
      <c r="I282" s="530"/>
    </row>
    <row r="283" spans="1:9" s="531" customFormat="1" ht="15" customHeight="1">
      <c r="A283" s="523"/>
      <c r="B283" s="524" t="s">
        <v>389</v>
      </c>
      <c r="C283" s="525">
        <f>D283+E283</f>
        <v>52500</v>
      </c>
      <c r="D283" s="572">
        <f>F283+H283</f>
        <v>42500</v>
      </c>
      <c r="E283" s="527">
        <f>G283+I283</f>
        <v>10000</v>
      </c>
      <c r="F283" s="573">
        <v>42500</v>
      </c>
      <c r="G283" s="527">
        <v>10000</v>
      </c>
      <c r="H283" s="528"/>
      <c r="I283" s="549"/>
    </row>
    <row r="284" spans="1:9" s="531" customFormat="1" ht="9.75" customHeight="1" hidden="1">
      <c r="A284" s="523"/>
      <c r="B284" s="544" t="s">
        <v>396</v>
      </c>
      <c r="C284" s="525">
        <f aca="true" t="shared" si="8" ref="C284:C291">D284+E284</f>
        <v>0</v>
      </c>
      <c r="D284" s="572">
        <f aca="true" t="shared" si="9" ref="D284:D291">F284+H284</f>
        <v>0</v>
      </c>
      <c r="E284" s="527">
        <f aca="true" t="shared" si="10" ref="E284:E291">G284+I284</f>
        <v>0</v>
      </c>
      <c r="F284" s="545"/>
      <c r="G284" s="527"/>
      <c r="H284" s="545"/>
      <c r="I284" s="549"/>
    </row>
    <row r="285" spans="1:9" ht="13.5" customHeight="1" hidden="1">
      <c r="A285" s="515"/>
      <c r="B285" s="516" t="s">
        <v>384</v>
      </c>
      <c r="C285" s="525">
        <f t="shared" si="8"/>
        <v>0</v>
      </c>
      <c r="D285" s="572">
        <f t="shared" si="9"/>
        <v>0</v>
      </c>
      <c r="E285" s="527">
        <f t="shared" si="10"/>
        <v>0</v>
      </c>
      <c r="F285" s="520">
        <f>F286+F287</f>
        <v>0</v>
      </c>
      <c r="G285" s="521"/>
      <c r="H285" s="652"/>
      <c r="I285" s="522">
        <f>SUM(I286:I287)</f>
        <v>0</v>
      </c>
    </row>
    <row r="286" spans="1:9" s="531" customFormat="1" ht="11.25" customHeight="1" hidden="1">
      <c r="A286" s="523"/>
      <c r="B286" s="524" t="s">
        <v>397</v>
      </c>
      <c r="C286" s="525">
        <f t="shared" si="8"/>
        <v>0</v>
      </c>
      <c r="D286" s="572">
        <f t="shared" si="9"/>
        <v>0</v>
      </c>
      <c r="E286" s="527">
        <f t="shared" si="10"/>
        <v>0</v>
      </c>
      <c r="F286" s="545"/>
      <c r="G286" s="527"/>
      <c r="H286" s="545"/>
      <c r="I286" s="549"/>
    </row>
    <row r="287" spans="1:9" ht="14.25" customHeight="1" hidden="1">
      <c r="A287" s="641"/>
      <c r="B287" s="574" t="s">
        <v>385</v>
      </c>
      <c r="C287" s="525">
        <f t="shared" si="8"/>
        <v>0</v>
      </c>
      <c r="D287" s="572">
        <f t="shared" si="9"/>
        <v>0</v>
      </c>
      <c r="E287" s="527">
        <f t="shared" si="10"/>
        <v>0</v>
      </c>
      <c r="F287" s="645"/>
      <c r="G287" s="714"/>
      <c r="H287" s="715"/>
      <c r="I287" s="653">
        <v>0</v>
      </c>
    </row>
    <row r="288" spans="1:9" ht="14.25" customHeight="1" hidden="1">
      <c r="A288" s="620">
        <v>75421</v>
      </c>
      <c r="B288" s="689" t="s">
        <v>445</v>
      </c>
      <c r="C288" s="525">
        <f t="shared" si="8"/>
        <v>0</v>
      </c>
      <c r="D288" s="572">
        <f t="shared" si="9"/>
        <v>0</v>
      </c>
      <c r="E288" s="527">
        <f t="shared" si="10"/>
        <v>0</v>
      </c>
      <c r="F288" s="693">
        <f>SUM(F290)</f>
        <v>0</v>
      </c>
      <c r="G288" s="692"/>
      <c r="H288" s="693"/>
      <c r="I288" s="694"/>
    </row>
    <row r="289" spans="1:9" ht="12.75" hidden="1">
      <c r="A289" s="515"/>
      <c r="B289" s="540" t="s">
        <v>388</v>
      </c>
      <c r="C289" s="525">
        <f t="shared" si="8"/>
        <v>0</v>
      </c>
      <c r="D289" s="572">
        <f t="shared" si="9"/>
        <v>0</v>
      </c>
      <c r="E289" s="527">
        <f t="shared" si="10"/>
        <v>0</v>
      </c>
      <c r="F289" s="520">
        <f>SUM(F290)</f>
        <v>0</v>
      </c>
      <c r="G289" s="654"/>
      <c r="H289" s="655"/>
      <c r="I289" s="656"/>
    </row>
    <row r="290" spans="1:9" ht="11.25" customHeight="1" hidden="1">
      <c r="A290" s="515"/>
      <c r="B290" s="544" t="s">
        <v>389</v>
      </c>
      <c r="C290" s="525">
        <f t="shared" si="8"/>
        <v>0</v>
      </c>
      <c r="D290" s="572">
        <f t="shared" si="9"/>
        <v>0</v>
      </c>
      <c r="E290" s="527">
        <f t="shared" si="10"/>
        <v>0</v>
      </c>
      <c r="F290" s="545"/>
      <c r="G290" s="521"/>
      <c r="H290" s="520"/>
      <c r="I290" s="522"/>
    </row>
    <row r="291" spans="1:9" ht="11.25" customHeight="1">
      <c r="A291" s="515"/>
      <c r="B291" s="524" t="s">
        <v>416</v>
      </c>
      <c r="C291" s="525">
        <f t="shared" si="8"/>
        <v>6700</v>
      </c>
      <c r="D291" s="572">
        <f t="shared" si="9"/>
        <v>4200</v>
      </c>
      <c r="E291" s="527">
        <f t="shared" si="10"/>
        <v>2500</v>
      </c>
      <c r="F291" s="545">
        <v>4200</v>
      </c>
      <c r="G291" s="521">
        <v>2500</v>
      </c>
      <c r="H291" s="520"/>
      <c r="I291" s="522"/>
    </row>
    <row r="292" spans="1:9" ht="15.75" customHeight="1">
      <c r="A292" s="571">
        <v>75495</v>
      </c>
      <c r="B292" s="695" t="s">
        <v>395</v>
      </c>
      <c r="C292" s="546">
        <f>SUM(C294+D296)</f>
        <v>115000</v>
      </c>
      <c r="D292" s="447">
        <f>SUM(D294+D295)</f>
        <v>115000</v>
      </c>
      <c r="E292" s="547"/>
      <c r="F292" s="548">
        <f>SUM(F294+F295)</f>
        <v>115000</v>
      </c>
      <c r="G292" s="547"/>
      <c r="H292" s="548"/>
      <c r="I292" s="449"/>
    </row>
    <row r="293" spans="1:9" ht="11.25" customHeight="1">
      <c r="A293" s="515"/>
      <c r="B293" s="540" t="s">
        <v>388</v>
      </c>
      <c r="C293" s="517">
        <f>SUM(C294)</f>
        <v>15000</v>
      </c>
      <c r="D293" s="518">
        <f>SUM(D294)</f>
        <v>15000</v>
      </c>
      <c r="E293" s="519"/>
      <c r="F293" s="520">
        <f>SUM(F294)</f>
        <v>15000</v>
      </c>
      <c r="G293" s="654"/>
      <c r="H293" s="655"/>
      <c r="I293" s="656"/>
    </row>
    <row r="294" spans="1:9" ht="10.5" customHeight="1">
      <c r="A294" s="515"/>
      <c r="B294" s="524" t="s">
        <v>389</v>
      </c>
      <c r="C294" s="525">
        <f>SUM(D294:E294)</f>
        <v>15000</v>
      </c>
      <c r="D294" s="526">
        <f>F294+H294</f>
        <v>15000</v>
      </c>
      <c r="E294" s="527"/>
      <c r="F294" s="545">
        <v>15000</v>
      </c>
      <c r="G294" s="521"/>
      <c r="H294" s="520"/>
      <c r="I294" s="522"/>
    </row>
    <row r="295" spans="1:9" ht="13.5" customHeight="1">
      <c r="A295" s="515"/>
      <c r="B295" s="516" t="s">
        <v>384</v>
      </c>
      <c r="C295" s="517">
        <f>SUM(C296)</f>
        <v>100000</v>
      </c>
      <c r="D295" s="518">
        <f>F295+H295</f>
        <v>100000</v>
      </c>
      <c r="E295" s="519"/>
      <c r="F295" s="541">
        <f>SUM(F296)</f>
        <v>100000</v>
      </c>
      <c r="G295" s="519"/>
      <c r="H295" s="541"/>
      <c r="I295" s="542"/>
    </row>
    <row r="296" spans="1:9" ht="17.25" customHeight="1" thickBot="1">
      <c r="A296" s="515"/>
      <c r="B296" s="524" t="s">
        <v>397</v>
      </c>
      <c r="C296" s="525">
        <f>SUM(D296:E296)</f>
        <v>100000</v>
      </c>
      <c r="D296" s="526">
        <f>F296+H296</f>
        <v>100000</v>
      </c>
      <c r="E296" s="527"/>
      <c r="F296" s="526">
        <v>100000</v>
      </c>
      <c r="G296" s="519"/>
      <c r="H296" s="545"/>
      <c r="I296" s="549"/>
    </row>
    <row r="297" spans="1:9" s="514" customFormat="1" ht="118.5" customHeight="1" thickBot="1" thickTop="1">
      <c r="A297" s="570">
        <v>756</v>
      </c>
      <c r="B297" s="783" t="s">
        <v>266</v>
      </c>
      <c r="C297" s="510">
        <f aca="true" t="shared" si="11" ref="C297:F298">SUM(C298)</f>
        <v>624700</v>
      </c>
      <c r="D297" s="511">
        <f t="shared" si="11"/>
        <v>624700</v>
      </c>
      <c r="E297" s="512"/>
      <c r="F297" s="513">
        <f t="shared" si="11"/>
        <v>624700</v>
      </c>
      <c r="G297" s="512"/>
      <c r="H297" s="513"/>
      <c r="I297" s="457"/>
    </row>
    <row r="298" spans="1:9" ht="39" customHeight="1" thickTop="1">
      <c r="A298" s="620">
        <v>75647</v>
      </c>
      <c r="B298" s="689" t="s">
        <v>446</v>
      </c>
      <c r="C298" s="690">
        <f t="shared" si="11"/>
        <v>624700</v>
      </c>
      <c r="D298" s="691">
        <f t="shared" si="11"/>
        <v>624700</v>
      </c>
      <c r="E298" s="692"/>
      <c r="F298" s="693">
        <f t="shared" si="11"/>
        <v>624700</v>
      </c>
      <c r="G298" s="692"/>
      <c r="H298" s="693"/>
      <c r="I298" s="694"/>
    </row>
    <row r="299" spans="1:9" s="539" customFormat="1" ht="15" customHeight="1">
      <c r="A299" s="704"/>
      <c r="B299" s="769" t="s">
        <v>388</v>
      </c>
      <c r="C299" s="672">
        <f>SUM(C300:C302)</f>
        <v>624700</v>
      </c>
      <c r="D299" s="706">
        <f>SUM(D300:D302)</f>
        <v>624700</v>
      </c>
      <c r="E299" s="707"/>
      <c r="F299" s="770">
        <f>SUM(F300:F302)</f>
        <v>624700</v>
      </c>
      <c r="G299" s="784"/>
      <c r="H299" s="770"/>
      <c r="I299" s="423"/>
    </row>
    <row r="300" spans="1:9" s="531" customFormat="1" ht="15" customHeight="1">
      <c r="A300" s="523"/>
      <c r="B300" s="524" t="s">
        <v>413</v>
      </c>
      <c r="C300" s="525">
        <f>SUM(D300:E300)</f>
        <v>248700</v>
      </c>
      <c r="D300" s="526">
        <f>F300+H300</f>
        <v>248700</v>
      </c>
      <c r="E300" s="527"/>
      <c r="F300" s="545">
        <v>248700</v>
      </c>
      <c r="G300" s="527"/>
      <c r="H300" s="528"/>
      <c r="I300" s="549"/>
    </row>
    <row r="301" spans="1:9" s="531" customFormat="1" ht="12.75">
      <c r="A301" s="523"/>
      <c r="B301" s="524" t="s">
        <v>414</v>
      </c>
      <c r="C301" s="525"/>
      <c r="D301" s="526"/>
      <c r="E301" s="527"/>
      <c r="F301" s="545"/>
      <c r="G301" s="527"/>
      <c r="H301" s="528"/>
      <c r="I301" s="549"/>
    </row>
    <row r="302" spans="1:9" s="531" customFormat="1" ht="18" customHeight="1">
      <c r="A302" s="657"/>
      <c r="B302" s="574" t="s">
        <v>389</v>
      </c>
      <c r="C302" s="642">
        <f>SUM(D302:E302)</f>
        <v>376000</v>
      </c>
      <c r="D302" s="643">
        <f>F302+H302</f>
        <v>376000</v>
      </c>
      <c r="E302" s="644"/>
      <c r="F302" s="645">
        <v>376000</v>
      </c>
      <c r="G302" s="644"/>
      <c r="H302" s="660"/>
      <c r="I302" s="653"/>
    </row>
    <row r="303" spans="1:9" s="514" customFormat="1" ht="26.25" customHeight="1" thickBot="1">
      <c r="A303" s="785">
        <v>757</v>
      </c>
      <c r="B303" s="786" t="s">
        <v>268</v>
      </c>
      <c r="C303" s="749">
        <f aca="true" t="shared" si="12" ref="C303:F304">SUM(C304)</f>
        <v>3200000</v>
      </c>
      <c r="D303" s="750">
        <f t="shared" si="12"/>
        <v>3200000</v>
      </c>
      <c r="E303" s="751"/>
      <c r="F303" s="752">
        <f t="shared" si="12"/>
        <v>3200000</v>
      </c>
      <c r="G303" s="751"/>
      <c r="H303" s="752"/>
      <c r="I303" s="753"/>
    </row>
    <row r="304" spans="1:9" ht="45" customHeight="1" thickTop="1">
      <c r="A304" s="571">
        <v>75702</v>
      </c>
      <c r="B304" s="695" t="s">
        <v>447</v>
      </c>
      <c r="C304" s="546">
        <f t="shared" si="12"/>
        <v>3200000</v>
      </c>
      <c r="D304" s="447">
        <f t="shared" si="12"/>
        <v>3200000</v>
      </c>
      <c r="E304" s="547"/>
      <c r="F304" s="548">
        <f t="shared" si="12"/>
        <v>3200000</v>
      </c>
      <c r="G304" s="547"/>
      <c r="H304" s="548"/>
      <c r="I304" s="449"/>
    </row>
    <row r="305" spans="1:9" ht="14.25" customHeight="1">
      <c r="A305" s="515"/>
      <c r="B305" s="540" t="s">
        <v>388</v>
      </c>
      <c r="C305" s="517">
        <f>SUM(C306)</f>
        <v>3200000</v>
      </c>
      <c r="D305" s="518">
        <f>SUM(D306)</f>
        <v>3200000</v>
      </c>
      <c r="E305" s="519"/>
      <c r="F305" s="520">
        <f>SUM(F306)</f>
        <v>3200000</v>
      </c>
      <c r="G305" s="654"/>
      <c r="H305" s="655"/>
      <c r="I305" s="656"/>
    </row>
    <row r="306" spans="1:9" ht="12.75" customHeight="1" thickBot="1">
      <c r="A306" s="515"/>
      <c r="B306" s="544" t="s">
        <v>448</v>
      </c>
      <c r="C306" s="525">
        <f>SUM(D306:E306)</f>
        <v>3200000</v>
      </c>
      <c r="D306" s="526">
        <f>F306+H306</f>
        <v>3200000</v>
      </c>
      <c r="E306" s="527"/>
      <c r="F306" s="545">
        <v>3200000</v>
      </c>
      <c r="G306" s="521"/>
      <c r="H306" s="520"/>
      <c r="I306" s="522"/>
    </row>
    <row r="307" spans="1:9" s="696" customFormat="1" ht="24" customHeight="1" thickBot="1" thickTop="1">
      <c r="A307" s="570">
        <v>758</v>
      </c>
      <c r="B307" s="509" t="s">
        <v>270</v>
      </c>
      <c r="C307" s="510">
        <f>SUM(C313+C308)</f>
        <v>9394542</v>
      </c>
      <c r="D307" s="511">
        <f>SUM(D313+D308)</f>
        <v>9394542</v>
      </c>
      <c r="E307" s="512"/>
      <c r="F307" s="513">
        <f>SUM(F313+F308)</f>
        <v>4996096</v>
      </c>
      <c r="G307" s="512"/>
      <c r="H307" s="513">
        <f>H308+H313</f>
        <v>4398446</v>
      </c>
      <c r="I307" s="457"/>
    </row>
    <row r="308" spans="1:9" ht="12.75" customHeight="1" thickTop="1">
      <c r="A308" s="571">
        <v>75818</v>
      </c>
      <c r="B308" s="695" t="s">
        <v>449</v>
      </c>
      <c r="C308" s="546">
        <f>SUM(C310+C311)</f>
        <v>4996096</v>
      </c>
      <c r="D308" s="447">
        <f>SUM(D310+D311)</f>
        <v>4996096</v>
      </c>
      <c r="E308" s="547"/>
      <c r="F308" s="548">
        <f>SUM(F310+F311)</f>
        <v>4996096</v>
      </c>
      <c r="G308" s="547"/>
      <c r="H308" s="548"/>
      <c r="I308" s="449"/>
    </row>
    <row r="309" spans="1:9" ht="10.5" customHeight="1">
      <c r="A309" s="515"/>
      <c r="B309" s="540" t="s">
        <v>388</v>
      </c>
      <c r="C309" s="517">
        <f>SUM(C310)</f>
        <v>4850000</v>
      </c>
      <c r="D309" s="518">
        <f>SUM(D310)</f>
        <v>4850000</v>
      </c>
      <c r="E309" s="519"/>
      <c r="F309" s="520">
        <f>SUM(F310)</f>
        <v>4850000</v>
      </c>
      <c r="G309" s="654"/>
      <c r="H309" s="520"/>
      <c r="I309" s="656"/>
    </row>
    <row r="310" spans="1:9" ht="9.75" customHeight="1">
      <c r="A310" s="515"/>
      <c r="B310" s="544" t="s">
        <v>389</v>
      </c>
      <c r="C310" s="525">
        <f>SUM(D310:E310)</f>
        <v>4850000</v>
      </c>
      <c r="D310" s="526">
        <f>F310+H310</f>
        <v>4850000</v>
      </c>
      <c r="E310" s="527"/>
      <c r="F310" s="545">
        <f>5000000-150000+210000-210000</f>
        <v>4850000</v>
      </c>
      <c r="G310" s="521"/>
      <c r="H310" s="545"/>
      <c r="I310" s="522"/>
    </row>
    <row r="311" spans="1:9" ht="10.5" customHeight="1">
      <c r="A311" s="515"/>
      <c r="B311" s="516" t="s">
        <v>384</v>
      </c>
      <c r="C311" s="517">
        <f>SUM(C312)</f>
        <v>146096</v>
      </c>
      <c r="D311" s="518">
        <f>F311+H311</f>
        <v>146096</v>
      </c>
      <c r="E311" s="519"/>
      <c r="F311" s="541">
        <f>SUM(F312:F313)</f>
        <v>146096</v>
      </c>
      <c r="G311" s="519"/>
      <c r="H311" s="541"/>
      <c r="I311" s="542"/>
    </row>
    <row r="312" spans="1:9" ht="12" customHeight="1">
      <c r="A312" s="641"/>
      <c r="B312" s="574" t="s">
        <v>397</v>
      </c>
      <c r="C312" s="642">
        <f>SUM(D312:E312)</f>
        <v>146096</v>
      </c>
      <c r="D312" s="643">
        <f>F312+H312</f>
        <v>146096</v>
      </c>
      <c r="E312" s="644"/>
      <c r="F312" s="643">
        <v>146096</v>
      </c>
      <c r="G312" s="714"/>
      <c r="H312" s="645"/>
      <c r="I312" s="653"/>
    </row>
    <row r="313" spans="1:9" ht="34.5" customHeight="1">
      <c r="A313" s="571">
        <v>75832</v>
      </c>
      <c r="B313" s="695" t="s">
        <v>450</v>
      </c>
      <c r="C313" s="546">
        <f>SUM(C315:C315)</f>
        <v>4398446</v>
      </c>
      <c r="D313" s="447">
        <f>SUM(D315:D315)</f>
        <v>4398446</v>
      </c>
      <c r="E313" s="547"/>
      <c r="F313" s="548"/>
      <c r="G313" s="547"/>
      <c r="H313" s="548">
        <f>SUM(H315:H315)</f>
        <v>4398446</v>
      </c>
      <c r="I313" s="449"/>
    </row>
    <row r="314" spans="1:9" ht="12.75">
      <c r="A314" s="515"/>
      <c r="B314" s="540" t="s">
        <v>388</v>
      </c>
      <c r="C314" s="517">
        <f>SUM(C315)</f>
        <v>4398446</v>
      </c>
      <c r="D314" s="518">
        <f>SUM(D315)</f>
        <v>4398446</v>
      </c>
      <c r="E314" s="519"/>
      <c r="F314" s="520"/>
      <c r="G314" s="654"/>
      <c r="H314" s="520">
        <f>SUM(H315)</f>
        <v>4398446</v>
      </c>
      <c r="I314" s="656"/>
    </row>
    <row r="315" spans="1:9" ht="14.25" customHeight="1" thickBot="1">
      <c r="A315" s="515"/>
      <c r="B315" s="544" t="s">
        <v>389</v>
      </c>
      <c r="C315" s="525">
        <f>SUM(D315:E315)</f>
        <v>4398446</v>
      </c>
      <c r="D315" s="526">
        <f>F315+H315</f>
        <v>4398446</v>
      </c>
      <c r="E315" s="527"/>
      <c r="F315" s="545"/>
      <c r="G315" s="521"/>
      <c r="H315" s="545">
        <v>4398446</v>
      </c>
      <c r="I315" s="522"/>
    </row>
    <row r="316" spans="1:9" s="514" customFormat="1" ht="25.5" customHeight="1" thickBot="1" thickTop="1">
      <c r="A316" s="570">
        <v>801</v>
      </c>
      <c r="B316" s="509" t="s">
        <v>272</v>
      </c>
      <c r="C316" s="510">
        <f>C327+C337+C349+C364+C374+C391+C407+C417+C423+C432+C440+C458+C429+C401+C449+C452+C358+C343+C380</f>
        <v>135195903</v>
      </c>
      <c r="D316" s="511">
        <f>D327+D337+D349+D364+D374+D391+D407+D417+D423+D432+D440+D458+D429+D401+D449+D452+D358+D343+D380</f>
        <v>135195903</v>
      </c>
      <c r="E316" s="512"/>
      <c r="F316" s="513">
        <f>F327+F337+F349+F364+F374+F391+F407+F417+F423+F432+F440+F458+F429+F401+F449+F452+F358+F343+F380</f>
        <v>79384543</v>
      </c>
      <c r="G316" s="512"/>
      <c r="H316" s="513">
        <f>H327+H337+H349+H364+H374+H391+H407+H417+H423+H432+H440+H458+H429+H401+H449+H452+H358+H343+H380</f>
        <v>55811360</v>
      </c>
      <c r="I316" s="457"/>
    </row>
    <row r="317" spans="1:9" s="514" customFormat="1" ht="13.5" thickTop="1">
      <c r="A317" s="576"/>
      <c r="B317" s="577" t="s">
        <v>388</v>
      </c>
      <c r="C317" s="578">
        <f>D317+E317</f>
        <v>120361103</v>
      </c>
      <c r="D317" s="579">
        <f>F317+H317</f>
        <v>120361103</v>
      </c>
      <c r="E317" s="580"/>
      <c r="F317" s="581">
        <f>F328+F338+F344+F350+F359+F365+F375+F392+F402+F408+F424+F433+F441+F450+F453+F459+F381</f>
        <v>71888443</v>
      </c>
      <c r="G317" s="582"/>
      <c r="H317" s="581">
        <f>H328+H338+H344+H350+H359+H365+H375+H392+H402+H408+H424+H433+H441+H450+H453+H459+H381</f>
        <v>48472660</v>
      </c>
      <c r="I317" s="584"/>
    </row>
    <row r="318" spans="1:9" s="676" customFormat="1" ht="12.75">
      <c r="A318" s="673"/>
      <c r="B318" s="524" t="s">
        <v>413</v>
      </c>
      <c r="C318" s="586">
        <f>D318+E318</f>
        <v>82153970</v>
      </c>
      <c r="D318" s="587">
        <f>F318+H318</f>
        <v>82153970</v>
      </c>
      <c r="E318" s="529"/>
      <c r="F318" s="588">
        <f>F329+F339+F345+F360+F366+F376+F393+F403+F409+F425+F434+F442+F454+F460+F382</f>
        <v>46350295</v>
      </c>
      <c r="G318" s="529"/>
      <c r="H318" s="588">
        <f>H329+H339+H345+H360+H366+H376+H393+H403+H409+H425+H434+H442+H454+H460+H382</f>
        <v>35803675</v>
      </c>
      <c r="I318" s="530"/>
    </row>
    <row r="319" spans="1:9" s="676" customFormat="1" ht="9.75" customHeight="1">
      <c r="A319" s="673"/>
      <c r="B319" s="524" t="s">
        <v>414</v>
      </c>
      <c r="C319" s="586"/>
      <c r="D319" s="587"/>
      <c r="E319" s="529"/>
      <c r="F319" s="588"/>
      <c r="G319" s="529"/>
      <c r="H319" s="588"/>
      <c r="I319" s="530"/>
    </row>
    <row r="320" spans="1:9" s="676" customFormat="1" ht="12.75">
      <c r="A320" s="673"/>
      <c r="B320" s="544" t="s">
        <v>400</v>
      </c>
      <c r="C320" s="586">
        <f>D320+E320</f>
        <v>20332300</v>
      </c>
      <c r="D320" s="587">
        <f>F320+H320</f>
        <v>20332300</v>
      </c>
      <c r="E320" s="529"/>
      <c r="F320" s="588">
        <f>F331+F347+F353+F368+F395+F411+F456+F462+F384</f>
        <v>15007300</v>
      </c>
      <c r="G320" s="529"/>
      <c r="H320" s="588">
        <f>H331+H347+H353+H368+H395+H411+H456+H462+H384</f>
        <v>5325000</v>
      </c>
      <c r="I320" s="530"/>
    </row>
    <row r="321" spans="1:9" s="676" customFormat="1" ht="12.75">
      <c r="A321" s="673"/>
      <c r="B321" s="544" t="s">
        <v>389</v>
      </c>
      <c r="C321" s="586">
        <f>D321+E321</f>
        <v>17874833</v>
      </c>
      <c r="D321" s="587">
        <f>F321+H321</f>
        <v>17874833</v>
      </c>
      <c r="E321" s="529"/>
      <c r="F321" s="588">
        <f>F332+F341+F348+F362+F369+F378+F396+F405+F412+F427+F436+F444+F451+F457+F463+F385</f>
        <v>10530848</v>
      </c>
      <c r="G321" s="529"/>
      <c r="H321" s="588">
        <f>H332+H341+H348+H362+H369+H378+H396+H405+H412+H427+H436+H444+H451+H457+H463+H385</f>
        <v>7343985</v>
      </c>
      <c r="I321" s="530"/>
    </row>
    <row r="322" spans="1:9" s="539" customFormat="1" ht="12">
      <c r="A322" s="591"/>
      <c r="B322" s="516" t="s">
        <v>416</v>
      </c>
      <c r="C322" s="517">
        <f>D322+E322</f>
        <v>464800</v>
      </c>
      <c r="D322" s="518">
        <f>F322+H322</f>
        <v>464800</v>
      </c>
      <c r="E322" s="519"/>
      <c r="F322" s="594">
        <f>F333+F342+F363+F370+F379+F397+F406+F413+F437+F445+F464+F428+F386</f>
        <v>356900</v>
      </c>
      <c r="G322" s="519"/>
      <c r="H322" s="594">
        <f>H333+H342+H363+H370+H379+H397+H406+H413+H437+H445+H464+H428+H386</f>
        <v>107900</v>
      </c>
      <c r="I322" s="542"/>
    </row>
    <row r="323" spans="1:9" s="514" customFormat="1" ht="12.75">
      <c r="A323" s="576"/>
      <c r="B323" s="595" t="s">
        <v>451</v>
      </c>
      <c r="C323" s="578">
        <f>C334+C371+C465+C414+C446+C398+C387+C355</f>
        <v>14823800</v>
      </c>
      <c r="D323" s="458">
        <f>D334+D371+D465+D414+D446+D398+D387+D355</f>
        <v>14823800</v>
      </c>
      <c r="E323" s="580"/>
      <c r="F323" s="581">
        <f>F334+F371+F465+F414+F446+F398+F387+F355</f>
        <v>7496100</v>
      </c>
      <c r="G323" s="580"/>
      <c r="H323" s="581">
        <f>H334+H371+H465+H414+H446+H398+H387+H438</f>
        <v>7338700</v>
      </c>
      <c r="I323" s="597"/>
    </row>
    <row r="324" spans="1:9" s="676" customFormat="1" ht="12.75">
      <c r="A324" s="673"/>
      <c r="B324" s="787" t="s">
        <v>397</v>
      </c>
      <c r="C324" s="586">
        <f>C335+C372+C466+C415+C399+C447+C388+C356</f>
        <v>14738300</v>
      </c>
      <c r="D324" s="698">
        <f>D335+D372+D466+D415+D399+D447+D388+D356</f>
        <v>14738300</v>
      </c>
      <c r="E324" s="529"/>
      <c r="F324" s="588">
        <f>F335+F372+F466+F415+F399+F388+F447+F356</f>
        <v>7472100</v>
      </c>
      <c r="G324" s="529"/>
      <c r="H324" s="588">
        <f>H335+H372+H466+H415+H399+H388+H447</f>
        <v>7266200</v>
      </c>
      <c r="I324" s="530"/>
    </row>
    <row r="325" spans="1:9" s="676" customFormat="1" ht="11.25" customHeight="1">
      <c r="A325" s="673"/>
      <c r="B325" s="516" t="s">
        <v>401</v>
      </c>
      <c r="C325" s="586">
        <f>C357</f>
        <v>360000</v>
      </c>
      <c r="D325" s="698">
        <f>D357</f>
        <v>360000</v>
      </c>
      <c r="E325" s="529"/>
      <c r="F325" s="588">
        <f>F357</f>
        <v>360000</v>
      </c>
      <c r="G325" s="529"/>
      <c r="H325" s="588"/>
      <c r="I325" s="530"/>
    </row>
    <row r="326" spans="1:9" s="676" customFormat="1" ht="13.5" thickBot="1">
      <c r="A326" s="788"/>
      <c r="B326" s="700" t="s">
        <v>385</v>
      </c>
      <c r="C326" s="683">
        <f>C467+C336+C373+C400+C416+C448+C439</f>
        <v>96500</v>
      </c>
      <c r="D326" s="789">
        <f>D467+D336+D373+D400+D416+D448+D439</f>
        <v>96500</v>
      </c>
      <c r="E326" s="701"/>
      <c r="F326" s="790">
        <f>F467+F336+F373+F400+F416+F448+F389</f>
        <v>24000</v>
      </c>
      <c r="G326" s="701"/>
      <c r="H326" s="790">
        <f>H467+H336+H373+H400+H416+H448+H389+H439</f>
        <v>72500</v>
      </c>
      <c r="I326" s="619"/>
    </row>
    <row r="327" spans="1:9" ht="13.5" customHeight="1" thickTop="1">
      <c r="A327" s="620">
        <v>80101</v>
      </c>
      <c r="B327" s="689" t="s">
        <v>452</v>
      </c>
      <c r="C327" s="690">
        <f>C328+C334</f>
        <v>35490814</v>
      </c>
      <c r="D327" s="691">
        <f>D328+D334</f>
        <v>35490814</v>
      </c>
      <c r="E327" s="692"/>
      <c r="F327" s="693">
        <f>F328+F334</f>
        <v>35490814</v>
      </c>
      <c r="G327" s="692"/>
      <c r="H327" s="693"/>
      <c r="I327" s="694"/>
    </row>
    <row r="328" spans="1:9" ht="11.25" customHeight="1">
      <c r="A328" s="515"/>
      <c r="B328" s="540" t="s">
        <v>388</v>
      </c>
      <c r="C328" s="517">
        <f>SUM(C329:C332)</f>
        <v>31428214</v>
      </c>
      <c r="D328" s="518">
        <f>SUM(D329:D332)</f>
        <v>31428214</v>
      </c>
      <c r="E328" s="519"/>
      <c r="F328" s="520">
        <f>SUM(F329:F332)</f>
        <v>31428214</v>
      </c>
      <c r="G328" s="654"/>
      <c r="H328" s="520"/>
      <c r="I328" s="656"/>
    </row>
    <row r="329" spans="1:9" ht="12" customHeight="1">
      <c r="A329" s="515"/>
      <c r="B329" s="524" t="s">
        <v>413</v>
      </c>
      <c r="C329" s="525">
        <f>SUM(D329:E329)</f>
        <v>25837130</v>
      </c>
      <c r="D329" s="526">
        <f>F329+H329</f>
        <v>25837130</v>
      </c>
      <c r="E329" s="527"/>
      <c r="F329" s="545">
        <v>25837130</v>
      </c>
      <c r="G329" s="521"/>
      <c r="H329" s="528"/>
      <c r="I329" s="522"/>
    </row>
    <row r="330" spans="1:9" ht="12" customHeight="1">
      <c r="A330" s="515"/>
      <c r="B330" s="524" t="s">
        <v>414</v>
      </c>
      <c r="C330" s="525"/>
      <c r="D330" s="526"/>
      <c r="E330" s="527"/>
      <c r="F330" s="545"/>
      <c r="G330" s="521"/>
      <c r="H330" s="528"/>
      <c r="I330" s="522"/>
    </row>
    <row r="331" spans="1:9" ht="10.5" customHeight="1">
      <c r="A331" s="515"/>
      <c r="B331" s="544" t="s">
        <v>400</v>
      </c>
      <c r="C331" s="525">
        <f>SUM(D331:E331)</f>
        <v>850000</v>
      </c>
      <c r="D331" s="526">
        <f aca="true" t="shared" si="13" ref="D331:D336">F331+H331</f>
        <v>850000</v>
      </c>
      <c r="E331" s="527"/>
      <c r="F331" s="545">
        <v>850000</v>
      </c>
      <c r="G331" s="521"/>
      <c r="H331" s="528"/>
      <c r="I331" s="522"/>
    </row>
    <row r="332" spans="1:9" ht="11.25" customHeight="1">
      <c r="A332" s="515"/>
      <c r="B332" s="544" t="s">
        <v>389</v>
      </c>
      <c r="C332" s="525">
        <f>SUM(D332:E332)</f>
        <v>4741084</v>
      </c>
      <c r="D332" s="526">
        <f t="shared" si="13"/>
        <v>4741084</v>
      </c>
      <c r="E332" s="527"/>
      <c r="F332" s="545">
        <v>4741084</v>
      </c>
      <c r="G332" s="521"/>
      <c r="H332" s="528"/>
      <c r="I332" s="522"/>
    </row>
    <row r="333" spans="1:9" ht="11.25" customHeight="1">
      <c r="A333" s="515"/>
      <c r="B333" s="524" t="s">
        <v>416</v>
      </c>
      <c r="C333" s="525">
        <f>SUM(D333:E333)</f>
        <v>76600</v>
      </c>
      <c r="D333" s="526">
        <f t="shared" si="13"/>
        <v>76600</v>
      </c>
      <c r="E333" s="527"/>
      <c r="F333" s="545">
        <v>76600</v>
      </c>
      <c r="G333" s="521"/>
      <c r="H333" s="528"/>
      <c r="I333" s="522"/>
    </row>
    <row r="334" spans="1:9" ht="12.75" customHeight="1">
      <c r="A334" s="515"/>
      <c r="B334" s="516" t="s">
        <v>451</v>
      </c>
      <c r="C334" s="517">
        <f>SUM(C335:C336)</f>
        <v>4062600</v>
      </c>
      <c r="D334" s="518">
        <f t="shared" si="13"/>
        <v>4062600</v>
      </c>
      <c r="E334" s="519"/>
      <c r="F334" s="520">
        <f>SUM(F335:F336)</f>
        <v>4062600</v>
      </c>
      <c r="G334" s="521"/>
      <c r="H334" s="520"/>
      <c r="I334" s="522"/>
    </row>
    <row r="335" spans="1:9" s="531" customFormat="1" ht="12" customHeight="1">
      <c r="A335" s="523"/>
      <c r="B335" s="524" t="s">
        <v>397</v>
      </c>
      <c r="C335" s="525">
        <f>SUM(D335:E335)</f>
        <v>4038600</v>
      </c>
      <c r="D335" s="526">
        <f t="shared" si="13"/>
        <v>4038600</v>
      </c>
      <c r="E335" s="527"/>
      <c r="F335" s="545">
        <v>4038600</v>
      </c>
      <c r="G335" s="529"/>
      <c r="H335" s="545"/>
      <c r="I335" s="530"/>
    </row>
    <row r="336" spans="1:9" s="676" customFormat="1" ht="12">
      <c r="A336" s="791"/>
      <c r="B336" s="574" t="s">
        <v>385</v>
      </c>
      <c r="C336" s="642">
        <f>D336+E336</f>
        <v>24000</v>
      </c>
      <c r="D336" s="643">
        <f t="shared" si="13"/>
        <v>24000</v>
      </c>
      <c r="E336" s="644"/>
      <c r="F336" s="645">
        <v>24000</v>
      </c>
      <c r="G336" s="644"/>
      <c r="H336" s="645"/>
      <c r="I336" s="653"/>
    </row>
    <row r="337" spans="1:9" s="539" customFormat="1" ht="23.25" customHeight="1">
      <c r="A337" s="620">
        <v>80102</v>
      </c>
      <c r="B337" s="689" t="s">
        <v>453</v>
      </c>
      <c r="C337" s="792">
        <f>SUM(C338)</f>
        <v>2505441</v>
      </c>
      <c r="D337" s="793">
        <f>SUM(D338)</f>
        <v>2505441</v>
      </c>
      <c r="E337" s="794"/>
      <c r="F337" s="795"/>
      <c r="G337" s="794"/>
      <c r="H337" s="795">
        <f>SUM(H338)</f>
        <v>2505441</v>
      </c>
      <c r="I337" s="796"/>
    </row>
    <row r="338" spans="1:9" ht="13.5" customHeight="1">
      <c r="A338" s="515"/>
      <c r="B338" s="540" t="s">
        <v>388</v>
      </c>
      <c r="C338" s="517">
        <f>SUM(C339:C341)</f>
        <v>2505441</v>
      </c>
      <c r="D338" s="518">
        <f>SUM(D339:D341)</f>
        <v>2505441</v>
      </c>
      <c r="E338" s="519"/>
      <c r="F338" s="520"/>
      <c r="G338" s="654"/>
      <c r="H338" s="520">
        <f>SUM(H339:H341)</f>
        <v>2505441</v>
      </c>
      <c r="I338" s="656"/>
    </row>
    <row r="339" spans="1:9" ht="10.5" customHeight="1">
      <c r="A339" s="515"/>
      <c r="B339" s="524" t="s">
        <v>413</v>
      </c>
      <c r="C339" s="525">
        <f>SUM(D339:E339)</f>
        <v>2180320</v>
      </c>
      <c r="D339" s="526">
        <f>F339+H339</f>
        <v>2180320</v>
      </c>
      <c r="E339" s="527"/>
      <c r="F339" s="545"/>
      <c r="G339" s="519"/>
      <c r="H339" s="545">
        <v>2180320</v>
      </c>
      <c r="I339" s="542"/>
    </row>
    <row r="340" spans="1:9" ht="12">
      <c r="A340" s="515"/>
      <c r="B340" s="524" t="s">
        <v>414</v>
      </c>
      <c r="C340" s="525"/>
      <c r="D340" s="526"/>
      <c r="E340" s="527"/>
      <c r="F340" s="545"/>
      <c r="G340" s="519"/>
      <c r="H340" s="545"/>
      <c r="I340" s="542"/>
    </row>
    <row r="341" spans="1:9" ht="12">
      <c r="A341" s="515"/>
      <c r="B341" s="544" t="s">
        <v>389</v>
      </c>
      <c r="C341" s="525">
        <f>SUM(D341:E341)</f>
        <v>325121</v>
      </c>
      <c r="D341" s="526">
        <f>F341+H341</f>
        <v>325121</v>
      </c>
      <c r="E341" s="527"/>
      <c r="F341" s="545"/>
      <c r="G341" s="519"/>
      <c r="H341" s="545">
        <v>325121</v>
      </c>
      <c r="I341" s="542"/>
    </row>
    <row r="342" spans="1:9" ht="12.75" customHeight="1">
      <c r="A342" s="641"/>
      <c r="B342" s="574" t="s">
        <v>416</v>
      </c>
      <c r="C342" s="642">
        <f>SUM(D342:E342)</f>
        <v>3800</v>
      </c>
      <c r="D342" s="643">
        <f>F342+H342</f>
        <v>3800</v>
      </c>
      <c r="E342" s="644"/>
      <c r="F342" s="645"/>
      <c r="G342" s="714"/>
      <c r="H342" s="645">
        <v>3800</v>
      </c>
      <c r="I342" s="797"/>
    </row>
    <row r="343" spans="1:9" s="539" customFormat="1" ht="30.75" customHeight="1">
      <c r="A343" s="571">
        <v>80103</v>
      </c>
      <c r="B343" s="695" t="s">
        <v>454</v>
      </c>
      <c r="C343" s="798">
        <f>SUM(C344)</f>
        <v>987182</v>
      </c>
      <c r="D343" s="799">
        <f>SUM(D344)</f>
        <v>987182</v>
      </c>
      <c r="E343" s="800"/>
      <c r="F343" s="801">
        <f>SUM(F344)</f>
        <v>987182</v>
      </c>
      <c r="G343" s="800"/>
      <c r="H343" s="801"/>
      <c r="I343" s="802"/>
    </row>
    <row r="344" spans="1:9" ht="12.75">
      <c r="A344" s="515"/>
      <c r="B344" s="540" t="s">
        <v>388</v>
      </c>
      <c r="C344" s="517">
        <f>SUM(C345:C348)</f>
        <v>987182</v>
      </c>
      <c r="D344" s="518">
        <f>SUM(D345:D348)</f>
        <v>987182</v>
      </c>
      <c r="E344" s="519"/>
      <c r="F344" s="520">
        <f>SUM(F345:F348)</f>
        <v>987182</v>
      </c>
      <c r="G344" s="654"/>
      <c r="H344" s="520"/>
      <c r="I344" s="656"/>
    </row>
    <row r="345" spans="1:9" ht="12">
      <c r="A345" s="515"/>
      <c r="B345" s="524" t="s">
        <v>413</v>
      </c>
      <c r="C345" s="525">
        <f>SUM(D345:E345)</f>
        <v>844390</v>
      </c>
      <c r="D345" s="526">
        <f>F345+H345</f>
        <v>844390</v>
      </c>
      <c r="E345" s="527"/>
      <c r="F345" s="545">
        <v>844390</v>
      </c>
      <c r="G345" s="519"/>
      <c r="H345" s="545"/>
      <c r="I345" s="542"/>
    </row>
    <row r="346" spans="1:9" ht="12">
      <c r="A346" s="515"/>
      <c r="B346" s="524" t="s">
        <v>414</v>
      </c>
      <c r="C346" s="525"/>
      <c r="D346" s="526"/>
      <c r="E346" s="527"/>
      <c r="F346" s="545"/>
      <c r="G346" s="519"/>
      <c r="H346" s="545"/>
      <c r="I346" s="542"/>
    </row>
    <row r="347" spans="1:9" ht="11.25" customHeight="1">
      <c r="A347" s="515"/>
      <c r="B347" s="544" t="s">
        <v>400</v>
      </c>
      <c r="C347" s="525">
        <f>SUM(D347:E347)</f>
        <v>72000</v>
      </c>
      <c r="D347" s="526">
        <f>F347+H347</f>
        <v>72000</v>
      </c>
      <c r="E347" s="527"/>
      <c r="F347" s="545">
        <v>72000</v>
      </c>
      <c r="G347" s="519"/>
      <c r="H347" s="545"/>
      <c r="I347" s="542"/>
    </row>
    <row r="348" spans="1:9" ht="13.5" customHeight="1">
      <c r="A348" s="641"/>
      <c r="B348" s="658" t="s">
        <v>389</v>
      </c>
      <c r="C348" s="642">
        <f>SUM(D348:E348)</f>
        <v>70792</v>
      </c>
      <c r="D348" s="643">
        <f>F348+H348</f>
        <v>70792</v>
      </c>
      <c r="E348" s="644"/>
      <c r="F348" s="645">
        <v>70792</v>
      </c>
      <c r="G348" s="714"/>
      <c r="H348" s="645"/>
      <c r="I348" s="797"/>
    </row>
    <row r="349" spans="1:9" ht="12" customHeight="1">
      <c r="A349" s="803">
        <v>80104</v>
      </c>
      <c r="B349" s="695" t="s">
        <v>455</v>
      </c>
      <c r="C349" s="546">
        <f>C350+C355</f>
        <v>13791300</v>
      </c>
      <c r="D349" s="447">
        <f>D350+D355</f>
        <v>13791300</v>
      </c>
      <c r="E349" s="547"/>
      <c r="F349" s="548">
        <f>F350+F355</f>
        <v>13791300</v>
      </c>
      <c r="G349" s="547"/>
      <c r="H349" s="548"/>
      <c r="I349" s="449"/>
    </row>
    <row r="350" spans="1:9" ht="11.25" customHeight="1">
      <c r="A350" s="704"/>
      <c r="B350" s="540" t="s">
        <v>388</v>
      </c>
      <c r="C350" s="517">
        <f>SUM(C351:C354)</f>
        <v>13431300</v>
      </c>
      <c r="D350" s="518">
        <f>SUM(D351:D354)</f>
        <v>13431300</v>
      </c>
      <c r="E350" s="519"/>
      <c r="F350" s="520">
        <f>SUM(F351:F354)</f>
        <v>13431300</v>
      </c>
      <c r="G350" s="654"/>
      <c r="H350" s="520"/>
      <c r="I350" s="656"/>
    </row>
    <row r="351" spans="1:9" ht="12" hidden="1">
      <c r="A351" s="515"/>
      <c r="B351" s="524" t="s">
        <v>413</v>
      </c>
      <c r="C351" s="525">
        <f>SUM(D351:E351)</f>
        <v>0</v>
      </c>
      <c r="D351" s="526">
        <f>F351+H351</f>
        <v>0</v>
      </c>
      <c r="E351" s="527"/>
      <c r="F351" s="545"/>
      <c r="G351" s="519"/>
      <c r="H351" s="545"/>
      <c r="I351" s="542"/>
    </row>
    <row r="352" spans="1:9" ht="10.5" customHeight="1" hidden="1">
      <c r="A352" s="515"/>
      <c r="B352" s="524" t="s">
        <v>414</v>
      </c>
      <c r="C352" s="525"/>
      <c r="D352" s="526"/>
      <c r="E352" s="527"/>
      <c r="F352" s="545"/>
      <c r="G352" s="519"/>
      <c r="H352" s="545"/>
      <c r="I352" s="542"/>
    </row>
    <row r="353" spans="1:9" ht="12">
      <c r="A353" s="515"/>
      <c r="B353" s="804" t="s">
        <v>400</v>
      </c>
      <c r="C353" s="525">
        <f>SUM(D353:E353)</f>
        <v>13431300</v>
      </c>
      <c r="D353" s="526">
        <f>F353+H353</f>
        <v>13431300</v>
      </c>
      <c r="E353" s="527"/>
      <c r="F353" s="526">
        <v>13431300</v>
      </c>
      <c r="G353" s="519"/>
      <c r="H353" s="526"/>
      <c r="I353" s="542"/>
    </row>
    <row r="354" spans="1:9" ht="12" customHeight="1" hidden="1">
      <c r="A354" s="641"/>
      <c r="B354" s="658" t="s">
        <v>389</v>
      </c>
      <c r="C354" s="642">
        <f>SUM(D354:E354)</f>
        <v>0</v>
      </c>
      <c r="D354" s="643">
        <f>F354+H354</f>
        <v>0</v>
      </c>
      <c r="E354" s="644"/>
      <c r="F354" s="645"/>
      <c r="G354" s="714"/>
      <c r="H354" s="645"/>
      <c r="I354" s="797"/>
    </row>
    <row r="355" spans="1:9" ht="12.75" customHeight="1">
      <c r="A355" s="704"/>
      <c r="B355" s="769" t="s">
        <v>384</v>
      </c>
      <c r="C355" s="672">
        <f>C356</f>
        <v>360000</v>
      </c>
      <c r="D355" s="706">
        <f>D356</f>
        <v>360000</v>
      </c>
      <c r="E355" s="805"/>
      <c r="F355" s="770">
        <f>F356</f>
        <v>360000</v>
      </c>
      <c r="G355" s="707"/>
      <c r="H355" s="806"/>
      <c r="I355" s="423"/>
    </row>
    <row r="356" spans="1:9" ht="12.75" customHeight="1">
      <c r="A356" s="515"/>
      <c r="B356" s="524" t="s">
        <v>397</v>
      </c>
      <c r="C356" s="525">
        <f>SUM(D356:E356)</f>
        <v>360000</v>
      </c>
      <c r="D356" s="526">
        <f>F356+H356</f>
        <v>360000</v>
      </c>
      <c r="E356" s="527"/>
      <c r="F356" s="545">
        <v>360000</v>
      </c>
      <c r="G356" s="519"/>
      <c r="H356" s="545"/>
      <c r="I356" s="542"/>
    </row>
    <row r="357" spans="1:9" ht="12.75" customHeight="1">
      <c r="A357" s="641"/>
      <c r="B357" s="516" t="s">
        <v>401</v>
      </c>
      <c r="C357" s="525">
        <f>SUM(D357:E357)</f>
        <v>360000</v>
      </c>
      <c r="D357" s="526">
        <f>F357+H357</f>
        <v>360000</v>
      </c>
      <c r="E357" s="644"/>
      <c r="F357" s="645">
        <v>360000</v>
      </c>
      <c r="G357" s="714"/>
      <c r="H357" s="645"/>
      <c r="I357" s="797"/>
    </row>
    <row r="358" spans="1:9" s="539" customFormat="1" ht="12.75">
      <c r="A358" s="571">
        <v>80105</v>
      </c>
      <c r="B358" s="695" t="s">
        <v>456</v>
      </c>
      <c r="C358" s="798">
        <f>SUM(C359)</f>
        <v>599283</v>
      </c>
      <c r="D358" s="799">
        <f>SUM(D359)</f>
        <v>599283</v>
      </c>
      <c r="E358" s="800"/>
      <c r="F358" s="801"/>
      <c r="G358" s="800"/>
      <c r="H358" s="801">
        <f>SUM(H359)</f>
        <v>599283</v>
      </c>
      <c r="I358" s="802"/>
    </row>
    <row r="359" spans="1:9" ht="11.25" customHeight="1">
      <c r="A359" s="515"/>
      <c r="B359" s="540" t="s">
        <v>388</v>
      </c>
      <c r="C359" s="517">
        <f>SUM(C360:C362)</f>
        <v>599283</v>
      </c>
      <c r="D359" s="518">
        <f>SUM(D360:D362)</f>
        <v>599283</v>
      </c>
      <c r="E359" s="519"/>
      <c r="F359" s="520"/>
      <c r="G359" s="654"/>
      <c r="H359" s="520">
        <f>SUM(H360:H362)</f>
        <v>599283</v>
      </c>
      <c r="I359" s="656"/>
    </row>
    <row r="360" spans="1:9" ht="12">
      <c r="A360" s="515"/>
      <c r="B360" s="524" t="s">
        <v>413</v>
      </c>
      <c r="C360" s="525">
        <f>SUM(D360:E360)</f>
        <v>541400</v>
      </c>
      <c r="D360" s="526">
        <f>F360+H360</f>
        <v>541400</v>
      </c>
      <c r="E360" s="527"/>
      <c r="F360" s="545"/>
      <c r="G360" s="519"/>
      <c r="H360" s="545">
        <v>541400</v>
      </c>
      <c r="I360" s="542"/>
    </row>
    <row r="361" spans="1:9" ht="12">
      <c r="A361" s="515"/>
      <c r="B361" s="524" t="s">
        <v>414</v>
      </c>
      <c r="C361" s="525"/>
      <c r="D361" s="526"/>
      <c r="E361" s="527"/>
      <c r="F361" s="545"/>
      <c r="G361" s="519"/>
      <c r="H361" s="545"/>
      <c r="I361" s="542"/>
    </row>
    <row r="362" spans="1:9" ht="14.25" customHeight="1">
      <c r="A362" s="515"/>
      <c r="B362" s="544" t="s">
        <v>389</v>
      </c>
      <c r="C362" s="525">
        <f>SUM(D362:E362)</f>
        <v>57883</v>
      </c>
      <c r="D362" s="526">
        <f>F362+H362</f>
        <v>57883</v>
      </c>
      <c r="E362" s="527"/>
      <c r="F362" s="545"/>
      <c r="G362" s="519"/>
      <c r="H362" s="545">
        <v>57883</v>
      </c>
      <c r="I362" s="542"/>
    </row>
    <row r="363" spans="1:9" ht="12">
      <c r="A363" s="641"/>
      <c r="B363" s="574" t="s">
        <v>416</v>
      </c>
      <c r="C363" s="642">
        <f>SUM(D363:E363)</f>
        <v>2000</v>
      </c>
      <c r="D363" s="643">
        <f>F363+H363</f>
        <v>2000</v>
      </c>
      <c r="E363" s="644"/>
      <c r="F363" s="645"/>
      <c r="G363" s="714"/>
      <c r="H363" s="645">
        <v>2000</v>
      </c>
      <c r="I363" s="797"/>
    </row>
    <row r="364" spans="1:9" ht="14.25" customHeight="1">
      <c r="A364" s="571">
        <v>80110</v>
      </c>
      <c r="B364" s="695" t="s">
        <v>457</v>
      </c>
      <c r="C364" s="546">
        <f>SUM(C365)+C371</f>
        <v>21961233</v>
      </c>
      <c r="D364" s="447">
        <f>SUM(D365)+D371</f>
        <v>21961233</v>
      </c>
      <c r="E364" s="547"/>
      <c r="F364" s="548">
        <f>SUM(F365)+F371</f>
        <v>21961233</v>
      </c>
      <c r="G364" s="547"/>
      <c r="H364" s="447"/>
      <c r="I364" s="449"/>
    </row>
    <row r="365" spans="1:9" ht="12" customHeight="1">
      <c r="A365" s="515"/>
      <c r="B365" s="540" t="s">
        <v>388</v>
      </c>
      <c r="C365" s="517">
        <f>SUM(C366:C369)</f>
        <v>21390333</v>
      </c>
      <c r="D365" s="518">
        <f>SUM(D366:D369)</f>
        <v>21390333</v>
      </c>
      <c r="E365" s="519"/>
      <c r="F365" s="520">
        <f>SUM(F366:F369)</f>
        <v>21390333</v>
      </c>
      <c r="G365" s="654"/>
      <c r="H365" s="518"/>
      <c r="I365" s="656"/>
    </row>
    <row r="366" spans="1:9" ht="12">
      <c r="A366" s="515"/>
      <c r="B366" s="524" t="s">
        <v>413</v>
      </c>
      <c r="C366" s="525">
        <f>SUM(D366:E366)</f>
        <v>17754255</v>
      </c>
      <c r="D366" s="526">
        <f>F366+H366</f>
        <v>17754255</v>
      </c>
      <c r="E366" s="527"/>
      <c r="F366" s="545">
        <v>17754255</v>
      </c>
      <c r="G366" s="519"/>
      <c r="H366" s="545"/>
      <c r="I366" s="542"/>
    </row>
    <row r="367" spans="1:9" ht="11.25" customHeight="1">
      <c r="A367" s="515"/>
      <c r="B367" s="524" t="s">
        <v>414</v>
      </c>
      <c r="C367" s="525"/>
      <c r="D367" s="526"/>
      <c r="E367" s="527"/>
      <c r="F367" s="545"/>
      <c r="G367" s="519"/>
      <c r="H367" s="545"/>
      <c r="I367" s="542"/>
    </row>
    <row r="368" spans="1:9" ht="14.25" customHeight="1">
      <c r="A368" s="515"/>
      <c r="B368" s="544" t="s">
        <v>400</v>
      </c>
      <c r="C368" s="525">
        <f>SUM(D368:E368)</f>
        <v>600000</v>
      </c>
      <c r="D368" s="526">
        <f aca="true" t="shared" si="14" ref="D368:D373">F368+H368</f>
        <v>600000</v>
      </c>
      <c r="E368" s="527"/>
      <c r="F368" s="545">
        <v>600000</v>
      </c>
      <c r="G368" s="519"/>
      <c r="H368" s="545"/>
      <c r="I368" s="542"/>
    </row>
    <row r="369" spans="1:9" ht="11.25" customHeight="1">
      <c r="A369" s="515"/>
      <c r="B369" s="544" t="s">
        <v>389</v>
      </c>
      <c r="C369" s="525">
        <f>SUM(D369:E369)</f>
        <v>3036078</v>
      </c>
      <c r="D369" s="526">
        <f t="shared" si="14"/>
        <v>3036078</v>
      </c>
      <c r="E369" s="527"/>
      <c r="F369" s="545">
        <v>3036078</v>
      </c>
      <c r="G369" s="519"/>
      <c r="H369" s="545"/>
      <c r="I369" s="542"/>
    </row>
    <row r="370" spans="1:9" ht="12">
      <c r="A370" s="515"/>
      <c r="B370" s="524" t="s">
        <v>416</v>
      </c>
      <c r="C370" s="525">
        <f>SUM(D370:E370)</f>
        <v>50300</v>
      </c>
      <c r="D370" s="526">
        <f t="shared" si="14"/>
        <v>50300</v>
      </c>
      <c r="E370" s="527"/>
      <c r="F370" s="545">
        <v>50300</v>
      </c>
      <c r="G370" s="519"/>
      <c r="H370" s="545"/>
      <c r="I370" s="542"/>
    </row>
    <row r="371" spans="1:9" ht="13.5" customHeight="1">
      <c r="A371" s="515"/>
      <c r="B371" s="516" t="s">
        <v>384</v>
      </c>
      <c r="C371" s="517">
        <f>SUM(C372:C373)</f>
        <v>570900</v>
      </c>
      <c r="D371" s="518">
        <f t="shared" si="14"/>
        <v>570900</v>
      </c>
      <c r="E371" s="519"/>
      <c r="F371" s="541">
        <f>SUM(F372:F373)</f>
        <v>570900</v>
      </c>
      <c r="G371" s="519"/>
      <c r="H371" s="541"/>
      <c r="I371" s="542"/>
    </row>
    <row r="372" spans="1:9" ht="13.5" customHeight="1">
      <c r="A372" s="515"/>
      <c r="B372" s="524" t="s">
        <v>397</v>
      </c>
      <c r="C372" s="525">
        <f>SUM(D372:E372)</f>
        <v>570900</v>
      </c>
      <c r="D372" s="526">
        <f t="shared" si="14"/>
        <v>570900</v>
      </c>
      <c r="E372" s="527"/>
      <c r="F372" s="526">
        <v>570900</v>
      </c>
      <c r="G372" s="519"/>
      <c r="H372" s="545"/>
      <c r="I372" s="549"/>
    </row>
    <row r="373" spans="1:9" s="676" customFormat="1" ht="12.75" customHeight="1" hidden="1">
      <c r="A373" s="791"/>
      <c r="B373" s="574" t="s">
        <v>385</v>
      </c>
      <c r="C373" s="642">
        <f>D373+E373</f>
        <v>0</v>
      </c>
      <c r="D373" s="643">
        <f t="shared" si="14"/>
        <v>0</v>
      </c>
      <c r="E373" s="644"/>
      <c r="F373" s="645">
        <v>0</v>
      </c>
      <c r="G373" s="644"/>
      <c r="H373" s="782"/>
      <c r="I373" s="653"/>
    </row>
    <row r="374" spans="1:9" s="531" customFormat="1" ht="12">
      <c r="A374" s="571">
        <v>80111</v>
      </c>
      <c r="B374" s="695" t="s">
        <v>458</v>
      </c>
      <c r="C374" s="546">
        <f>SUM(C375)</f>
        <v>2589567</v>
      </c>
      <c r="D374" s="447">
        <f>SUM(D375)</f>
        <v>2589567</v>
      </c>
      <c r="E374" s="547"/>
      <c r="F374" s="736"/>
      <c r="G374" s="737"/>
      <c r="H374" s="548">
        <f>SUM(H375)</f>
        <v>2589567</v>
      </c>
      <c r="I374" s="449"/>
    </row>
    <row r="375" spans="1:9" ht="12.75">
      <c r="A375" s="515"/>
      <c r="B375" s="540" t="s">
        <v>388</v>
      </c>
      <c r="C375" s="517">
        <f>SUM(C376:C378)</f>
        <v>2589567</v>
      </c>
      <c r="D375" s="518">
        <f>SUM(D376:D378)</f>
        <v>2589567</v>
      </c>
      <c r="E375" s="519"/>
      <c r="F375" s="520"/>
      <c r="G375" s="654"/>
      <c r="H375" s="520">
        <f>SUM(H376:H378)</f>
        <v>2589567</v>
      </c>
      <c r="I375" s="656"/>
    </row>
    <row r="376" spans="1:9" ht="10.5" customHeight="1">
      <c r="A376" s="515"/>
      <c r="B376" s="524" t="s">
        <v>413</v>
      </c>
      <c r="C376" s="525">
        <f>SUM(D376:E376)</f>
        <v>2276680</v>
      </c>
      <c r="D376" s="526">
        <f>F376+H376</f>
        <v>2276680</v>
      </c>
      <c r="E376" s="527"/>
      <c r="F376" s="545"/>
      <c r="G376" s="519"/>
      <c r="H376" s="545">
        <v>2276680</v>
      </c>
      <c r="I376" s="542"/>
    </row>
    <row r="377" spans="1:9" ht="10.5" customHeight="1">
      <c r="A377" s="515"/>
      <c r="B377" s="524" t="s">
        <v>414</v>
      </c>
      <c r="C377" s="525"/>
      <c r="D377" s="526"/>
      <c r="E377" s="527"/>
      <c r="F377" s="545"/>
      <c r="G377" s="519"/>
      <c r="H377" s="545"/>
      <c r="I377" s="542"/>
    </row>
    <row r="378" spans="1:9" ht="10.5" customHeight="1">
      <c r="A378" s="515"/>
      <c r="B378" s="544" t="s">
        <v>389</v>
      </c>
      <c r="C378" s="525">
        <f>SUM(D378:E378)</f>
        <v>312887</v>
      </c>
      <c r="D378" s="526">
        <f>F378+H378</f>
        <v>312887</v>
      </c>
      <c r="E378" s="527"/>
      <c r="F378" s="545"/>
      <c r="G378" s="519"/>
      <c r="H378" s="545">
        <v>312887</v>
      </c>
      <c r="I378" s="542"/>
    </row>
    <row r="379" spans="1:9" ht="10.5" customHeight="1">
      <c r="A379" s="515"/>
      <c r="B379" s="524" t="s">
        <v>416</v>
      </c>
      <c r="C379" s="525">
        <f>SUM(D379:E379)</f>
        <v>4200</v>
      </c>
      <c r="D379" s="526">
        <f>F379+H379</f>
        <v>4200</v>
      </c>
      <c r="E379" s="527"/>
      <c r="F379" s="545"/>
      <c r="G379" s="519"/>
      <c r="H379" s="545">
        <v>4200</v>
      </c>
      <c r="I379" s="542"/>
    </row>
    <row r="380" spans="1:9" ht="39" customHeight="1">
      <c r="A380" s="571">
        <v>80114</v>
      </c>
      <c r="B380" s="695" t="s">
        <v>459</v>
      </c>
      <c r="C380" s="546">
        <f>SUM(C381)+C387</f>
        <v>1397764</v>
      </c>
      <c r="D380" s="447">
        <f>SUM(D381)+D387</f>
        <v>1397764</v>
      </c>
      <c r="E380" s="547"/>
      <c r="F380" s="548">
        <f>SUM(F381)+F387</f>
        <v>1397764</v>
      </c>
      <c r="G380" s="547"/>
      <c r="H380" s="447"/>
      <c r="I380" s="449"/>
    </row>
    <row r="381" spans="1:9" ht="12" customHeight="1">
      <c r="A381" s="515"/>
      <c r="B381" s="540" t="s">
        <v>388</v>
      </c>
      <c r="C381" s="517">
        <f>SUM(C382:C385)</f>
        <v>1197764</v>
      </c>
      <c r="D381" s="518">
        <f>SUM(D382:D385)</f>
        <v>1197764</v>
      </c>
      <c r="E381" s="519"/>
      <c r="F381" s="520">
        <f>SUM(F382:F385)</f>
        <v>1197764</v>
      </c>
      <c r="G381" s="654"/>
      <c r="H381" s="518"/>
      <c r="I381" s="656"/>
    </row>
    <row r="382" spans="1:9" ht="11.25" customHeight="1">
      <c r="A382" s="515"/>
      <c r="B382" s="524" t="s">
        <v>413</v>
      </c>
      <c r="C382" s="525">
        <f>SUM(D382:E382)</f>
        <v>853750</v>
      </c>
      <c r="D382" s="526">
        <f>F382+H382</f>
        <v>853750</v>
      </c>
      <c r="E382" s="527"/>
      <c r="F382" s="545">
        <v>853750</v>
      </c>
      <c r="G382" s="519"/>
      <c r="H382" s="545"/>
      <c r="I382" s="542"/>
    </row>
    <row r="383" spans="1:9" ht="11.25" customHeight="1">
      <c r="A383" s="515"/>
      <c r="B383" s="524" t="s">
        <v>414</v>
      </c>
      <c r="C383" s="525"/>
      <c r="D383" s="526"/>
      <c r="E383" s="527"/>
      <c r="F383" s="545"/>
      <c r="G383" s="519"/>
      <c r="H383" s="545"/>
      <c r="I383" s="542"/>
    </row>
    <row r="384" spans="1:9" ht="11.25" customHeight="1" hidden="1">
      <c r="A384" s="515"/>
      <c r="B384" s="544" t="s">
        <v>400</v>
      </c>
      <c r="C384" s="525">
        <f>SUM(D384:E384)</f>
        <v>0</v>
      </c>
      <c r="D384" s="526">
        <f aca="true" t="shared" si="15" ref="D384:D389">F384+H384</f>
        <v>0</v>
      </c>
      <c r="E384" s="527"/>
      <c r="F384" s="545"/>
      <c r="G384" s="519"/>
      <c r="H384" s="545"/>
      <c r="I384" s="542"/>
    </row>
    <row r="385" spans="1:9" ht="11.25" customHeight="1">
      <c r="A385" s="515"/>
      <c r="B385" s="544" t="s">
        <v>389</v>
      </c>
      <c r="C385" s="525">
        <f>SUM(D385:E385)</f>
        <v>344014</v>
      </c>
      <c r="D385" s="526">
        <f t="shared" si="15"/>
        <v>344014</v>
      </c>
      <c r="E385" s="527"/>
      <c r="F385" s="545">
        <v>344014</v>
      </c>
      <c r="G385" s="519"/>
      <c r="H385" s="545"/>
      <c r="I385" s="542"/>
    </row>
    <row r="386" spans="1:9" ht="12">
      <c r="A386" s="515"/>
      <c r="B386" s="524" t="s">
        <v>416</v>
      </c>
      <c r="C386" s="525">
        <f>SUM(D386:E386)</f>
        <v>200000</v>
      </c>
      <c r="D386" s="526">
        <f t="shared" si="15"/>
        <v>200000</v>
      </c>
      <c r="E386" s="527"/>
      <c r="F386" s="545">
        <v>200000</v>
      </c>
      <c r="G386" s="519"/>
      <c r="H386" s="545"/>
      <c r="I386" s="542"/>
    </row>
    <row r="387" spans="1:9" ht="13.5" customHeight="1">
      <c r="A387" s="515"/>
      <c r="B387" s="516" t="s">
        <v>384</v>
      </c>
      <c r="C387" s="517">
        <f>SUM(C388:C389)</f>
        <v>200000</v>
      </c>
      <c r="D387" s="518">
        <f t="shared" si="15"/>
        <v>200000</v>
      </c>
      <c r="E387" s="519"/>
      <c r="F387" s="541">
        <f>SUM(F388:F389)</f>
        <v>200000</v>
      </c>
      <c r="G387" s="519"/>
      <c r="H387" s="541"/>
      <c r="I387" s="542"/>
    </row>
    <row r="388" spans="1:9" ht="13.5" customHeight="1">
      <c r="A388" s="515"/>
      <c r="B388" s="524" t="s">
        <v>397</v>
      </c>
      <c r="C388" s="525">
        <f>SUM(D388:E388)</f>
        <v>200000</v>
      </c>
      <c r="D388" s="526">
        <f t="shared" si="15"/>
        <v>200000</v>
      </c>
      <c r="E388" s="527"/>
      <c r="F388" s="526">
        <v>200000</v>
      </c>
      <c r="G388" s="519"/>
      <c r="H388" s="545"/>
      <c r="I388" s="549"/>
    </row>
    <row r="389" spans="1:9" s="676" customFormat="1" ht="12" hidden="1">
      <c r="A389" s="791"/>
      <c r="B389" s="574" t="s">
        <v>385</v>
      </c>
      <c r="C389" s="642">
        <f>D389+E389</f>
        <v>0</v>
      </c>
      <c r="D389" s="643">
        <f t="shared" si="15"/>
        <v>0</v>
      </c>
      <c r="E389" s="644"/>
      <c r="F389" s="645"/>
      <c r="G389" s="644"/>
      <c r="H389" s="782"/>
      <c r="I389" s="653"/>
    </row>
    <row r="390" spans="1:9" ht="10.5" customHeight="1" hidden="1">
      <c r="A390" s="515"/>
      <c r="B390" s="524"/>
      <c r="C390" s="525"/>
      <c r="D390" s="526"/>
      <c r="E390" s="527"/>
      <c r="F390" s="545"/>
      <c r="G390" s="519"/>
      <c r="H390" s="545"/>
      <c r="I390" s="542"/>
    </row>
    <row r="391" spans="1:9" s="531" customFormat="1" ht="14.25" customHeight="1">
      <c r="A391" s="571">
        <v>80120</v>
      </c>
      <c r="B391" s="695" t="s">
        <v>460</v>
      </c>
      <c r="C391" s="546">
        <f>C392+C398</f>
        <v>16997014</v>
      </c>
      <c r="D391" s="447">
        <f>D392+D398</f>
        <v>16997014</v>
      </c>
      <c r="E391" s="547"/>
      <c r="F391" s="736"/>
      <c r="G391" s="737"/>
      <c r="H391" s="548">
        <f>H392+H398</f>
        <v>16997014</v>
      </c>
      <c r="I391" s="449"/>
    </row>
    <row r="392" spans="1:9" ht="12.75">
      <c r="A392" s="515"/>
      <c r="B392" s="540" t="s">
        <v>388</v>
      </c>
      <c r="C392" s="517">
        <f>SUM(C393:C396)</f>
        <v>14630214</v>
      </c>
      <c r="D392" s="518">
        <f>SUM(D393:D396)</f>
        <v>14630214</v>
      </c>
      <c r="E392" s="519"/>
      <c r="F392" s="520"/>
      <c r="G392" s="654"/>
      <c r="H392" s="520">
        <f>SUM(H393:H396)</f>
        <v>14630214</v>
      </c>
      <c r="I392" s="656"/>
    </row>
    <row r="393" spans="1:9" ht="10.5" customHeight="1">
      <c r="A393" s="515"/>
      <c r="B393" s="524" t="s">
        <v>413</v>
      </c>
      <c r="C393" s="525">
        <f>SUM(D393:E393)</f>
        <v>11376266</v>
      </c>
      <c r="D393" s="526">
        <f>F393+H393</f>
        <v>11376266</v>
      </c>
      <c r="E393" s="527"/>
      <c r="F393" s="545"/>
      <c r="G393" s="519"/>
      <c r="H393" s="545">
        <v>11376266</v>
      </c>
      <c r="I393" s="542"/>
    </row>
    <row r="394" spans="1:9" ht="11.25" customHeight="1">
      <c r="A394" s="515"/>
      <c r="B394" s="524" t="s">
        <v>414</v>
      </c>
      <c r="C394" s="525"/>
      <c r="D394" s="526"/>
      <c r="E394" s="527"/>
      <c r="F394" s="545"/>
      <c r="G394" s="519"/>
      <c r="H394" s="545"/>
      <c r="I394" s="542"/>
    </row>
    <row r="395" spans="1:9" ht="11.25" customHeight="1">
      <c r="A395" s="515"/>
      <c r="B395" s="544" t="s">
        <v>400</v>
      </c>
      <c r="C395" s="525">
        <f>SUM(D395:E395)</f>
        <v>1500000</v>
      </c>
      <c r="D395" s="526">
        <f aca="true" t="shared" si="16" ref="D395:D400">F395+H395</f>
        <v>1500000</v>
      </c>
      <c r="E395" s="527"/>
      <c r="F395" s="545"/>
      <c r="G395" s="519"/>
      <c r="H395" s="545">
        <v>1500000</v>
      </c>
      <c r="I395" s="542"/>
    </row>
    <row r="396" spans="1:9" ht="14.25" customHeight="1">
      <c r="A396" s="515"/>
      <c r="B396" s="544" t="s">
        <v>389</v>
      </c>
      <c r="C396" s="525">
        <f>SUM(D396:E396)</f>
        <v>1753948</v>
      </c>
      <c r="D396" s="526">
        <f t="shared" si="16"/>
        <v>1753948</v>
      </c>
      <c r="E396" s="527"/>
      <c r="F396" s="545"/>
      <c r="G396" s="519"/>
      <c r="H396" s="545">
        <v>1753948</v>
      </c>
      <c r="I396" s="542"/>
    </row>
    <row r="397" spans="1:9" ht="12">
      <c r="A397" s="515"/>
      <c r="B397" s="524" t="s">
        <v>416</v>
      </c>
      <c r="C397" s="525">
        <f>SUM(D397:E397)</f>
        <v>36000</v>
      </c>
      <c r="D397" s="526">
        <f t="shared" si="16"/>
        <v>36000</v>
      </c>
      <c r="E397" s="527"/>
      <c r="F397" s="545"/>
      <c r="G397" s="519"/>
      <c r="H397" s="545">
        <v>36000</v>
      </c>
      <c r="I397" s="542"/>
    </row>
    <row r="398" spans="1:9" ht="12.75">
      <c r="A398" s="515"/>
      <c r="B398" s="516" t="s">
        <v>451</v>
      </c>
      <c r="C398" s="517">
        <f>SUM(C399:C400)</f>
        <v>2366800</v>
      </c>
      <c r="D398" s="518">
        <f t="shared" si="16"/>
        <v>2366800</v>
      </c>
      <c r="E398" s="519"/>
      <c r="F398" s="520"/>
      <c r="G398" s="521"/>
      <c r="H398" s="520">
        <f>SUM(H399:H400)</f>
        <v>2366800</v>
      </c>
      <c r="I398" s="522"/>
    </row>
    <row r="399" spans="1:9" s="531" customFormat="1" ht="12">
      <c r="A399" s="523"/>
      <c r="B399" s="524" t="s">
        <v>397</v>
      </c>
      <c r="C399" s="525">
        <f>SUM(D399:E399)</f>
        <v>2343400</v>
      </c>
      <c r="D399" s="526">
        <f t="shared" si="16"/>
        <v>2343400</v>
      </c>
      <c r="E399" s="527"/>
      <c r="F399" s="545"/>
      <c r="G399" s="527"/>
      <c r="H399" s="545">
        <v>2343400</v>
      </c>
      <c r="I399" s="549"/>
    </row>
    <row r="400" spans="1:9" s="676" customFormat="1" ht="12" customHeight="1">
      <c r="A400" s="791"/>
      <c r="B400" s="574" t="s">
        <v>385</v>
      </c>
      <c r="C400" s="642">
        <f>D400+E400</f>
        <v>23400</v>
      </c>
      <c r="D400" s="643">
        <f t="shared" si="16"/>
        <v>23400</v>
      </c>
      <c r="E400" s="644"/>
      <c r="F400" s="645"/>
      <c r="G400" s="644"/>
      <c r="H400" s="782">
        <v>23400</v>
      </c>
      <c r="I400" s="653"/>
    </row>
    <row r="401" spans="1:9" s="531" customFormat="1" ht="15" customHeight="1">
      <c r="A401" s="571">
        <v>80123</v>
      </c>
      <c r="B401" s="695" t="s">
        <v>461</v>
      </c>
      <c r="C401" s="546">
        <f>SUM(C402)</f>
        <v>2020057</v>
      </c>
      <c r="D401" s="447">
        <f>SUM(D402)</f>
        <v>2020057</v>
      </c>
      <c r="E401" s="547"/>
      <c r="F401" s="736"/>
      <c r="G401" s="737"/>
      <c r="H401" s="548">
        <f>SUM(H402)</f>
        <v>2020057</v>
      </c>
      <c r="I401" s="449"/>
    </row>
    <row r="402" spans="1:9" ht="13.5" customHeight="1">
      <c r="A402" s="515"/>
      <c r="B402" s="540" t="s">
        <v>388</v>
      </c>
      <c r="C402" s="517">
        <f>SUM(C403:C405)</f>
        <v>2020057</v>
      </c>
      <c r="D402" s="518">
        <f>SUM(D403:D405)</f>
        <v>2020057</v>
      </c>
      <c r="E402" s="519"/>
      <c r="F402" s="520"/>
      <c r="G402" s="654"/>
      <c r="H402" s="520">
        <f>SUM(H403:H405)</f>
        <v>2020057</v>
      </c>
      <c r="I402" s="656"/>
    </row>
    <row r="403" spans="1:9" ht="11.25" customHeight="1">
      <c r="A403" s="515"/>
      <c r="B403" s="524" t="s">
        <v>413</v>
      </c>
      <c r="C403" s="525">
        <f>SUM(D403:E403)</f>
        <v>1754135</v>
      </c>
      <c r="D403" s="526">
        <f>F403+H403</f>
        <v>1754135</v>
      </c>
      <c r="E403" s="527"/>
      <c r="F403" s="545"/>
      <c r="G403" s="519"/>
      <c r="H403" s="545">
        <v>1754135</v>
      </c>
      <c r="I403" s="542"/>
    </row>
    <row r="404" spans="1:9" ht="12" customHeight="1">
      <c r="A404" s="515"/>
      <c r="B404" s="524" t="s">
        <v>414</v>
      </c>
      <c r="C404" s="525"/>
      <c r="D404" s="526"/>
      <c r="E404" s="527"/>
      <c r="F404" s="545"/>
      <c r="G404" s="519"/>
      <c r="H404" s="545"/>
      <c r="I404" s="542"/>
    </row>
    <row r="405" spans="1:9" ht="10.5" customHeight="1">
      <c r="A405" s="515"/>
      <c r="B405" s="544" t="s">
        <v>389</v>
      </c>
      <c r="C405" s="525">
        <f>SUM(D405:E405)</f>
        <v>265922</v>
      </c>
      <c r="D405" s="526">
        <f>F405+H405</f>
        <v>265922</v>
      </c>
      <c r="E405" s="527"/>
      <c r="F405" s="545"/>
      <c r="G405" s="519"/>
      <c r="H405" s="545">
        <v>265922</v>
      </c>
      <c r="I405" s="542"/>
    </row>
    <row r="406" spans="1:9" ht="12.75" customHeight="1">
      <c r="A406" s="515"/>
      <c r="B406" s="524" t="s">
        <v>416</v>
      </c>
      <c r="C406" s="525">
        <f>SUM(D406:E406)</f>
        <v>4500</v>
      </c>
      <c r="D406" s="526">
        <f>F406+H406</f>
        <v>4500</v>
      </c>
      <c r="E406" s="527"/>
      <c r="F406" s="545"/>
      <c r="G406" s="519"/>
      <c r="H406" s="545">
        <v>4500</v>
      </c>
      <c r="I406" s="542"/>
    </row>
    <row r="407" spans="1:9" s="531" customFormat="1" ht="13.5" customHeight="1">
      <c r="A407" s="571">
        <v>80130</v>
      </c>
      <c r="B407" s="695" t="s">
        <v>462</v>
      </c>
      <c r="C407" s="546">
        <f>SUM(C408+C414)</f>
        <v>20155185</v>
      </c>
      <c r="D407" s="447">
        <f>SUM(D408+D414)</f>
        <v>20155185</v>
      </c>
      <c r="E407" s="547"/>
      <c r="F407" s="736"/>
      <c r="G407" s="737"/>
      <c r="H407" s="548">
        <f>SUM(H408+H414)</f>
        <v>20155185</v>
      </c>
      <c r="I407" s="449"/>
    </row>
    <row r="408" spans="1:9" ht="10.5" customHeight="1">
      <c r="A408" s="807"/>
      <c r="B408" s="808" t="s">
        <v>388</v>
      </c>
      <c r="C408" s="809">
        <f>SUM(C409:C412)</f>
        <v>19993585</v>
      </c>
      <c r="D408" s="810">
        <f>SUM(D409:D412)</f>
        <v>19993585</v>
      </c>
      <c r="E408" s="737"/>
      <c r="F408" s="811"/>
      <c r="G408" s="812"/>
      <c r="H408" s="811">
        <f>SUM(H409:H412)</f>
        <v>19993585</v>
      </c>
      <c r="I408" s="813"/>
    </row>
    <row r="409" spans="1:9" ht="12">
      <c r="A409" s="515"/>
      <c r="B409" s="524" t="s">
        <v>413</v>
      </c>
      <c r="C409" s="525">
        <f>SUM(D409:E409)</f>
        <v>13521443</v>
      </c>
      <c r="D409" s="526">
        <f>F409+H409</f>
        <v>13521443</v>
      </c>
      <c r="E409" s="527"/>
      <c r="F409" s="545"/>
      <c r="G409" s="519"/>
      <c r="H409" s="545">
        <v>13521443</v>
      </c>
      <c r="I409" s="542"/>
    </row>
    <row r="410" spans="1:9" ht="10.5" customHeight="1">
      <c r="A410" s="515"/>
      <c r="B410" s="524" t="s">
        <v>414</v>
      </c>
      <c r="C410" s="525"/>
      <c r="D410" s="526"/>
      <c r="E410" s="527"/>
      <c r="F410" s="545"/>
      <c r="G410" s="519"/>
      <c r="H410" s="545"/>
      <c r="I410" s="542"/>
    </row>
    <row r="411" spans="1:9" ht="11.25" customHeight="1">
      <c r="A411" s="515"/>
      <c r="B411" s="544" t="s">
        <v>400</v>
      </c>
      <c r="C411" s="525">
        <f>SUM(D411:E411)</f>
        <v>3825000</v>
      </c>
      <c r="D411" s="526">
        <f aca="true" t="shared" si="17" ref="D411:D416">F411+H411</f>
        <v>3825000</v>
      </c>
      <c r="E411" s="527"/>
      <c r="F411" s="545"/>
      <c r="G411" s="519"/>
      <c r="H411" s="545">
        <f>3300000+525000</f>
        <v>3825000</v>
      </c>
      <c r="I411" s="542"/>
    </row>
    <row r="412" spans="1:9" ht="12">
      <c r="A412" s="515"/>
      <c r="B412" s="544" t="s">
        <v>389</v>
      </c>
      <c r="C412" s="525">
        <f>SUM(D412:E412)</f>
        <v>2647142</v>
      </c>
      <c r="D412" s="526">
        <f t="shared" si="17"/>
        <v>2647142</v>
      </c>
      <c r="E412" s="527"/>
      <c r="F412" s="545"/>
      <c r="G412" s="519"/>
      <c r="H412" s="545">
        <v>2647142</v>
      </c>
      <c r="I412" s="542"/>
    </row>
    <row r="413" spans="1:9" ht="12" customHeight="1">
      <c r="A413" s="515"/>
      <c r="B413" s="524" t="s">
        <v>416</v>
      </c>
      <c r="C413" s="525">
        <f>SUM(D413:E413)</f>
        <v>46000</v>
      </c>
      <c r="D413" s="526">
        <f t="shared" si="17"/>
        <v>46000</v>
      </c>
      <c r="E413" s="527"/>
      <c r="F413" s="545"/>
      <c r="G413" s="519"/>
      <c r="H413" s="545">
        <v>46000</v>
      </c>
      <c r="I413" s="542"/>
    </row>
    <row r="414" spans="1:9" ht="12.75">
      <c r="A414" s="515"/>
      <c r="B414" s="516" t="s">
        <v>451</v>
      </c>
      <c r="C414" s="517">
        <f>SUM(C415:C416)</f>
        <v>161600</v>
      </c>
      <c r="D414" s="518">
        <f t="shared" si="17"/>
        <v>161600</v>
      </c>
      <c r="E414" s="519"/>
      <c r="F414" s="520"/>
      <c r="G414" s="521"/>
      <c r="H414" s="520">
        <f>SUM(H415:H416)</f>
        <v>161600</v>
      </c>
      <c r="I414" s="522"/>
    </row>
    <row r="415" spans="1:9" s="531" customFormat="1" ht="13.5" customHeight="1">
      <c r="A415" s="523"/>
      <c r="B415" s="524" t="s">
        <v>397</v>
      </c>
      <c r="C415" s="525">
        <f>SUM(D415:E415)</f>
        <v>123500</v>
      </c>
      <c r="D415" s="526">
        <f t="shared" si="17"/>
        <v>123500</v>
      </c>
      <c r="E415" s="527"/>
      <c r="F415" s="545"/>
      <c r="G415" s="527"/>
      <c r="H415" s="545">
        <v>123500</v>
      </c>
      <c r="I415" s="549"/>
    </row>
    <row r="416" spans="1:9" s="676" customFormat="1" ht="14.25" customHeight="1">
      <c r="A416" s="791"/>
      <c r="B416" s="574" t="s">
        <v>385</v>
      </c>
      <c r="C416" s="642">
        <f>D416+E416</f>
        <v>38100</v>
      </c>
      <c r="D416" s="643">
        <f t="shared" si="17"/>
        <v>38100</v>
      </c>
      <c r="E416" s="644"/>
      <c r="F416" s="645"/>
      <c r="G416" s="644"/>
      <c r="H416" s="782">
        <v>38100</v>
      </c>
      <c r="I416" s="653"/>
    </row>
    <row r="417" spans="1:9" s="531" customFormat="1" ht="11.25" customHeight="1" hidden="1">
      <c r="A417" s="571">
        <v>80131</v>
      </c>
      <c r="B417" s="695" t="s">
        <v>463</v>
      </c>
      <c r="C417" s="546">
        <f>SUM(C418)</f>
        <v>0</v>
      </c>
      <c r="D417" s="447">
        <f>SUM(D418)</f>
        <v>0</v>
      </c>
      <c r="E417" s="547"/>
      <c r="F417" s="736"/>
      <c r="G417" s="737"/>
      <c r="H417" s="548"/>
      <c r="I417" s="449"/>
    </row>
    <row r="418" spans="1:9" ht="13.5" customHeight="1" hidden="1">
      <c r="A418" s="515"/>
      <c r="B418" s="540" t="s">
        <v>388</v>
      </c>
      <c r="C418" s="517">
        <f>SUM(C419:C422)</f>
        <v>0</v>
      </c>
      <c r="D418" s="518">
        <f>SUM(D419:D422)</f>
        <v>0</v>
      </c>
      <c r="E418" s="519"/>
      <c r="F418" s="520"/>
      <c r="G418" s="654"/>
      <c r="H418" s="520"/>
      <c r="I418" s="656"/>
    </row>
    <row r="419" spans="1:9" ht="13.5" customHeight="1" hidden="1">
      <c r="A419" s="515"/>
      <c r="B419" s="524" t="s">
        <v>413</v>
      </c>
      <c r="C419" s="525">
        <f>SUM(D419:E419)</f>
        <v>0</v>
      </c>
      <c r="D419" s="526">
        <f>F419+H419</f>
        <v>0</v>
      </c>
      <c r="E419" s="527"/>
      <c r="F419" s="528"/>
      <c r="G419" s="521"/>
      <c r="H419" s="528"/>
      <c r="I419" s="522"/>
    </row>
    <row r="420" spans="1:9" ht="13.5" customHeight="1" hidden="1">
      <c r="A420" s="515"/>
      <c r="B420" s="524" t="s">
        <v>414</v>
      </c>
      <c r="C420" s="525"/>
      <c r="D420" s="526"/>
      <c r="E420" s="527"/>
      <c r="F420" s="528"/>
      <c r="G420" s="521"/>
      <c r="H420" s="528"/>
      <c r="I420" s="522"/>
    </row>
    <row r="421" spans="1:9" ht="14.25" customHeight="1" hidden="1">
      <c r="A421" s="515"/>
      <c r="B421" s="544" t="s">
        <v>400</v>
      </c>
      <c r="C421" s="525">
        <f>SUM(D421:E421)</f>
        <v>0</v>
      </c>
      <c r="D421" s="526">
        <f>F421+H421</f>
        <v>0</v>
      </c>
      <c r="E421" s="527"/>
      <c r="F421" s="528"/>
      <c r="G421" s="521"/>
      <c r="H421" s="528"/>
      <c r="I421" s="522"/>
    </row>
    <row r="422" spans="1:9" ht="16.5" customHeight="1" hidden="1">
      <c r="A422" s="641"/>
      <c r="B422" s="658" t="s">
        <v>389</v>
      </c>
      <c r="C422" s="642">
        <f>SUM(D422:E422)</f>
        <v>0</v>
      </c>
      <c r="D422" s="643">
        <f>F422+H422</f>
        <v>0</v>
      </c>
      <c r="E422" s="644"/>
      <c r="F422" s="660"/>
      <c r="G422" s="646"/>
      <c r="H422" s="660"/>
      <c r="I422" s="648"/>
    </row>
    <row r="423" spans="1:9" s="531" customFormat="1" ht="12.75" customHeight="1" hidden="1">
      <c r="A423" s="571">
        <v>80132</v>
      </c>
      <c r="B423" s="695" t="s">
        <v>464</v>
      </c>
      <c r="C423" s="546">
        <f>SUM(C424)</f>
        <v>0</v>
      </c>
      <c r="D423" s="447">
        <f>SUM(D424)</f>
        <v>0</v>
      </c>
      <c r="E423" s="547"/>
      <c r="F423" s="736"/>
      <c r="G423" s="737"/>
      <c r="H423" s="548">
        <f>SUM(H424)</f>
        <v>0</v>
      </c>
      <c r="I423" s="449"/>
    </row>
    <row r="424" spans="1:9" ht="12.75" customHeight="1" hidden="1">
      <c r="A424" s="515"/>
      <c r="B424" s="540" t="s">
        <v>388</v>
      </c>
      <c r="C424" s="517">
        <f>SUM(C425:C427)</f>
        <v>0</v>
      </c>
      <c r="D424" s="518">
        <f>SUM(D425:D427)</f>
        <v>0</v>
      </c>
      <c r="E424" s="519"/>
      <c r="F424" s="520"/>
      <c r="G424" s="654"/>
      <c r="H424" s="520">
        <f>SUM(H425:H427)</f>
        <v>0</v>
      </c>
      <c r="I424" s="656"/>
    </row>
    <row r="425" spans="1:9" ht="15" customHeight="1" hidden="1">
      <c r="A425" s="515"/>
      <c r="B425" s="524" t="s">
        <v>413</v>
      </c>
      <c r="C425" s="525">
        <f>SUM(D425:E425)</f>
        <v>0</v>
      </c>
      <c r="D425" s="526">
        <f>F425+H425</f>
        <v>0</v>
      </c>
      <c r="E425" s="527"/>
      <c r="F425" s="545"/>
      <c r="G425" s="519"/>
      <c r="H425" s="545"/>
      <c r="I425" s="542"/>
    </row>
    <row r="426" spans="1:9" ht="12" customHeight="1" hidden="1">
      <c r="A426" s="641"/>
      <c r="B426" s="574" t="s">
        <v>414</v>
      </c>
      <c r="C426" s="642"/>
      <c r="D426" s="643"/>
      <c r="E426" s="644"/>
      <c r="F426" s="645"/>
      <c r="G426" s="714"/>
      <c r="H426" s="645"/>
      <c r="I426" s="797"/>
    </row>
    <row r="427" spans="1:9" ht="12" customHeight="1" hidden="1">
      <c r="A427" s="515"/>
      <c r="B427" s="544" t="s">
        <v>389</v>
      </c>
      <c r="C427" s="525">
        <f>SUM(D427:E427)</f>
        <v>0</v>
      </c>
      <c r="D427" s="526">
        <f>F427+H427</f>
        <v>0</v>
      </c>
      <c r="E427" s="527"/>
      <c r="F427" s="545"/>
      <c r="G427" s="519"/>
      <c r="H427" s="545"/>
      <c r="I427" s="542"/>
    </row>
    <row r="428" spans="1:9" ht="12.75" customHeight="1" hidden="1">
      <c r="A428" s="515"/>
      <c r="B428" s="524" t="s">
        <v>416</v>
      </c>
      <c r="C428" s="525">
        <f>SUM(D428:E428)</f>
        <v>0</v>
      </c>
      <c r="D428" s="526">
        <f>F428+H428</f>
        <v>0</v>
      </c>
      <c r="E428" s="527"/>
      <c r="F428" s="545"/>
      <c r="G428" s="519"/>
      <c r="H428" s="545"/>
      <c r="I428" s="542"/>
    </row>
    <row r="429" spans="1:9" s="531" customFormat="1" ht="11.25" customHeight="1" hidden="1">
      <c r="A429" s="571">
        <v>80133</v>
      </c>
      <c r="B429" s="695" t="s">
        <v>465</v>
      </c>
      <c r="C429" s="546">
        <f>SUM(C430)</f>
        <v>0</v>
      </c>
      <c r="D429" s="447">
        <f>SUM(D430)</f>
        <v>0</v>
      </c>
      <c r="E429" s="547"/>
      <c r="F429" s="736"/>
      <c r="G429" s="737"/>
      <c r="H429" s="548">
        <f>SUM(H430)</f>
        <v>0</v>
      </c>
      <c r="I429" s="449"/>
    </row>
    <row r="430" spans="1:9" ht="11.25" customHeight="1" hidden="1">
      <c r="A430" s="704"/>
      <c r="B430" s="705" t="s">
        <v>388</v>
      </c>
      <c r="C430" s="672">
        <f>SUM(C431)</f>
        <v>0</v>
      </c>
      <c r="D430" s="706">
        <f>SUM(D431)</f>
        <v>0</v>
      </c>
      <c r="E430" s="707"/>
      <c r="F430" s="708"/>
      <c r="G430" s="709"/>
      <c r="H430" s="708">
        <f>SUM(H431)</f>
        <v>0</v>
      </c>
      <c r="I430" s="745"/>
    </row>
    <row r="431" spans="1:9" ht="9.75" customHeight="1" hidden="1">
      <c r="A431" s="641"/>
      <c r="B431" s="658" t="s">
        <v>400</v>
      </c>
      <c r="C431" s="642">
        <f>SUM(D431:E431)</f>
        <v>0</v>
      </c>
      <c r="D431" s="643">
        <f>F431+H431</f>
        <v>0</v>
      </c>
      <c r="E431" s="644"/>
      <c r="F431" s="660"/>
      <c r="G431" s="646"/>
      <c r="H431" s="660"/>
      <c r="I431" s="648"/>
    </row>
    <row r="432" spans="1:9" s="531" customFormat="1" ht="24">
      <c r="A432" s="571">
        <v>80134</v>
      </c>
      <c r="B432" s="695" t="s">
        <v>466</v>
      </c>
      <c r="C432" s="546">
        <f>C433+C438</f>
        <v>1399791</v>
      </c>
      <c r="D432" s="447">
        <f>D433+D438</f>
        <v>1399791</v>
      </c>
      <c r="E432" s="547"/>
      <c r="F432" s="736"/>
      <c r="G432" s="737"/>
      <c r="H432" s="548">
        <f>H433+H438</f>
        <v>1399791</v>
      </c>
      <c r="I432" s="449"/>
    </row>
    <row r="433" spans="1:9" ht="12.75">
      <c r="A433" s="704"/>
      <c r="B433" s="705" t="s">
        <v>388</v>
      </c>
      <c r="C433" s="672">
        <f>SUM(C434:C436)</f>
        <v>1388791</v>
      </c>
      <c r="D433" s="706">
        <f>SUM(D434:D436)</f>
        <v>1388791</v>
      </c>
      <c r="E433" s="707"/>
      <c r="F433" s="708"/>
      <c r="G433" s="709"/>
      <c r="H433" s="708">
        <f>SUM(H434:H436)</f>
        <v>1388791</v>
      </c>
      <c r="I433" s="745"/>
    </row>
    <row r="434" spans="1:9" ht="12">
      <c r="A434" s="515"/>
      <c r="B434" s="524" t="s">
        <v>413</v>
      </c>
      <c r="C434" s="525">
        <f>SUM(D434:E434)</f>
        <v>1227910</v>
      </c>
      <c r="D434" s="526">
        <f>F434+H434</f>
        <v>1227910</v>
      </c>
      <c r="E434" s="527"/>
      <c r="F434" s="545"/>
      <c r="G434" s="519"/>
      <c r="H434" s="545">
        <v>1227910</v>
      </c>
      <c r="I434" s="542"/>
    </row>
    <row r="435" spans="1:9" ht="12">
      <c r="A435" s="515"/>
      <c r="B435" s="524" t="s">
        <v>414</v>
      </c>
      <c r="C435" s="525"/>
      <c r="D435" s="526"/>
      <c r="E435" s="527"/>
      <c r="F435" s="545"/>
      <c r="G435" s="519"/>
      <c r="H435" s="545"/>
      <c r="I435" s="542"/>
    </row>
    <row r="436" spans="1:9" ht="12">
      <c r="A436" s="515"/>
      <c r="B436" s="544" t="s">
        <v>389</v>
      </c>
      <c r="C436" s="525">
        <f>SUM(D436:E436)</f>
        <v>160881</v>
      </c>
      <c r="D436" s="526">
        <f>F436+H436</f>
        <v>160881</v>
      </c>
      <c r="E436" s="527"/>
      <c r="F436" s="545"/>
      <c r="G436" s="519"/>
      <c r="H436" s="545">
        <v>160881</v>
      </c>
      <c r="I436" s="542"/>
    </row>
    <row r="437" spans="1:9" ht="12" customHeight="1">
      <c r="A437" s="515"/>
      <c r="B437" s="524" t="s">
        <v>416</v>
      </c>
      <c r="C437" s="525">
        <f>SUM(D437:E437)</f>
        <v>1400</v>
      </c>
      <c r="D437" s="526">
        <f>F437+H437</f>
        <v>1400</v>
      </c>
      <c r="E437" s="527"/>
      <c r="F437" s="545"/>
      <c r="G437" s="519"/>
      <c r="H437" s="545">
        <v>1400</v>
      </c>
      <c r="I437" s="542"/>
    </row>
    <row r="438" spans="1:9" ht="12.75">
      <c r="A438" s="515"/>
      <c r="B438" s="516" t="s">
        <v>451</v>
      </c>
      <c r="C438" s="517">
        <f>C439</f>
        <v>11000</v>
      </c>
      <c r="D438" s="518">
        <f>F438+H438</f>
        <v>11000</v>
      </c>
      <c r="E438" s="519"/>
      <c r="F438" s="520"/>
      <c r="G438" s="521"/>
      <c r="H438" s="520">
        <f>H439</f>
        <v>11000</v>
      </c>
      <c r="I438" s="522"/>
    </row>
    <row r="439" spans="1:9" s="676" customFormat="1" ht="14.25" customHeight="1">
      <c r="A439" s="791"/>
      <c r="B439" s="574" t="s">
        <v>385</v>
      </c>
      <c r="C439" s="642">
        <f>D439+E439</f>
        <v>11000</v>
      </c>
      <c r="D439" s="643">
        <f>F439+H439</f>
        <v>11000</v>
      </c>
      <c r="E439" s="644"/>
      <c r="F439" s="645"/>
      <c r="G439" s="644"/>
      <c r="H439" s="782">
        <v>11000</v>
      </c>
      <c r="I439" s="653"/>
    </row>
    <row r="440" spans="1:9" s="531" customFormat="1" ht="63" customHeight="1">
      <c r="A440" s="571">
        <v>80140</v>
      </c>
      <c r="B440" s="695" t="s">
        <v>467</v>
      </c>
      <c r="C440" s="546">
        <f>SUM(C441+C446)</f>
        <v>2505640</v>
      </c>
      <c r="D440" s="447">
        <f>SUM(D441+D446)</f>
        <v>2505640</v>
      </c>
      <c r="E440" s="547"/>
      <c r="F440" s="736"/>
      <c r="G440" s="737"/>
      <c r="H440" s="548">
        <f>SUM(H441+H446)</f>
        <v>2505640</v>
      </c>
      <c r="I440" s="449"/>
    </row>
    <row r="441" spans="1:9" ht="12" customHeight="1">
      <c r="A441" s="515"/>
      <c r="B441" s="540" t="s">
        <v>388</v>
      </c>
      <c r="C441" s="517">
        <f>SUM(C442:C444)</f>
        <v>2464040</v>
      </c>
      <c r="D441" s="518">
        <f>SUM(D442:D444)</f>
        <v>2464040</v>
      </c>
      <c r="E441" s="519"/>
      <c r="F441" s="520"/>
      <c r="G441" s="654"/>
      <c r="H441" s="520">
        <f>SUM(H442:H444)</f>
        <v>2464040</v>
      </c>
      <c r="I441" s="656"/>
    </row>
    <row r="442" spans="1:9" ht="12.75" customHeight="1">
      <c r="A442" s="515"/>
      <c r="B442" s="524" t="s">
        <v>413</v>
      </c>
      <c r="C442" s="525">
        <f>SUM(D442:E442)</f>
        <v>2045950</v>
      </c>
      <c r="D442" s="526">
        <f>F442+H442</f>
        <v>2045950</v>
      </c>
      <c r="E442" s="527"/>
      <c r="F442" s="545"/>
      <c r="G442" s="519"/>
      <c r="H442" s="545">
        <v>2045950</v>
      </c>
      <c r="I442" s="542"/>
    </row>
    <row r="443" spans="1:9" ht="12.75" customHeight="1">
      <c r="A443" s="515"/>
      <c r="B443" s="524" t="s">
        <v>414</v>
      </c>
      <c r="C443" s="525"/>
      <c r="D443" s="526"/>
      <c r="E443" s="527"/>
      <c r="F443" s="545"/>
      <c r="G443" s="519"/>
      <c r="H443" s="545"/>
      <c r="I443" s="542"/>
    </row>
    <row r="444" spans="1:9" ht="12.75" customHeight="1">
      <c r="A444" s="515"/>
      <c r="B444" s="544" t="s">
        <v>389</v>
      </c>
      <c r="C444" s="525">
        <f>SUM(D444:E444)</f>
        <v>418090</v>
      </c>
      <c r="D444" s="526">
        <f>F444+H444</f>
        <v>418090</v>
      </c>
      <c r="E444" s="527"/>
      <c r="F444" s="545"/>
      <c r="G444" s="519"/>
      <c r="H444" s="545">
        <v>418090</v>
      </c>
      <c r="I444" s="542"/>
    </row>
    <row r="445" spans="1:9" ht="14.25" customHeight="1">
      <c r="A445" s="515"/>
      <c r="B445" s="524" t="s">
        <v>416</v>
      </c>
      <c r="C445" s="525">
        <f>SUM(D445:E445)</f>
        <v>10000</v>
      </c>
      <c r="D445" s="526">
        <f>F445+H445</f>
        <v>10000</v>
      </c>
      <c r="E445" s="527"/>
      <c r="F445" s="545"/>
      <c r="G445" s="519"/>
      <c r="H445" s="545">
        <v>10000</v>
      </c>
      <c r="I445" s="542"/>
    </row>
    <row r="446" spans="1:9" ht="12" customHeight="1">
      <c r="A446" s="515"/>
      <c r="B446" s="516" t="s">
        <v>384</v>
      </c>
      <c r="C446" s="517">
        <f>SUM(C447:C448)</f>
        <v>41600</v>
      </c>
      <c r="D446" s="518">
        <f>SUM(D447:D448)</f>
        <v>41600</v>
      </c>
      <c r="E446" s="519"/>
      <c r="F446" s="541"/>
      <c r="G446" s="519"/>
      <c r="H446" s="541">
        <f>SUM(H447:H448)</f>
        <v>41600</v>
      </c>
      <c r="I446" s="542"/>
    </row>
    <row r="447" spans="1:9" s="531" customFormat="1" ht="13.5" customHeight="1">
      <c r="A447" s="523"/>
      <c r="B447" s="524" t="s">
        <v>397</v>
      </c>
      <c r="C447" s="525">
        <f>SUM(D447:E447)</f>
        <v>41600</v>
      </c>
      <c r="D447" s="526">
        <f>F447+H447</f>
        <v>41600</v>
      </c>
      <c r="E447" s="527"/>
      <c r="F447" s="545"/>
      <c r="G447" s="527"/>
      <c r="H447" s="545">
        <v>41600</v>
      </c>
      <c r="I447" s="549"/>
    </row>
    <row r="448" spans="1:9" s="531" customFormat="1" ht="12" customHeight="1" hidden="1">
      <c r="A448" s="657"/>
      <c r="B448" s="574" t="s">
        <v>385</v>
      </c>
      <c r="C448" s="642">
        <f>SUM(D448:E448)</f>
        <v>0</v>
      </c>
      <c r="D448" s="643">
        <f>F448+H448</f>
        <v>0</v>
      </c>
      <c r="E448" s="644"/>
      <c r="F448" s="645"/>
      <c r="G448" s="644"/>
      <c r="H448" s="645"/>
      <c r="I448" s="653"/>
    </row>
    <row r="449" spans="1:9" ht="13.5" customHeight="1" hidden="1">
      <c r="A449" s="571">
        <v>80145</v>
      </c>
      <c r="B449" s="695" t="s">
        <v>468</v>
      </c>
      <c r="C449" s="546">
        <f>SUM(C450)</f>
        <v>0</v>
      </c>
      <c r="D449" s="447">
        <f>SUM(D450)</f>
        <v>0</v>
      </c>
      <c r="E449" s="547"/>
      <c r="F449" s="548">
        <f>SUM(F450)</f>
        <v>0</v>
      </c>
      <c r="G449" s="547"/>
      <c r="H449" s="548">
        <f>SUM(H450)</f>
        <v>0</v>
      </c>
      <c r="I449" s="449"/>
    </row>
    <row r="450" spans="1:9" ht="12.75" hidden="1">
      <c r="A450" s="704"/>
      <c r="B450" s="705" t="s">
        <v>388</v>
      </c>
      <c r="C450" s="672">
        <f>SUM(C451)</f>
        <v>0</v>
      </c>
      <c r="D450" s="706">
        <f>SUM(D451)</f>
        <v>0</v>
      </c>
      <c r="E450" s="814"/>
      <c r="F450" s="708">
        <f>SUM(F451)</f>
        <v>0</v>
      </c>
      <c r="G450" s="709"/>
      <c r="H450" s="708">
        <f>SUM(H451)</f>
        <v>0</v>
      </c>
      <c r="I450" s="745"/>
    </row>
    <row r="451" spans="1:9" ht="12" hidden="1">
      <c r="A451" s="515"/>
      <c r="B451" s="544" t="s">
        <v>389</v>
      </c>
      <c r="C451" s="525">
        <f>SUM(D451:E451)</f>
        <v>0</v>
      </c>
      <c r="D451" s="526">
        <f>F451+H451</f>
        <v>0</v>
      </c>
      <c r="E451" s="527"/>
      <c r="F451" s="545">
        <v>0</v>
      </c>
      <c r="G451" s="519"/>
      <c r="H451" s="545">
        <v>0</v>
      </c>
      <c r="I451" s="542"/>
    </row>
    <row r="452" spans="1:9" ht="36" customHeight="1">
      <c r="A452" s="571">
        <v>80146</v>
      </c>
      <c r="B452" s="695" t="s">
        <v>469</v>
      </c>
      <c r="C452" s="546">
        <f>SUM(C453)</f>
        <v>589038</v>
      </c>
      <c r="D452" s="447">
        <f>SUM(D453)</f>
        <v>589038</v>
      </c>
      <c r="E452" s="547"/>
      <c r="F452" s="548">
        <f>SUM(F453)</f>
        <v>302482</v>
      </c>
      <c r="G452" s="547"/>
      <c r="H452" s="548">
        <f>SUM(H453)</f>
        <v>286556</v>
      </c>
      <c r="I452" s="449"/>
    </row>
    <row r="453" spans="1:9" ht="12.75">
      <c r="A453" s="704"/>
      <c r="B453" s="705" t="s">
        <v>388</v>
      </c>
      <c r="C453" s="672">
        <f>SUM(C454:C457)</f>
        <v>589038</v>
      </c>
      <c r="D453" s="706">
        <f>SUM(D454:D457)</f>
        <v>589038</v>
      </c>
      <c r="E453" s="707"/>
      <c r="F453" s="708">
        <f>SUM(F454:F457)</f>
        <v>302482</v>
      </c>
      <c r="G453" s="709"/>
      <c r="H453" s="708">
        <f>SUM(H454:H457)</f>
        <v>286556</v>
      </c>
      <c r="I453" s="745"/>
    </row>
    <row r="454" spans="1:9" ht="12">
      <c r="A454" s="515"/>
      <c r="B454" s="524" t="s">
        <v>413</v>
      </c>
      <c r="C454" s="525">
        <f>SUM(D454:E454)</f>
        <v>172391</v>
      </c>
      <c r="D454" s="526">
        <f>F454+H454</f>
        <v>172391</v>
      </c>
      <c r="E454" s="527"/>
      <c r="F454" s="545">
        <v>68430</v>
      </c>
      <c r="G454" s="519"/>
      <c r="H454" s="545">
        <v>103961</v>
      </c>
      <c r="I454" s="542"/>
    </row>
    <row r="455" spans="1:9" ht="12">
      <c r="A455" s="515"/>
      <c r="B455" s="524" t="s">
        <v>414</v>
      </c>
      <c r="C455" s="525"/>
      <c r="D455" s="526"/>
      <c r="E455" s="527"/>
      <c r="F455" s="545"/>
      <c r="G455" s="519"/>
      <c r="H455" s="545"/>
      <c r="I455" s="542"/>
    </row>
    <row r="456" spans="1:9" ht="12" hidden="1">
      <c r="A456" s="515"/>
      <c r="B456" s="815" t="s">
        <v>400</v>
      </c>
      <c r="C456" s="525">
        <f>SUM(D456:E456)</f>
        <v>0</v>
      </c>
      <c r="D456" s="526">
        <f>F456+H456</f>
        <v>0</v>
      </c>
      <c r="E456" s="527"/>
      <c r="F456" s="545"/>
      <c r="G456" s="519"/>
      <c r="H456" s="545"/>
      <c r="I456" s="542"/>
    </row>
    <row r="457" spans="1:9" ht="12">
      <c r="A457" s="515"/>
      <c r="B457" s="544" t="s">
        <v>389</v>
      </c>
      <c r="C457" s="525">
        <f>SUM(D457:E457)</f>
        <v>416647</v>
      </c>
      <c r="D457" s="526">
        <f>F457+H457</f>
        <v>416647</v>
      </c>
      <c r="E457" s="527"/>
      <c r="F457" s="545">
        <v>234052</v>
      </c>
      <c r="G457" s="519"/>
      <c r="H457" s="545">
        <v>182595</v>
      </c>
      <c r="I457" s="542"/>
    </row>
    <row r="458" spans="1:9" ht="15" customHeight="1">
      <c r="A458" s="571">
        <v>80195</v>
      </c>
      <c r="B458" s="695" t="s">
        <v>395</v>
      </c>
      <c r="C458" s="546">
        <f aca="true" t="shared" si="18" ref="C458:H458">SUM(C459)+C465</f>
        <v>12206594</v>
      </c>
      <c r="D458" s="447">
        <f t="shared" si="18"/>
        <v>12206594</v>
      </c>
      <c r="E458" s="447"/>
      <c r="F458" s="777">
        <f t="shared" si="18"/>
        <v>5453768</v>
      </c>
      <c r="G458" s="547"/>
      <c r="H458" s="548">
        <f t="shared" si="18"/>
        <v>6752826</v>
      </c>
      <c r="I458" s="449"/>
    </row>
    <row r="459" spans="1:9" ht="12">
      <c r="A459" s="704"/>
      <c r="B459" s="705" t="s">
        <v>388</v>
      </c>
      <c r="C459" s="672">
        <f aca="true" t="shared" si="19" ref="C459:H459">SUM(C460:C463)</f>
        <v>5146294</v>
      </c>
      <c r="D459" s="706">
        <f t="shared" si="19"/>
        <v>5146294</v>
      </c>
      <c r="E459" s="706"/>
      <c r="F459" s="816">
        <f t="shared" si="19"/>
        <v>3151168</v>
      </c>
      <c r="G459" s="707"/>
      <c r="H459" s="770">
        <f t="shared" si="19"/>
        <v>1995126</v>
      </c>
      <c r="I459" s="817"/>
    </row>
    <row r="460" spans="1:9" ht="12">
      <c r="A460" s="515"/>
      <c r="B460" s="524" t="s">
        <v>413</v>
      </c>
      <c r="C460" s="525">
        <f>SUM(D460:E460)</f>
        <v>1767950</v>
      </c>
      <c r="D460" s="526">
        <f>F460+H460</f>
        <v>1767950</v>
      </c>
      <c r="E460" s="527"/>
      <c r="F460" s="545">
        <v>992340</v>
      </c>
      <c r="G460" s="519"/>
      <c r="H460" s="545">
        <v>775610</v>
      </c>
      <c r="I460" s="542"/>
    </row>
    <row r="461" spans="1:9" ht="10.5" customHeight="1">
      <c r="A461" s="515"/>
      <c r="B461" s="524" t="s">
        <v>414</v>
      </c>
      <c r="C461" s="525"/>
      <c r="D461" s="526"/>
      <c r="E461" s="527"/>
      <c r="F461" s="545"/>
      <c r="G461" s="519"/>
      <c r="H461" s="545"/>
      <c r="I461" s="542"/>
    </row>
    <row r="462" spans="1:9" ht="12">
      <c r="A462" s="515"/>
      <c r="B462" s="544" t="s">
        <v>400</v>
      </c>
      <c r="C462" s="525">
        <f>SUM(D462:E462)</f>
        <v>54000</v>
      </c>
      <c r="D462" s="526">
        <f>F462+H462</f>
        <v>54000</v>
      </c>
      <c r="E462" s="527"/>
      <c r="F462" s="545">
        <v>54000</v>
      </c>
      <c r="G462" s="527"/>
      <c r="H462" s="545"/>
      <c r="I462" s="542"/>
    </row>
    <row r="463" spans="1:9" ht="12.75" customHeight="1">
      <c r="A463" s="515"/>
      <c r="B463" s="544" t="s">
        <v>389</v>
      </c>
      <c r="C463" s="525">
        <f>SUM(D463:E463)</f>
        <v>3324344</v>
      </c>
      <c r="D463" s="526">
        <f>F463+H463</f>
        <v>3324344</v>
      </c>
      <c r="E463" s="527"/>
      <c r="F463" s="545">
        <v>2104828</v>
      </c>
      <c r="G463" s="519"/>
      <c r="H463" s="545">
        <v>1219516</v>
      </c>
      <c r="I463" s="542"/>
    </row>
    <row r="464" spans="1:9" ht="12" customHeight="1">
      <c r="A464" s="515"/>
      <c r="B464" s="544" t="s">
        <v>416</v>
      </c>
      <c r="C464" s="525">
        <f>SUM(D464:E464)</f>
        <v>30000</v>
      </c>
      <c r="D464" s="526">
        <f>F464+H464</f>
        <v>30000</v>
      </c>
      <c r="E464" s="527"/>
      <c r="F464" s="545">
        <v>30000</v>
      </c>
      <c r="G464" s="519"/>
      <c r="H464" s="545"/>
      <c r="I464" s="542"/>
    </row>
    <row r="465" spans="1:9" ht="14.25" customHeight="1">
      <c r="A465" s="515"/>
      <c r="B465" s="516" t="s">
        <v>384</v>
      </c>
      <c r="C465" s="517">
        <f>SUM(C466:C467)</f>
        <v>7060300</v>
      </c>
      <c r="D465" s="518">
        <f>SUM(D466:D467)</f>
        <v>7060300</v>
      </c>
      <c r="E465" s="519"/>
      <c r="F465" s="541">
        <f>SUM(F466:F467)</f>
        <v>2302600</v>
      </c>
      <c r="G465" s="519"/>
      <c r="H465" s="541">
        <f>SUM(H466:H467)</f>
        <v>4757700</v>
      </c>
      <c r="I465" s="542"/>
    </row>
    <row r="466" spans="1:9" s="531" customFormat="1" ht="13.5" customHeight="1" thickBot="1">
      <c r="A466" s="523"/>
      <c r="B466" s="524" t="s">
        <v>397</v>
      </c>
      <c r="C466" s="525">
        <f>SUM(D466:E466)</f>
        <v>7060300</v>
      </c>
      <c r="D466" s="526">
        <f>F466+H466</f>
        <v>7060300</v>
      </c>
      <c r="E466" s="527"/>
      <c r="F466" s="545">
        <v>2302600</v>
      </c>
      <c r="G466" s="527"/>
      <c r="H466" s="545">
        <v>4757700</v>
      </c>
      <c r="I466" s="549"/>
    </row>
    <row r="467" spans="1:9" ht="15.75" customHeight="1" hidden="1">
      <c r="A467" s="515"/>
      <c r="B467" s="524" t="s">
        <v>385</v>
      </c>
      <c r="C467" s="525">
        <f>SUM(D467:E467)</f>
        <v>0</v>
      </c>
      <c r="D467" s="526">
        <f>F467+H467</f>
        <v>0</v>
      </c>
      <c r="E467" s="527"/>
      <c r="F467" s="545"/>
      <c r="G467" s="519"/>
      <c r="H467" s="545"/>
      <c r="I467" s="542"/>
    </row>
    <row r="468" spans="1:9" ht="26.25" customHeight="1" thickBot="1" thickTop="1">
      <c r="A468" s="740">
        <v>803</v>
      </c>
      <c r="B468" s="783" t="s">
        <v>470</v>
      </c>
      <c r="C468" s="818">
        <f>SUM(C469+C473)</f>
        <v>23000</v>
      </c>
      <c r="D468" s="819">
        <f>SUM(D469+D473)</f>
        <v>23000</v>
      </c>
      <c r="E468" s="820"/>
      <c r="F468" s="513">
        <f>SUM(F469+F473)</f>
        <v>23000</v>
      </c>
      <c r="G468" s="512"/>
      <c r="H468" s="513"/>
      <c r="I468" s="457"/>
    </row>
    <row r="469" spans="1:9" ht="25.5" customHeight="1" thickTop="1">
      <c r="A469" s="571">
        <v>80309</v>
      </c>
      <c r="B469" s="695" t="s">
        <v>471</v>
      </c>
      <c r="C469" s="546">
        <f>SUM(C470)</f>
        <v>18000</v>
      </c>
      <c r="D469" s="447">
        <f>SUM(D470)</f>
        <v>18000</v>
      </c>
      <c r="E469" s="547"/>
      <c r="F469" s="548">
        <f>SUM(F470)</f>
        <v>18000</v>
      </c>
      <c r="G469" s="547"/>
      <c r="H469" s="548"/>
      <c r="I469" s="449"/>
    </row>
    <row r="470" spans="1:9" ht="12.75">
      <c r="A470" s="515"/>
      <c r="B470" s="540" t="s">
        <v>388</v>
      </c>
      <c r="C470" s="517">
        <f>SUM(C471:C472)</f>
        <v>18000</v>
      </c>
      <c r="D470" s="518">
        <f>F470+H470</f>
        <v>18000</v>
      </c>
      <c r="E470" s="519"/>
      <c r="F470" s="520">
        <f>SUM(F471:F472)</f>
        <v>18000</v>
      </c>
      <c r="G470" s="521"/>
      <c r="H470" s="520"/>
      <c r="I470" s="522"/>
    </row>
    <row r="471" spans="1:9" ht="12" customHeight="1">
      <c r="A471" s="515"/>
      <c r="B471" s="544" t="s">
        <v>400</v>
      </c>
      <c r="C471" s="525">
        <f>SUM(D471:E471)</f>
        <v>18000</v>
      </c>
      <c r="D471" s="526">
        <f>F471+H471</f>
        <v>18000</v>
      </c>
      <c r="E471" s="527"/>
      <c r="F471" s="545">
        <v>18000</v>
      </c>
      <c r="G471" s="521"/>
      <c r="H471" s="520"/>
      <c r="I471" s="522"/>
    </row>
    <row r="472" spans="1:9" ht="13.5" customHeight="1" hidden="1">
      <c r="A472" s="641"/>
      <c r="B472" s="658" t="s">
        <v>389</v>
      </c>
      <c r="C472" s="642">
        <f>SUM(D472:E472)</f>
        <v>0</v>
      </c>
      <c r="D472" s="643">
        <f>F472+H472</f>
        <v>0</v>
      </c>
      <c r="E472" s="644"/>
      <c r="F472" s="645">
        <v>0</v>
      </c>
      <c r="G472" s="714"/>
      <c r="H472" s="645"/>
      <c r="I472" s="797"/>
    </row>
    <row r="473" spans="1:9" ht="12">
      <c r="A473" s="571">
        <v>80395</v>
      </c>
      <c r="B473" s="695" t="s">
        <v>395</v>
      </c>
      <c r="C473" s="546">
        <f>SUM(D473:E473)</f>
        <v>5000</v>
      </c>
      <c r="D473" s="447">
        <f>D474+D477</f>
        <v>5000</v>
      </c>
      <c r="E473" s="547"/>
      <c r="F473" s="548">
        <f>F474+F477</f>
        <v>5000</v>
      </c>
      <c r="G473" s="547"/>
      <c r="H473" s="548"/>
      <c r="I473" s="449"/>
    </row>
    <row r="474" spans="1:9" ht="12.75">
      <c r="A474" s="515"/>
      <c r="B474" s="540" t="s">
        <v>388</v>
      </c>
      <c r="C474" s="517">
        <f>SUM(C475:C476)</f>
        <v>5000</v>
      </c>
      <c r="D474" s="518">
        <f>F474+H474</f>
        <v>5000</v>
      </c>
      <c r="E474" s="519"/>
      <c r="F474" s="520">
        <f>SUM(F475:F476)</f>
        <v>5000</v>
      </c>
      <c r="G474" s="521"/>
      <c r="H474" s="520"/>
      <c r="I474" s="522"/>
    </row>
    <row r="475" spans="1:9" ht="12.75" customHeight="1" hidden="1">
      <c r="A475" s="515"/>
      <c r="B475" s="544" t="s">
        <v>400</v>
      </c>
      <c r="C475" s="525">
        <f>SUM(D475:E475)</f>
        <v>0</v>
      </c>
      <c r="D475" s="526">
        <f>F475+H475</f>
        <v>0</v>
      </c>
      <c r="E475" s="527"/>
      <c r="F475" s="545"/>
      <c r="G475" s="519"/>
      <c r="H475" s="545"/>
      <c r="I475" s="542"/>
    </row>
    <row r="476" spans="1:9" ht="10.5" customHeight="1">
      <c r="A476" s="641"/>
      <c r="B476" s="658" t="s">
        <v>389</v>
      </c>
      <c r="C476" s="642">
        <f>SUM(D476:E476)</f>
        <v>5000</v>
      </c>
      <c r="D476" s="643">
        <f>F476+H476</f>
        <v>5000</v>
      </c>
      <c r="E476" s="644"/>
      <c r="F476" s="645">
        <v>5000</v>
      </c>
      <c r="G476" s="714"/>
      <c r="H476" s="645"/>
      <c r="I476" s="797"/>
    </row>
    <row r="477" spans="1:9" s="632" customFormat="1" ht="15" customHeight="1" hidden="1">
      <c r="A477" s="558"/>
      <c r="B477" s="821" t="s">
        <v>384</v>
      </c>
      <c r="C477" s="772">
        <f>C478</f>
        <v>0</v>
      </c>
      <c r="D477" s="822">
        <f>D478</f>
        <v>0</v>
      </c>
      <c r="E477" s="823"/>
      <c r="F477" s="564">
        <f>F478</f>
        <v>0</v>
      </c>
      <c r="G477" s="824"/>
      <c r="H477" s="825"/>
      <c r="I477" s="565"/>
    </row>
    <row r="478" spans="1:9" ht="12.75" customHeight="1" hidden="1">
      <c r="A478" s="515"/>
      <c r="B478" s="524" t="s">
        <v>397</v>
      </c>
      <c r="C478" s="525">
        <f>SUM(D478:E478)</f>
        <v>0</v>
      </c>
      <c r="D478" s="572">
        <f>F478</f>
        <v>0</v>
      </c>
      <c r="E478" s="527"/>
      <c r="F478" s="545">
        <v>0</v>
      </c>
      <c r="G478" s="826"/>
      <c r="H478" s="573"/>
      <c r="I478" s="542"/>
    </row>
    <row r="479" spans="1:9" s="632" customFormat="1" ht="12" customHeight="1" hidden="1">
      <c r="A479" s="558"/>
      <c r="B479" s="827" t="s">
        <v>401</v>
      </c>
      <c r="C479" s="772">
        <f>SUM(D479:E479)</f>
        <v>0</v>
      </c>
      <c r="D479" s="822">
        <f>F479</f>
        <v>0</v>
      </c>
      <c r="E479" s="823"/>
      <c r="F479" s="564">
        <v>0</v>
      </c>
      <c r="G479" s="824"/>
      <c r="H479" s="825"/>
      <c r="I479" s="565"/>
    </row>
    <row r="480" spans="1:9" s="514" customFormat="1" ht="17.25" customHeight="1" thickBot="1">
      <c r="A480" s="756">
        <v>851</v>
      </c>
      <c r="B480" s="828" t="s">
        <v>276</v>
      </c>
      <c r="C480" s="758">
        <f>SUM(C504+C510+C531+C493+C525+C490)</f>
        <v>3279600</v>
      </c>
      <c r="D480" s="829">
        <f>SUM(D504+D510+D531+D493+D490)</f>
        <v>3264600</v>
      </c>
      <c r="E480" s="760">
        <f>SUM(E504+E510+E531+E493+E525+E490)</f>
        <v>15000</v>
      </c>
      <c r="F480" s="762">
        <f>SUM(F504+F510+F531+F493+F490)</f>
        <v>3264600</v>
      </c>
      <c r="G480" s="830"/>
      <c r="H480" s="761"/>
      <c r="I480" s="763">
        <f>SUM(I504+I510+I519+I531+I525+I493+I497+I523)</f>
        <v>15000</v>
      </c>
    </row>
    <row r="481" spans="1:9" s="514" customFormat="1" ht="13.5" thickTop="1">
      <c r="A481" s="576"/>
      <c r="B481" s="577" t="s">
        <v>388</v>
      </c>
      <c r="C481" s="578">
        <f>D481+E481</f>
        <v>3179600</v>
      </c>
      <c r="D481" s="458">
        <f>F481+H481</f>
        <v>3164600</v>
      </c>
      <c r="E481" s="580">
        <f>G481+I481</f>
        <v>15000</v>
      </c>
      <c r="F481" s="581">
        <f>F491+F494+F505+F511+F526+F532</f>
        <v>3164600</v>
      </c>
      <c r="G481" s="729"/>
      <c r="H481" s="583"/>
      <c r="I481" s="584">
        <f>I491+I494+I505+I511+I526+I532</f>
        <v>15000</v>
      </c>
    </row>
    <row r="482" spans="1:9" ht="12.75">
      <c r="A482" s="515"/>
      <c r="B482" s="524" t="s">
        <v>413</v>
      </c>
      <c r="C482" s="586">
        <f>SUM(D482:E482)</f>
        <v>60000</v>
      </c>
      <c r="D482" s="587">
        <f>F482+H482</f>
        <v>60000</v>
      </c>
      <c r="E482" s="529"/>
      <c r="F482" s="528">
        <f>F512</f>
        <v>60000</v>
      </c>
      <c r="G482" s="519"/>
      <c r="H482" s="545"/>
      <c r="I482" s="542"/>
    </row>
    <row r="483" spans="1:9" ht="10.5" customHeight="1">
      <c r="A483" s="515"/>
      <c r="B483" s="524" t="s">
        <v>414</v>
      </c>
      <c r="C483" s="586"/>
      <c r="D483" s="587"/>
      <c r="E483" s="529"/>
      <c r="F483" s="528"/>
      <c r="G483" s="519"/>
      <c r="H483" s="545"/>
      <c r="I483" s="542"/>
    </row>
    <row r="484" spans="1:9" s="676" customFormat="1" ht="12.75">
      <c r="A484" s="673"/>
      <c r="B484" s="544" t="s">
        <v>400</v>
      </c>
      <c r="C484" s="677">
        <f>D484+E484</f>
        <v>744000</v>
      </c>
      <c r="D484" s="698">
        <f>F484+H484</f>
        <v>744000</v>
      </c>
      <c r="E484" s="529"/>
      <c r="F484" s="588">
        <f>F492+F495+F506+F514+F533</f>
        <v>744000</v>
      </c>
      <c r="G484" s="831"/>
      <c r="H484" s="545"/>
      <c r="I484" s="549"/>
    </row>
    <row r="485" spans="1:9" s="676" customFormat="1" ht="10.5" customHeight="1">
      <c r="A485" s="673"/>
      <c r="B485" s="804" t="s">
        <v>389</v>
      </c>
      <c r="C485" s="677">
        <f>D485+E485</f>
        <v>2375600</v>
      </c>
      <c r="D485" s="698">
        <f>F485+H485</f>
        <v>2360600</v>
      </c>
      <c r="E485" s="529">
        <f>G485+I485</f>
        <v>15000</v>
      </c>
      <c r="F485" s="588">
        <f>F496+F507+F515+F529+F534</f>
        <v>2360600</v>
      </c>
      <c r="G485" s="831"/>
      <c r="H485" s="545"/>
      <c r="I485" s="549">
        <f>I496+I507+I515+I529+I534</f>
        <v>15000</v>
      </c>
    </row>
    <row r="486" spans="1:9" s="676" customFormat="1" ht="10.5" customHeight="1">
      <c r="A486" s="673"/>
      <c r="B486" s="787" t="s">
        <v>416</v>
      </c>
      <c r="C486" s="677">
        <f>D486+E486</f>
        <v>130000</v>
      </c>
      <c r="D486" s="698">
        <f>F486+H486</f>
        <v>130000</v>
      </c>
      <c r="E486" s="529"/>
      <c r="F486" s="588">
        <f>F516</f>
        <v>130000</v>
      </c>
      <c r="G486" s="831"/>
      <c r="H486" s="545"/>
      <c r="I486" s="549"/>
    </row>
    <row r="487" spans="1:9" s="514" customFormat="1" ht="12.75" customHeight="1">
      <c r="A487" s="576"/>
      <c r="B487" s="832" t="s">
        <v>384</v>
      </c>
      <c r="C487" s="578">
        <f>D487+E487</f>
        <v>100000</v>
      </c>
      <c r="D487" s="458">
        <f>F487+H487</f>
        <v>100000</v>
      </c>
      <c r="E487" s="580"/>
      <c r="F487" s="581">
        <f>F523+F535+F517+F508</f>
        <v>100000</v>
      </c>
      <c r="G487" s="733"/>
      <c r="H487" s="596"/>
      <c r="I487" s="597"/>
    </row>
    <row r="488" spans="1:9" s="676" customFormat="1" ht="16.5" customHeight="1" thickBot="1">
      <c r="A488" s="673"/>
      <c r="B488" s="544" t="s">
        <v>397</v>
      </c>
      <c r="C488" s="586">
        <f>D488+E488</f>
        <v>100000</v>
      </c>
      <c r="D488" s="698">
        <f>F488+H488</f>
        <v>100000</v>
      </c>
      <c r="E488" s="529"/>
      <c r="F488" s="528">
        <f>F524+F536+F518</f>
        <v>100000</v>
      </c>
      <c r="G488" s="831"/>
      <c r="H488" s="545"/>
      <c r="I488" s="549"/>
    </row>
    <row r="489" spans="1:9" s="676" customFormat="1" ht="16.5" customHeight="1" hidden="1">
      <c r="A489" s="791"/>
      <c r="B489" s="574" t="s">
        <v>385</v>
      </c>
      <c r="C489" s="734">
        <f>C509</f>
        <v>0</v>
      </c>
      <c r="D489" s="833">
        <f>D509</f>
        <v>0</v>
      </c>
      <c r="E489" s="659"/>
      <c r="F489" s="660">
        <f>F509</f>
        <v>0</v>
      </c>
      <c r="G489" s="834"/>
      <c r="H489" s="645"/>
      <c r="I489" s="653"/>
    </row>
    <row r="490" spans="1:9" ht="10.5" customHeight="1" hidden="1">
      <c r="A490" s="620">
        <v>85111</v>
      </c>
      <c r="B490" s="689" t="s">
        <v>472</v>
      </c>
      <c r="C490" s="690">
        <f>SUM(C491)</f>
        <v>0</v>
      </c>
      <c r="D490" s="691">
        <f>SUM(D491)</f>
        <v>0</v>
      </c>
      <c r="E490" s="692"/>
      <c r="F490" s="693">
        <f>SUM(F491)</f>
        <v>0</v>
      </c>
      <c r="G490" s="692"/>
      <c r="H490" s="693"/>
      <c r="I490" s="694"/>
    </row>
    <row r="491" spans="1:9" ht="13.5" customHeight="1" hidden="1">
      <c r="A491" s="515"/>
      <c r="B491" s="540" t="s">
        <v>388</v>
      </c>
      <c r="C491" s="517">
        <f>SUM(C492)</f>
        <v>0</v>
      </c>
      <c r="D491" s="518">
        <f>F491+H491</f>
        <v>0</v>
      </c>
      <c r="E491" s="519"/>
      <c r="F491" s="520">
        <f>SUM(F492)</f>
        <v>0</v>
      </c>
      <c r="G491" s="521"/>
      <c r="H491" s="520"/>
      <c r="I491" s="522"/>
    </row>
    <row r="492" spans="1:9" ht="12.75" customHeight="1" hidden="1">
      <c r="A492" s="515"/>
      <c r="B492" s="544" t="s">
        <v>400</v>
      </c>
      <c r="C492" s="525">
        <f>SUM(D492:E492)</f>
        <v>0</v>
      </c>
      <c r="D492" s="526">
        <f>F492+H492</f>
        <v>0</v>
      </c>
      <c r="E492" s="527"/>
      <c r="F492" s="545">
        <v>0</v>
      </c>
      <c r="G492" s="519"/>
      <c r="H492" s="545"/>
      <c r="I492" s="542"/>
    </row>
    <row r="493" spans="1:9" s="539" customFormat="1" ht="25.5" customHeight="1" thickTop="1">
      <c r="A493" s="835">
        <v>85149</v>
      </c>
      <c r="B493" s="836" t="s">
        <v>473</v>
      </c>
      <c r="C493" s="837">
        <f>SUM(C494)</f>
        <v>665000</v>
      </c>
      <c r="D493" s="838">
        <f>SUM(D494)</f>
        <v>665000</v>
      </c>
      <c r="E493" s="839"/>
      <c r="F493" s="840">
        <f>SUM(F494)</f>
        <v>665000</v>
      </c>
      <c r="G493" s="839"/>
      <c r="H493" s="840"/>
      <c r="I493" s="841"/>
    </row>
    <row r="494" spans="1:9" ht="12" customHeight="1">
      <c r="A494" s="515"/>
      <c r="B494" s="540" t="s">
        <v>388</v>
      </c>
      <c r="C494" s="517">
        <f>SUM(C495:C496)</f>
        <v>665000</v>
      </c>
      <c r="D494" s="518">
        <f>SUM(D495:D496)</f>
        <v>665000</v>
      </c>
      <c r="E494" s="519"/>
      <c r="F494" s="520">
        <f>SUM(F495:F496)</f>
        <v>665000</v>
      </c>
      <c r="G494" s="521"/>
      <c r="H494" s="520"/>
      <c r="I494" s="522"/>
    </row>
    <row r="495" spans="1:9" ht="9.75" customHeight="1" hidden="1">
      <c r="A495" s="515"/>
      <c r="B495" s="544" t="s">
        <v>400</v>
      </c>
      <c r="C495" s="525">
        <f>SUM(D495:E495)</f>
        <v>0</v>
      </c>
      <c r="D495" s="526">
        <f>F495+H495</f>
        <v>0</v>
      </c>
      <c r="E495" s="527"/>
      <c r="F495" s="545"/>
      <c r="G495" s="519"/>
      <c r="H495" s="545"/>
      <c r="I495" s="542"/>
    </row>
    <row r="496" spans="1:9" ht="12" customHeight="1">
      <c r="A496" s="641"/>
      <c r="B496" s="658" t="s">
        <v>389</v>
      </c>
      <c r="C496" s="642">
        <f>SUM(D496:E496)</f>
        <v>665000</v>
      </c>
      <c r="D496" s="643">
        <f>F496+H496</f>
        <v>665000</v>
      </c>
      <c r="E496" s="644"/>
      <c r="F496" s="645">
        <v>665000</v>
      </c>
      <c r="G496" s="714"/>
      <c r="H496" s="645"/>
      <c r="I496" s="797"/>
    </row>
    <row r="497" spans="1:9" ht="12" hidden="1">
      <c r="A497" s="571">
        <v>85132</v>
      </c>
      <c r="B497" s="695" t="s">
        <v>474</v>
      </c>
      <c r="C497" s="546">
        <f>SUM(C498+C502)</f>
        <v>0</v>
      </c>
      <c r="D497" s="447"/>
      <c r="E497" s="547">
        <f>SUM(E498+E502)</f>
        <v>0</v>
      </c>
      <c r="F497" s="548"/>
      <c r="G497" s="547"/>
      <c r="H497" s="548"/>
      <c r="I497" s="449">
        <f>SUM(I498+I502)</f>
        <v>0</v>
      </c>
    </row>
    <row r="498" spans="1:9" ht="12.75" hidden="1">
      <c r="A498" s="515"/>
      <c r="B498" s="540" t="s">
        <v>388</v>
      </c>
      <c r="C498" s="677">
        <f>SUM(C499:C501)</f>
        <v>0</v>
      </c>
      <c r="D498" s="678"/>
      <c r="E498" s="521">
        <f>SUM(E499:E501)</f>
        <v>0</v>
      </c>
      <c r="F498" s="520"/>
      <c r="G498" s="521"/>
      <c r="H498" s="520"/>
      <c r="I498" s="522">
        <f>SUM(I499:I501)</f>
        <v>0</v>
      </c>
    </row>
    <row r="499" spans="1:9" s="531" customFormat="1" ht="12.75" hidden="1">
      <c r="A499" s="523"/>
      <c r="B499" s="524" t="s">
        <v>413</v>
      </c>
      <c r="C499" s="525">
        <f>SUM(D499:E499)</f>
        <v>0</v>
      </c>
      <c r="D499" s="526"/>
      <c r="E499" s="527">
        <f>G499+I499</f>
        <v>0</v>
      </c>
      <c r="F499" s="528"/>
      <c r="G499" s="529"/>
      <c r="H499" s="528"/>
      <c r="I499" s="530">
        <v>0</v>
      </c>
    </row>
    <row r="500" spans="1:9" s="531" customFormat="1" ht="12.75" hidden="1">
      <c r="A500" s="523"/>
      <c r="B500" s="524" t="s">
        <v>414</v>
      </c>
      <c r="C500" s="525"/>
      <c r="D500" s="526"/>
      <c r="E500" s="527"/>
      <c r="F500" s="528"/>
      <c r="G500" s="529"/>
      <c r="H500" s="528"/>
      <c r="I500" s="530"/>
    </row>
    <row r="501" spans="1:9" ht="12.75" hidden="1">
      <c r="A501" s="515"/>
      <c r="B501" s="544" t="s">
        <v>389</v>
      </c>
      <c r="C501" s="525">
        <f>SUM(D501:E501)</f>
        <v>0</v>
      </c>
      <c r="D501" s="526"/>
      <c r="E501" s="527">
        <f>G501+I501</f>
        <v>0</v>
      </c>
      <c r="F501" s="528"/>
      <c r="G501" s="521"/>
      <c r="H501" s="528"/>
      <c r="I501" s="530">
        <v>0</v>
      </c>
    </row>
    <row r="502" spans="1:9" ht="12.75" hidden="1">
      <c r="A502" s="515"/>
      <c r="B502" s="516" t="s">
        <v>451</v>
      </c>
      <c r="C502" s="517">
        <f>SUM(C503)</f>
        <v>0</v>
      </c>
      <c r="D502" s="518"/>
      <c r="E502" s="519">
        <f>G502+I502</f>
        <v>0</v>
      </c>
      <c r="F502" s="520"/>
      <c r="G502" s="521"/>
      <c r="H502" s="520"/>
      <c r="I502" s="522">
        <f>SUM(I503)</f>
        <v>0</v>
      </c>
    </row>
    <row r="503" spans="1:9" s="531" customFormat="1" ht="12.75" hidden="1">
      <c r="A503" s="523"/>
      <c r="B503" s="524" t="s">
        <v>397</v>
      </c>
      <c r="C503" s="525">
        <f>SUM(D503:E503)</f>
        <v>0</v>
      </c>
      <c r="D503" s="526"/>
      <c r="E503" s="527">
        <f>G503+I503</f>
        <v>0</v>
      </c>
      <c r="F503" s="528"/>
      <c r="G503" s="529"/>
      <c r="H503" s="528"/>
      <c r="I503" s="530">
        <v>0</v>
      </c>
    </row>
    <row r="504" spans="1:9" s="539" customFormat="1" ht="15" customHeight="1">
      <c r="A504" s="571">
        <v>85153</v>
      </c>
      <c r="B504" s="695" t="s">
        <v>475</v>
      </c>
      <c r="C504" s="546">
        <f>C505+C508</f>
        <v>150000</v>
      </c>
      <c r="D504" s="447">
        <f>D505+D508</f>
        <v>150000</v>
      </c>
      <c r="E504" s="547"/>
      <c r="F504" s="801">
        <f>F505+F508</f>
        <v>150000</v>
      </c>
      <c r="G504" s="800"/>
      <c r="H504" s="801"/>
      <c r="I504" s="802"/>
    </row>
    <row r="505" spans="1:9" ht="13.5" customHeight="1">
      <c r="A505" s="515"/>
      <c r="B505" s="540" t="s">
        <v>388</v>
      </c>
      <c r="C505" s="677">
        <f>SUM(C506:C507)</f>
        <v>150000</v>
      </c>
      <c r="D505" s="678">
        <f>SUM(D506:D507)</f>
        <v>150000</v>
      </c>
      <c r="E505" s="521"/>
      <c r="F505" s="520">
        <f>SUM(F506:F507)</f>
        <v>150000</v>
      </c>
      <c r="G505" s="521"/>
      <c r="H505" s="520"/>
      <c r="I505" s="522"/>
    </row>
    <row r="506" spans="1:9" s="531" customFormat="1" ht="14.25" customHeight="1">
      <c r="A506" s="523"/>
      <c r="B506" s="544" t="s">
        <v>400</v>
      </c>
      <c r="C506" s="525">
        <f>SUM(D506:E506)</f>
        <v>100000</v>
      </c>
      <c r="D506" s="526">
        <f>F506+H506</f>
        <v>100000</v>
      </c>
      <c r="E506" s="527"/>
      <c r="F506" s="545">
        <v>100000</v>
      </c>
      <c r="G506" s="527"/>
      <c r="H506" s="545"/>
      <c r="I506" s="549"/>
    </row>
    <row r="507" spans="1:9" ht="12.75" customHeight="1">
      <c r="A507" s="515"/>
      <c r="B507" s="544" t="s">
        <v>389</v>
      </c>
      <c r="C507" s="525">
        <f>SUM(D507:E507)</f>
        <v>50000</v>
      </c>
      <c r="D507" s="526">
        <f>F507+H507</f>
        <v>50000</v>
      </c>
      <c r="E507" s="527"/>
      <c r="F507" s="545">
        <v>50000</v>
      </c>
      <c r="G507" s="519"/>
      <c r="H507" s="545"/>
      <c r="I507" s="542"/>
    </row>
    <row r="508" spans="1:9" ht="12.75" customHeight="1" hidden="1">
      <c r="A508" s="515"/>
      <c r="B508" s="516" t="s">
        <v>384</v>
      </c>
      <c r="C508" s="517">
        <f>C509</f>
        <v>0</v>
      </c>
      <c r="D508" s="518">
        <f>D509</f>
        <v>0</v>
      </c>
      <c r="E508" s="519"/>
      <c r="F508" s="541">
        <f>F509</f>
        <v>0</v>
      </c>
      <c r="G508" s="519"/>
      <c r="H508" s="541"/>
      <c r="I508" s="542"/>
    </row>
    <row r="509" spans="1:9" ht="12.75" customHeight="1" hidden="1">
      <c r="A509" s="641"/>
      <c r="B509" s="524" t="s">
        <v>385</v>
      </c>
      <c r="C509" s="525">
        <f>SUM(D509:E509)</f>
        <v>0</v>
      </c>
      <c r="D509" s="526">
        <f>F509+H509</f>
        <v>0</v>
      </c>
      <c r="E509" s="644"/>
      <c r="F509" s="645"/>
      <c r="G509" s="714"/>
      <c r="H509" s="645"/>
      <c r="I509" s="797"/>
    </row>
    <row r="510" spans="1:9" ht="25.5" customHeight="1">
      <c r="A510" s="571">
        <v>85154</v>
      </c>
      <c r="B510" s="695" t="s">
        <v>476</v>
      </c>
      <c r="C510" s="546">
        <f>C511+C517</f>
        <v>1783700</v>
      </c>
      <c r="D510" s="447">
        <f>D511+D517</f>
        <v>1783700</v>
      </c>
      <c r="E510" s="547"/>
      <c r="F510" s="548">
        <f>F511+F517</f>
        <v>1783700</v>
      </c>
      <c r="G510" s="547"/>
      <c r="H510" s="548"/>
      <c r="I510" s="449"/>
    </row>
    <row r="511" spans="1:9" ht="12" customHeight="1">
      <c r="A511" s="515"/>
      <c r="B511" s="540" t="s">
        <v>388</v>
      </c>
      <c r="C511" s="677">
        <f>SUM(C512:C515)</f>
        <v>1683700</v>
      </c>
      <c r="D511" s="678">
        <f>SUM(D512:D515)</f>
        <v>1683700</v>
      </c>
      <c r="E511" s="521"/>
      <c r="F511" s="520">
        <f>F512+F514+F515</f>
        <v>1683700</v>
      </c>
      <c r="G511" s="521"/>
      <c r="H511" s="520"/>
      <c r="I511" s="522"/>
    </row>
    <row r="512" spans="1:9" ht="12">
      <c r="A512" s="515"/>
      <c r="B512" s="524" t="s">
        <v>413</v>
      </c>
      <c r="C512" s="525">
        <f>SUM(D512:E512)</f>
        <v>60000</v>
      </c>
      <c r="D512" s="526">
        <f>F512+H512</f>
        <v>60000</v>
      </c>
      <c r="E512" s="527"/>
      <c r="F512" s="545">
        <v>60000</v>
      </c>
      <c r="G512" s="519"/>
      <c r="H512" s="545"/>
      <c r="I512" s="542"/>
    </row>
    <row r="513" spans="1:9" ht="12" customHeight="1">
      <c r="A513" s="515"/>
      <c r="B513" s="524" t="s">
        <v>414</v>
      </c>
      <c r="C513" s="525"/>
      <c r="D513" s="526"/>
      <c r="E513" s="527"/>
      <c r="F513" s="545"/>
      <c r="G513" s="519"/>
      <c r="H513" s="545"/>
      <c r="I513" s="542"/>
    </row>
    <row r="514" spans="1:9" s="531" customFormat="1" ht="11.25" customHeight="1">
      <c r="A514" s="523"/>
      <c r="B514" s="544" t="s">
        <v>400</v>
      </c>
      <c r="C514" s="525">
        <f>SUM(D514:E514)</f>
        <v>500000</v>
      </c>
      <c r="D514" s="526">
        <f>F514+H514</f>
        <v>500000</v>
      </c>
      <c r="E514" s="527"/>
      <c r="F514" s="545">
        <v>500000</v>
      </c>
      <c r="G514" s="527"/>
      <c r="H514" s="545"/>
      <c r="I514" s="549"/>
    </row>
    <row r="515" spans="1:9" ht="14.25" customHeight="1">
      <c r="A515" s="515"/>
      <c r="B515" s="544" t="s">
        <v>389</v>
      </c>
      <c r="C515" s="525">
        <f>SUM(D515:E515)</f>
        <v>1123700</v>
      </c>
      <c r="D515" s="526">
        <f>F515+H515</f>
        <v>1123700</v>
      </c>
      <c r="E515" s="527"/>
      <c r="F515" s="545">
        <f>1190000-66300</f>
        <v>1123700</v>
      </c>
      <c r="G515" s="519"/>
      <c r="H515" s="545"/>
      <c r="I515" s="542"/>
    </row>
    <row r="516" spans="1:9" ht="12.75" customHeight="1">
      <c r="A516" s="515"/>
      <c r="B516" s="787" t="s">
        <v>416</v>
      </c>
      <c r="C516" s="525">
        <f>SUM(D516:E516)</f>
        <v>130000</v>
      </c>
      <c r="D516" s="526">
        <f>F516+H516</f>
        <v>130000</v>
      </c>
      <c r="E516" s="527"/>
      <c r="F516" s="545">
        <v>130000</v>
      </c>
      <c r="G516" s="519"/>
      <c r="H516" s="545"/>
      <c r="I516" s="542"/>
    </row>
    <row r="517" spans="1:9" ht="11.25" customHeight="1">
      <c r="A517" s="515"/>
      <c r="B517" s="842" t="s">
        <v>384</v>
      </c>
      <c r="C517" s="525">
        <f>C518</f>
        <v>100000</v>
      </c>
      <c r="D517" s="526">
        <f>D518</f>
        <v>100000</v>
      </c>
      <c r="E517" s="527"/>
      <c r="F517" s="545">
        <f>F518</f>
        <v>100000</v>
      </c>
      <c r="G517" s="519"/>
      <c r="H517" s="545"/>
      <c r="I517" s="542"/>
    </row>
    <row r="518" spans="1:9" ht="12" customHeight="1">
      <c r="A518" s="515"/>
      <c r="B518" s="658" t="s">
        <v>397</v>
      </c>
      <c r="C518" s="525">
        <f>SUM(D518:E518)</f>
        <v>100000</v>
      </c>
      <c r="D518" s="526">
        <f>F518+H518</f>
        <v>100000</v>
      </c>
      <c r="E518" s="527"/>
      <c r="F518" s="545">
        <v>100000</v>
      </c>
      <c r="G518" s="519"/>
      <c r="H518" s="545"/>
      <c r="I518" s="542"/>
    </row>
    <row r="519" spans="1:9" ht="11.25" customHeight="1" hidden="1">
      <c r="A519" s="620">
        <v>85149</v>
      </c>
      <c r="B519" s="689" t="s">
        <v>473</v>
      </c>
      <c r="C519" s="690">
        <f>SUM(C520)</f>
        <v>0</v>
      </c>
      <c r="D519" s="691">
        <f>SUM(D520)</f>
        <v>0</v>
      </c>
      <c r="E519" s="692"/>
      <c r="F519" s="693">
        <f>SUM(F520)</f>
        <v>0</v>
      </c>
      <c r="G519" s="624"/>
      <c r="H519" s="625"/>
      <c r="I519" s="626"/>
    </row>
    <row r="520" spans="1:9" ht="13.5" customHeight="1" hidden="1">
      <c r="A520" s="807"/>
      <c r="B520" s="808" t="s">
        <v>388</v>
      </c>
      <c r="C520" s="843">
        <f>SUM(C521:C522)</f>
        <v>0</v>
      </c>
      <c r="D520" s="844">
        <f>SUM(D521:D522)</f>
        <v>0</v>
      </c>
      <c r="E520" s="845"/>
      <c r="F520" s="811">
        <f>SUM(F521:F522)</f>
        <v>0</v>
      </c>
      <c r="G520" s="845"/>
      <c r="H520" s="811"/>
      <c r="I520" s="846"/>
    </row>
    <row r="521" spans="1:9" s="531" customFormat="1" ht="13.5" customHeight="1" hidden="1">
      <c r="A521" s="523"/>
      <c r="B521" s="544" t="s">
        <v>400</v>
      </c>
      <c r="C521" s="525">
        <f>SUM(D521:E521)</f>
        <v>0</v>
      </c>
      <c r="D521" s="526">
        <f>F521+H521</f>
        <v>0</v>
      </c>
      <c r="E521" s="527"/>
      <c r="F521" s="528"/>
      <c r="G521" s="529"/>
      <c r="H521" s="528"/>
      <c r="I521" s="530"/>
    </row>
    <row r="522" spans="1:9" ht="15" customHeight="1" hidden="1">
      <c r="A522" s="515"/>
      <c r="B522" s="544" t="s">
        <v>389</v>
      </c>
      <c r="C522" s="525">
        <f>SUM(D522:E522)</f>
        <v>0</v>
      </c>
      <c r="D522" s="526">
        <f>F522+H522</f>
        <v>0</v>
      </c>
      <c r="E522" s="527"/>
      <c r="F522" s="528"/>
      <c r="G522" s="521"/>
      <c r="H522" s="528"/>
      <c r="I522" s="522"/>
    </row>
    <row r="523" spans="1:9" s="539" customFormat="1" ht="12" customHeight="1" hidden="1">
      <c r="A523" s="515"/>
      <c r="B523" s="842" t="s">
        <v>384</v>
      </c>
      <c r="C523" s="517">
        <f>SUM(C524)</f>
        <v>0</v>
      </c>
      <c r="D523" s="518">
        <f>D524</f>
        <v>0</v>
      </c>
      <c r="E523" s="519"/>
      <c r="F523" s="541">
        <f>F524</f>
        <v>0</v>
      </c>
      <c r="G523" s="519"/>
      <c r="H523" s="541"/>
      <c r="I523" s="542"/>
    </row>
    <row r="524" spans="1:9" ht="12" customHeight="1" hidden="1">
      <c r="A524" s="641"/>
      <c r="B524" s="658" t="s">
        <v>397</v>
      </c>
      <c r="C524" s="642">
        <f>SUM(D524:E524)</f>
        <v>0</v>
      </c>
      <c r="D524" s="643">
        <f>F524</f>
        <v>0</v>
      </c>
      <c r="E524" s="644"/>
      <c r="F524" s="645"/>
      <c r="G524" s="646"/>
      <c r="H524" s="660"/>
      <c r="I524" s="653"/>
    </row>
    <row r="525" spans="1:9" ht="96">
      <c r="A525" s="571">
        <v>85156</v>
      </c>
      <c r="B525" s="695" t="s">
        <v>477</v>
      </c>
      <c r="C525" s="546">
        <f>SUM(C526)</f>
        <v>15000</v>
      </c>
      <c r="D525" s="447"/>
      <c r="E525" s="547">
        <f>I525</f>
        <v>15000</v>
      </c>
      <c r="F525" s="548"/>
      <c r="G525" s="547"/>
      <c r="H525" s="548"/>
      <c r="I525" s="449">
        <f>I526</f>
        <v>15000</v>
      </c>
    </row>
    <row r="526" spans="1:9" ht="14.25" customHeight="1">
      <c r="A526" s="515"/>
      <c r="B526" s="540" t="s">
        <v>388</v>
      </c>
      <c r="C526" s="677">
        <f>SUM(C527:C529)</f>
        <v>15000</v>
      </c>
      <c r="D526" s="744"/>
      <c r="E526" s="678">
        <f>SUM(E527:E529)</f>
        <v>15000</v>
      </c>
      <c r="F526" s="520"/>
      <c r="G526" s="521"/>
      <c r="H526" s="520"/>
      <c r="I526" s="522">
        <f>I529+I528</f>
        <v>15000</v>
      </c>
    </row>
    <row r="527" spans="1:9" s="531" customFormat="1" ht="13.5" customHeight="1" hidden="1">
      <c r="A527" s="523"/>
      <c r="B527" s="524" t="s">
        <v>413</v>
      </c>
      <c r="C527" s="525"/>
      <c r="D527" s="526"/>
      <c r="E527" s="527"/>
      <c r="F527" s="545"/>
      <c r="G527" s="527"/>
      <c r="H527" s="545"/>
      <c r="I527" s="549"/>
    </row>
    <row r="528" spans="1:9" s="531" customFormat="1" ht="12" customHeight="1" hidden="1">
      <c r="A528" s="523"/>
      <c r="B528" s="524" t="s">
        <v>414</v>
      </c>
      <c r="C528" s="525"/>
      <c r="D528" s="526"/>
      <c r="E528" s="527"/>
      <c r="F528" s="545"/>
      <c r="G528" s="527"/>
      <c r="H528" s="545"/>
      <c r="I528" s="549"/>
    </row>
    <row r="529" spans="1:9" ht="12.75" customHeight="1">
      <c r="A529" s="641"/>
      <c r="B529" s="658" t="s">
        <v>389</v>
      </c>
      <c r="C529" s="642">
        <f>SUM(D529+E529)</f>
        <v>15000</v>
      </c>
      <c r="D529" s="643"/>
      <c r="E529" s="746">
        <f>I529+F529</f>
        <v>15000</v>
      </c>
      <c r="F529" s="645"/>
      <c r="G529" s="714"/>
      <c r="H529" s="645"/>
      <c r="I529" s="653">
        <v>15000</v>
      </c>
    </row>
    <row r="530" spans="1:9" ht="12.75" customHeight="1" hidden="1">
      <c r="A530" s="515"/>
      <c r="B530" s="544" t="s">
        <v>396</v>
      </c>
      <c r="C530" s="525">
        <f>SUM(D530:E530)</f>
        <v>0</v>
      </c>
      <c r="D530" s="526"/>
      <c r="E530" s="527"/>
      <c r="F530" s="545"/>
      <c r="G530" s="519"/>
      <c r="H530" s="545"/>
      <c r="I530" s="542"/>
    </row>
    <row r="531" spans="1:9" s="676" customFormat="1" ht="15" customHeight="1">
      <c r="A531" s="571">
        <v>85195</v>
      </c>
      <c r="B531" s="695" t="s">
        <v>395</v>
      </c>
      <c r="C531" s="546">
        <f>SUM(C532)+C535</f>
        <v>665900</v>
      </c>
      <c r="D531" s="447">
        <f>SUM(D532)+D535</f>
        <v>665900</v>
      </c>
      <c r="E531" s="547"/>
      <c r="F531" s="548">
        <f>SUM(F532)+F535</f>
        <v>665900</v>
      </c>
      <c r="G531" s="547"/>
      <c r="H531" s="548"/>
      <c r="I531" s="449"/>
    </row>
    <row r="532" spans="1:9" ht="13.5" customHeight="1">
      <c r="A532" s="515"/>
      <c r="B532" s="540" t="s">
        <v>388</v>
      </c>
      <c r="C532" s="677">
        <f>SUM(C533:C534)</f>
        <v>665900</v>
      </c>
      <c r="D532" s="678">
        <f>SUM(D533:D534)</f>
        <v>665900</v>
      </c>
      <c r="E532" s="521"/>
      <c r="F532" s="520">
        <f>SUM(F533:F534)</f>
        <v>665900</v>
      </c>
      <c r="G532" s="521"/>
      <c r="H532" s="520"/>
      <c r="I532" s="522"/>
    </row>
    <row r="533" spans="1:9" s="531" customFormat="1" ht="12" customHeight="1">
      <c r="A533" s="523"/>
      <c r="B533" s="544" t="s">
        <v>400</v>
      </c>
      <c r="C533" s="525">
        <f>SUM(D533:E533)</f>
        <v>144000</v>
      </c>
      <c r="D533" s="526">
        <f>F533+H533</f>
        <v>144000</v>
      </c>
      <c r="E533" s="527"/>
      <c r="F533" s="545">
        <v>144000</v>
      </c>
      <c r="G533" s="527"/>
      <c r="H533" s="545"/>
      <c r="I533" s="549"/>
    </row>
    <row r="534" spans="1:9" ht="12" customHeight="1" thickBot="1">
      <c r="A534" s="515"/>
      <c r="B534" s="544" t="s">
        <v>389</v>
      </c>
      <c r="C534" s="525">
        <f>SUM(D534:E534)</f>
        <v>521900</v>
      </c>
      <c r="D534" s="526">
        <f>F534+H534</f>
        <v>521900</v>
      </c>
      <c r="E534" s="527"/>
      <c r="F534" s="545">
        <v>521900</v>
      </c>
      <c r="G534" s="519"/>
      <c r="H534" s="545"/>
      <c r="I534" s="542"/>
    </row>
    <row r="535" spans="1:9" s="539" customFormat="1" ht="14.25" customHeight="1" hidden="1">
      <c r="A535" s="515"/>
      <c r="B535" s="842" t="s">
        <v>384</v>
      </c>
      <c r="C535" s="517">
        <f>SUM(C536)</f>
        <v>0</v>
      </c>
      <c r="D535" s="518">
        <f>D536</f>
        <v>0</v>
      </c>
      <c r="E535" s="519"/>
      <c r="F535" s="541">
        <f>F536</f>
        <v>0</v>
      </c>
      <c r="G535" s="519"/>
      <c r="H535" s="541">
        <f>H536</f>
        <v>0</v>
      </c>
      <c r="I535" s="542"/>
    </row>
    <row r="536" spans="1:9" ht="13.5" customHeight="1" hidden="1">
      <c r="A536" s="641"/>
      <c r="B536" s="544" t="s">
        <v>397</v>
      </c>
      <c r="C536" s="525">
        <f>SUM(D536:E536)</f>
        <v>0</v>
      </c>
      <c r="D536" s="526">
        <f>F536+H536</f>
        <v>0</v>
      </c>
      <c r="E536" s="527"/>
      <c r="F536" s="545"/>
      <c r="G536" s="521"/>
      <c r="H536" s="528"/>
      <c r="I536" s="549"/>
    </row>
    <row r="537" spans="1:9" s="514" customFormat="1" ht="27.75" customHeight="1" thickBot="1" thickTop="1">
      <c r="A537" s="570">
        <v>852</v>
      </c>
      <c r="B537" s="509" t="s">
        <v>278</v>
      </c>
      <c r="C537" s="510">
        <f aca="true" t="shared" si="20" ref="C537:I537">C547+C559+C566+C584+C589+C592+C595+C602+C611+C618+C630+C624+C581+C556+C572</f>
        <v>47352168</v>
      </c>
      <c r="D537" s="511">
        <f t="shared" si="20"/>
        <v>24702168</v>
      </c>
      <c r="E537" s="847">
        <f t="shared" si="20"/>
        <v>22650000</v>
      </c>
      <c r="F537" s="513">
        <f t="shared" si="20"/>
        <v>18774340</v>
      </c>
      <c r="G537" s="742">
        <f t="shared" si="20"/>
        <v>22634000</v>
      </c>
      <c r="H537" s="511">
        <f t="shared" si="20"/>
        <v>5927828</v>
      </c>
      <c r="I537" s="457">
        <f t="shared" si="20"/>
        <v>16000</v>
      </c>
    </row>
    <row r="538" spans="1:9" s="514" customFormat="1" ht="13.5" thickTop="1">
      <c r="A538" s="724"/>
      <c r="B538" s="577" t="s">
        <v>388</v>
      </c>
      <c r="C538" s="726">
        <f>D538+E538</f>
        <v>46802168</v>
      </c>
      <c r="D538" s="848">
        <f>F538+H538</f>
        <v>24152168</v>
      </c>
      <c r="E538" s="582">
        <f>G538+I538</f>
        <v>22650000</v>
      </c>
      <c r="F538" s="583">
        <f>F548+F557+F560+F567+F573+F582+F585+F590+F596+F603+F612+F619+F625+F631</f>
        <v>18224340</v>
      </c>
      <c r="G538" s="582">
        <f>G548+G557+G560+G567+G573+G582+G585+G590+G596+G603+G612+G619+G625+G631</f>
        <v>22634000</v>
      </c>
      <c r="H538" s="848">
        <f>H548+H557+H560+H567+H573+H582+H585+H590+H596+H603+H612+H619+H625+H631</f>
        <v>5927828</v>
      </c>
      <c r="I538" s="584">
        <f>I548+I557+I560+I567+I573+I582+I585+I590+I596+I603+I612+I619+I625+I631</f>
        <v>16000</v>
      </c>
    </row>
    <row r="539" spans="1:9" s="676" customFormat="1" ht="12.75">
      <c r="A539" s="523"/>
      <c r="B539" s="524" t="s">
        <v>413</v>
      </c>
      <c r="C539" s="586">
        <f>D539+E539</f>
        <v>9097689</v>
      </c>
      <c r="D539" s="587">
        <f>F539+H539</f>
        <v>7938810</v>
      </c>
      <c r="E539" s="529">
        <f>G539+I539</f>
        <v>1158879</v>
      </c>
      <c r="F539" s="587">
        <f>F549+F561+F568+F574+F597+F604+F613+F620+F626+F632</f>
        <v>6409640</v>
      </c>
      <c r="G539" s="529">
        <f>G549+G561+G568+G574+G597+G604+G613+G620+G626+G632</f>
        <v>1158879</v>
      </c>
      <c r="H539" s="587">
        <f>H549+H561+H568+H574+H597+H604+H613+H620+H626</f>
        <v>1529170</v>
      </c>
      <c r="I539" s="530"/>
    </row>
    <row r="540" spans="1:9" s="676" customFormat="1" ht="12.75">
      <c r="A540" s="523"/>
      <c r="B540" s="524" t="s">
        <v>414</v>
      </c>
      <c r="C540" s="586"/>
      <c r="D540" s="587"/>
      <c r="E540" s="529"/>
      <c r="F540" s="587"/>
      <c r="G540" s="529"/>
      <c r="H540" s="698"/>
      <c r="I540" s="530"/>
    </row>
    <row r="541" spans="1:9" s="676" customFormat="1" ht="12.75">
      <c r="A541" s="523"/>
      <c r="B541" s="544" t="s">
        <v>400</v>
      </c>
      <c r="C541" s="586">
        <f aca="true" t="shared" si="21" ref="C541:C546">D541+E541</f>
        <v>1434700</v>
      </c>
      <c r="D541" s="698">
        <f>F541+H541</f>
        <v>1215700</v>
      </c>
      <c r="E541" s="529">
        <f>G541+I541</f>
        <v>219000</v>
      </c>
      <c r="F541" s="587">
        <f>F551+F570+F615+F634+F563</f>
        <v>438200</v>
      </c>
      <c r="G541" s="529">
        <f>G551+G570+G615+G634+G563</f>
        <v>219000</v>
      </c>
      <c r="H541" s="528">
        <f>H551+H570+H615+H634+H563</f>
        <v>777500</v>
      </c>
      <c r="I541" s="530"/>
    </row>
    <row r="542" spans="1:9" s="676" customFormat="1" ht="12.75">
      <c r="A542" s="523"/>
      <c r="B542" s="544" t="s">
        <v>389</v>
      </c>
      <c r="C542" s="586">
        <f t="shared" si="21"/>
        <v>36269779</v>
      </c>
      <c r="D542" s="698">
        <f>F542+H542</f>
        <v>14997658</v>
      </c>
      <c r="E542" s="529">
        <f>G542+I542</f>
        <v>21272121</v>
      </c>
      <c r="F542" s="587">
        <f>F552+F558+F564+F577+F583+F588+F591+F599+F606+F616+F622+F629+F635</f>
        <v>11376500</v>
      </c>
      <c r="G542" s="529">
        <f>G552+G558+G564+G577+G583+G588+G591+G599+G606+G616+G622+G629+G635</f>
        <v>21256121</v>
      </c>
      <c r="H542" s="587">
        <f>H552+H558+H564+H571+H577+H583+H588+H591+H599+H606+H616+H622+H629+H635</f>
        <v>3621158</v>
      </c>
      <c r="I542" s="530">
        <f>I552+I558+I564+I571+I577+I583+I588+I591+I599+I606+I616+I622+I629+I635</f>
        <v>16000</v>
      </c>
    </row>
    <row r="543" spans="1:9" s="539" customFormat="1" ht="12">
      <c r="A543" s="515"/>
      <c r="B543" s="787" t="s">
        <v>416</v>
      </c>
      <c r="C543" s="517">
        <f t="shared" si="21"/>
        <v>73600</v>
      </c>
      <c r="D543" s="719">
        <f>F543+H543</f>
        <v>73600</v>
      </c>
      <c r="E543" s="519"/>
      <c r="F543" s="518">
        <f>F553+F565+F607+F617</f>
        <v>69000</v>
      </c>
      <c r="G543" s="519"/>
      <c r="H543" s="719">
        <f>H553+H565+H607+H617+H623</f>
        <v>4600</v>
      </c>
      <c r="I543" s="542"/>
    </row>
    <row r="544" spans="1:9" s="514" customFormat="1" ht="12.75">
      <c r="A544" s="576"/>
      <c r="B544" s="595" t="s">
        <v>384</v>
      </c>
      <c r="C544" s="578">
        <f t="shared" si="21"/>
        <v>550000</v>
      </c>
      <c r="D544" s="579">
        <f>F544+H544</f>
        <v>550000</v>
      </c>
      <c r="E544" s="580"/>
      <c r="F544" s="579">
        <f>F600+F608+F636+F554</f>
        <v>550000</v>
      </c>
      <c r="G544" s="580"/>
      <c r="H544" s="458"/>
      <c r="I544" s="597"/>
    </row>
    <row r="545" spans="1:9" s="676" customFormat="1" ht="12" customHeight="1">
      <c r="A545" s="523"/>
      <c r="B545" s="787" t="s">
        <v>397</v>
      </c>
      <c r="C545" s="586">
        <f t="shared" si="21"/>
        <v>400000</v>
      </c>
      <c r="D545" s="587">
        <f>F545+H545</f>
        <v>400000</v>
      </c>
      <c r="E545" s="529"/>
      <c r="F545" s="587">
        <f>F637+F609</f>
        <v>400000</v>
      </c>
      <c r="G545" s="529"/>
      <c r="H545" s="698"/>
      <c r="I545" s="530"/>
    </row>
    <row r="546" spans="1:9" s="676" customFormat="1" ht="17.25" customHeight="1">
      <c r="A546" s="657"/>
      <c r="B546" s="574" t="s">
        <v>385</v>
      </c>
      <c r="C546" s="734">
        <f t="shared" si="21"/>
        <v>150000</v>
      </c>
      <c r="D546" s="833">
        <f>F546+H546</f>
        <v>150000</v>
      </c>
      <c r="E546" s="659"/>
      <c r="F546" s="735">
        <f>F601+F610+F638+F555</f>
        <v>150000</v>
      </c>
      <c r="G546" s="659"/>
      <c r="H546" s="833"/>
      <c r="I546" s="661"/>
    </row>
    <row r="547" spans="1:9" s="539" customFormat="1" ht="27.75" customHeight="1">
      <c r="A547" s="620">
        <v>85201</v>
      </c>
      <c r="B547" s="689" t="s">
        <v>478</v>
      </c>
      <c r="C547" s="622">
        <f>SUM(C548+C554)</f>
        <v>1246334</v>
      </c>
      <c r="D547" s="849">
        <f>SUM(D548+D554)</f>
        <v>1246334</v>
      </c>
      <c r="E547" s="850"/>
      <c r="F547" s="625">
        <f>SUM(F548+F554)</f>
        <v>161258</v>
      </c>
      <c r="G547" s="624"/>
      <c r="H547" s="851">
        <f>SUM(H548+H554)</f>
        <v>1085076</v>
      </c>
      <c r="I547" s="626"/>
    </row>
    <row r="548" spans="1:9" ht="12.75">
      <c r="A548" s="515"/>
      <c r="B548" s="540" t="s">
        <v>388</v>
      </c>
      <c r="C548" s="677">
        <f>SUM(C549:C552)</f>
        <v>1246334</v>
      </c>
      <c r="D548" s="852">
        <f>SUM(D549:D552)</f>
        <v>1246334</v>
      </c>
      <c r="E548" s="853"/>
      <c r="F548" s="520">
        <f>SUM(F549:F552)</f>
        <v>161258</v>
      </c>
      <c r="G548" s="521"/>
      <c r="H548" s="652">
        <f>SUM(H549:H552)</f>
        <v>1085076</v>
      </c>
      <c r="I548" s="522"/>
    </row>
    <row r="549" spans="1:9" s="531" customFormat="1" ht="12">
      <c r="A549" s="523"/>
      <c r="B549" s="524" t="s">
        <v>413</v>
      </c>
      <c r="C549" s="525">
        <f>SUM(D549:E549)</f>
        <v>284609</v>
      </c>
      <c r="D549" s="572">
        <f>F549+H549</f>
        <v>284609</v>
      </c>
      <c r="E549" s="831"/>
      <c r="F549" s="545">
        <v>116633</v>
      </c>
      <c r="G549" s="527"/>
      <c r="H549" s="573">
        <v>167976</v>
      </c>
      <c r="I549" s="549"/>
    </row>
    <row r="550" spans="1:9" s="531" customFormat="1" ht="12">
      <c r="A550" s="523"/>
      <c r="B550" s="524" t="s">
        <v>414</v>
      </c>
      <c r="C550" s="525"/>
      <c r="D550" s="572"/>
      <c r="E550" s="831"/>
      <c r="F550" s="545"/>
      <c r="G550" s="527"/>
      <c r="H550" s="573"/>
      <c r="I550" s="549"/>
    </row>
    <row r="551" spans="1:9" s="531" customFormat="1" ht="12">
      <c r="A551" s="523"/>
      <c r="B551" s="544" t="s">
        <v>400</v>
      </c>
      <c r="C551" s="525">
        <f>SUM(D551:E551)</f>
        <v>458000</v>
      </c>
      <c r="D551" s="572">
        <f>F551+H551</f>
        <v>458000</v>
      </c>
      <c r="E551" s="831"/>
      <c r="F551" s="545"/>
      <c r="G551" s="527"/>
      <c r="H551" s="573">
        <v>458000</v>
      </c>
      <c r="I551" s="549"/>
    </row>
    <row r="552" spans="1:9" ht="12">
      <c r="A552" s="515"/>
      <c r="B552" s="544" t="s">
        <v>389</v>
      </c>
      <c r="C552" s="525">
        <f>SUM(D552:E552)</f>
        <v>503725</v>
      </c>
      <c r="D552" s="572">
        <f>F552+H552</f>
        <v>503725</v>
      </c>
      <c r="E552" s="831"/>
      <c r="F552" s="545">
        <v>44625</v>
      </c>
      <c r="G552" s="519"/>
      <c r="H552" s="573">
        <v>459100</v>
      </c>
      <c r="I552" s="549"/>
    </row>
    <row r="553" spans="1:9" ht="12" customHeight="1">
      <c r="A553" s="641"/>
      <c r="B553" s="854" t="s">
        <v>416</v>
      </c>
      <c r="C553" s="642">
        <f>SUM(D553:E553)</f>
        <v>3600</v>
      </c>
      <c r="D553" s="781">
        <f>F553+H553</f>
        <v>3600</v>
      </c>
      <c r="E553" s="834"/>
      <c r="F553" s="645"/>
      <c r="G553" s="714"/>
      <c r="H553" s="781">
        <v>3600</v>
      </c>
      <c r="I553" s="653"/>
    </row>
    <row r="554" spans="1:9" ht="12" hidden="1">
      <c r="A554" s="515"/>
      <c r="B554" s="516" t="s">
        <v>384</v>
      </c>
      <c r="C554" s="517">
        <f>SUM(C555)</f>
        <v>0</v>
      </c>
      <c r="D554" s="518">
        <f>SUM(D555)</f>
        <v>0</v>
      </c>
      <c r="E554" s="519"/>
      <c r="F554" s="541">
        <f>SUM(F555)</f>
        <v>0</v>
      </c>
      <c r="G554" s="519"/>
      <c r="H554" s="541"/>
      <c r="I554" s="542"/>
    </row>
    <row r="555" spans="1:9" s="531" customFormat="1" ht="12" hidden="1">
      <c r="A555" s="523"/>
      <c r="B555" s="524" t="s">
        <v>385</v>
      </c>
      <c r="C555" s="517">
        <f>SUM(D555:E555)</f>
        <v>0</v>
      </c>
      <c r="D555" s="526">
        <f>F555+H555</f>
        <v>0</v>
      </c>
      <c r="E555" s="527"/>
      <c r="F555" s="545"/>
      <c r="G555" s="527"/>
      <c r="H555" s="545"/>
      <c r="I555" s="549"/>
    </row>
    <row r="556" spans="1:9" ht="22.5" customHeight="1">
      <c r="A556" s="571">
        <v>85202</v>
      </c>
      <c r="B556" s="695" t="s">
        <v>479</v>
      </c>
      <c r="C556" s="546">
        <f>SUM(C557)</f>
        <v>1060800</v>
      </c>
      <c r="D556" s="447">
        <f>D557</f>
        <v>1060800</v>
      </c>
      <c r="E556" s="547"/>
      <c r="F556" s="548">
        <f>F557</f>
        <v>1060800</v>
      </c>
      <c r="G556" s="547"/>
      <c r="H556" s="548"/>
      <c r="I556" s="449"/>
    </row>
    <row r="557" spans="1:9" s="696" customFormat="1" ht="12.75">
      <c r="A557" s="855"/>
      <c r="B557" s="856" t="s">
        <v>427</v>
      </c>
      <c r="C557" s="677">
        <f>SUM(C558)</f>
        <v>1060800</v>
      </c>
      <c r="D557" s="678">
        <f>SUM(D558)</f>
        <v>1060800</v>
      </c>
      <c r="E557" s="521"/>
      <c r="F557" s="520">
        <f>F558</f>
        <v>1060800</v>
      </c>
      <c r="G557" s="521"/>
      <c r="H557" s="520"/>
      <c r="I557" s="522"/>
    </row>
    <row r="558" spans="1:9" s="531" customFormat="1" ht="12">
      <c r="A558" s="657"/>
      <c r="B558" s="574" t="s">
        <v>389</v>
      </c>
      <c r="C558" s="642">
        <f>SUM(D558:E558)</f>
        <v>1060800</v>
      </c>
      <c r="D558" s="526">
        <f>F558+H558</f>
        <v>1060800</v>
      </c>
      <c r="E558" s="644"/>
      <c r="F558" s="645">
        <v>1060800</v>
      </c>
      <c r="G558" s="644"/>
      <c r="H558" s="645"/>
      <c r="I558" s="653"/>
    </row>
    <row r="559" spans="1:9" ht="15" customHeight="1">
      <c r="A559" s="571">
        <v>85203</v>
      </c>
      <c r="B559" s="695" t="s">
        <v>480</v>
      </c>
      <c r="C559" s="546">
        <f>SUM(C560)</f>
        <v>1216893</v>
      </c>
      <c r="D559" s="447">
        <f>SUM(D560)</f>
        <v>515893</v>
      </c>
      <c r="E559" s="547">
        <f>SUM(E560)</f>
        <v>701000</v>
      </c>
      <c r="F559" s="548">
        <f>SUM(F560)</f>
        <v>515893</v>
      </c>
      <c r="G559" s="547">
        <f>SUM(G560)</f>
        <v>701000</v>
      </c>
      <c r="H559" s="548"/>
      <c r="I559" s="449"/>
    </row>
    <row r="560" spans="1:9" ht="12.75">
      <c r="A560" s="515"/>
      <c r="B560" s="516" t="s">
        <v>427</v>
      </c>
      <c r="C560" s="677">
        <f>SUM(C561:C564)</f>
        <v>1216893</v>
      </c>
      <c r="D560" s="678">
        <f>SUM(D561:D564)</f>
        <v>515893</v>
      </c>
      <c r="E560" s="521">
        <f>SUM(E561:E564)</f>
        <v>701000</v>
      </c>
      <c r="F560" s="520">
        <f>SUM(F561:F564)</f>
        <v>515893</v>
      </c>
      <c r="G560" s="521">
        <f>SUM(G561:G564)</f>
        <v>701000</v>
      </c>
      <c r="H560" s="520"/>
      <c r="I560" s="522"/>
    </row>
    <row r="561" spans="1:9" s="531" customFormat="1" ht="10.5" customHeight="1">
      <c r="A561" s="523"/>
      <c r="B561" s="524" t="s">
        <v>413</v>
      </c>
      <c r="C561" s="525">
        <f>SUM(D561:E561)</f>
        <v>491252</v>
      </c>
      <c r="D561" s="526">
        <f>F561+H561</f>
        <v>138893</v>
      </c>
      <c r="E561" s="527">
        <f>G561+I561</f>
        <v>352359</v>
      </c>
      <c r="F561" s="545">
        <v>138893</v>
      </c>
      <c r="G561" s="527">
        <v>352359</v>
      </c>
      <c r="H561" s="545"/>
      <c r="I561" s="549"/>
    </row>
    <row r="562" spans="1:9" s="531" customFormat="1" ht="10.5" customHeight="1">
      <c r="A562" s="523"/>
      <c r="B562" s="524" t="s">
        <v>414</v>
      </c>
      <c r="C562" s="525"/>
      <c r="D562" s="526"/>
      <c r="E562" s="527"/>
      <c r="F562" s="545"/>
      <c r="G562" s="527"/>
      <c r="H562" s="545"/>
      <c r="I562" s="549"/>
    </row>
    <row r="563" spans="1:9" s="531" customFormat="1" ht="12">
      <c r="A563" s="523"/>
      <c r="B563" s="544" t="s">
        <v>400</v>
      </c>
      <c r="C563" s="525">
        <f>SUM(D563:E563)</f>
        <v>507200</v>
      </c>
      <c r="D563" s="526">
        <f>F563+H563</f>
        <v>288200</v>
      </c>
      <c r="E563" s="527">
        <f>G563+I563</f>
        <v>219000</v>
      </c>
      <c r="F563" s="545">
        <v>288200</v>
      </c>
      <c r="G563" s="527">
        <v>219000</v>
      </c>
      <c r="H563" s="573"/>
      <c r="I563" s="549"/>
    </row>
    <row r="564" spans="1:9" s="531" customFormat="1" ht="10.5" customHeight="1">
      <c r="A564" s="523"/>
      <c r="B564" s="524" t="s">
        <v>389</v>
      </c>
      <c r="C564" s="525">
        <f>SUM(D564:E564)</f>
        <v>218441</v>
      </c>
      <c r="D564" s="526">
        <f>F564+H564</f>
        <v>88800</v>
      </c>
      <c r="E564" s="527">
        <f>G564+I564</f>
        <v>129641</v>
      </c>
      <c r="F564" s="545">
        <v>88800</v>
      </c>
      <c r="G564" s="527">
        <v>129641</v>
      </c>
      <c r="H564" s="545"/>
      <c r="I564" s="549"/>
    </row>
    <row r="565" spans="1:9" s="531" customFormat="1" ht="12" hidden="1">
      <c r="A565" s="657"/>
      <c r="B565" s="574" t="s">
        <v>416</v>
      </c>
      <c r="C565" s="642">
        <f>SUM(D565:E565)</f>
        <v>0</v>
      </c>
      <c r="D565" s="781">
        <f>F565+H565</f>
        <v>0</v>
      </c>
      <c r="E565" s="644"/>
      <c r="F565" s="645"/>
      <c r="G565" s="644"/>
      <c r="H565" s="645"/>
      <c r="I565" s="653"/>
    </row>
    <row r="566" spans="1:9" s="539" customFormat="1" ht="15" customHeight="1">
      <c r="A566" s="571">
        <v>85204</v>
      </c>
      <c r="B566" s="695" t="s">
        <v>481</v>
      </c>
      <c r="C566" s="546">
        <f>SUM(C567)</f>
        <v>3640252</v>
      </c>
      <c r="D566" s="716">
        <f>SUM(D567)</f>
        <v>3640252</v>
      </c>
      <c r="E566" s="547"/>
      <c r="F566" s="548"/>
      <c r="G566" s="547"/>
      <c r="H566" s="777">
        <f>SUM(H567)</f>
        <v>3640252</v>
      </c>
      <c r="I566" s="449"/>
    </row>
    <row r="567" spans="1:9" ht="12" customHeight="1">
      <c r="A567" s="515"/>
      <c r="B567" s="516" t="s">
        <v>427</v>
      </c>
      <c r="C567" s="677">
        <f>SUM(C568:C571)</f>
        <v>3640252</v>
      </c>
      <c r="D567" s="852">
        <f>SUM(D568:D571)</f>
        <v>3640252</v>
      </c>
      <c r="E567" s="521"/>
      <c r="F567" s="520"/>
      <c r="G567" s="521"/>
      <c r="H567" s="652">
        <f>SUM(H568:H571)</f>
        <v>3640252</v>
      </c>
      <c r="I567" s="522"/>
    </row>
    <row r="568" spans="1:9" s="531" customFormat="1" ht="10.5" customHeight="1">
      <c r="A568" s="523"/>
      <c r="B568" s="524" t="s">
        <v>413</v>
      </c>
      <c r="C568" s="525">
        <f>SUM(D568:E568)</f>
        <v>469174</v>
      </c>
      <c r="D568" s="572">
        <f>F568+H568</f>
        <v>469174</v>
      </c>
      <c r="E568" s="527"/>
      <c r="F568" s="545"/>
      <c r="G568" s="527"/>
      <c r="H568" s="573">
        <v>469174</v>
      </c>
      <c r="I568" s="549"/>
    </row>
    <row r="569" spans="1:9" s="531" customFormat="1" ht="11.25" customHeight="1">
      <c r="A569" s="523"/>
      <c r="B569" s="524" t="s">
        <v>414</v>
      </c>
      <c r="C569" s="525"/>
      <c r="D569" s="572"/>
      <c r="E569" s="527"/>
      <c r="F569" s="545"/>
      <c r="G569" s="527"/>
      <c r="H569" s="573"/>
      <c r="I569" s="549"/>
    </row>
    <row r="570" spans="1:9" s="531" customFormat="1" ht="11.25" customHeight="1">
      <c r="A570" s="523"/>
      <c r="B570" s="544" t="s">
        <v>400</v>
      </c>
      <c r="C570" s="525">
        <f>SUM(D570:E570)</f>
        <v>123500</v>
      </c>
      <c r="D570" s="572">
        <f>F570+H570</f>
        <v>123500</v>
      </c>
      <c r="E570" s="527"/>
      <c r="F570" s="545"/>
      <c r="G570" s="527"/>
      <c r="H570" s="573">
        <v>123500</v>
      </c>
      <c r="I570" s="549"/>
    </row>
    <row r="571" spans="1:9" s="531" customFormat="1" ht="15" customHeight="1">
      <c r="A571" s="523"/>
      <c r="B571" s="524" t="s">
        <v>389</v>
      </c>
      <c r="C571" s="525">
        <f>SUM(D571:E571)</f>
        <v>3047578</v>
      </c>
      <c r="D571" s="572">
        <f>F571+H571</f>
        <v>3047578</v>
      </c>
      <c r="E571" s="644"/>
      <c r="F571" s="545"/>
      <c r="G571" s="527"/>
      <c r="H571" s="573">
        <v>3047578</v>
      </c>
      <c r="I571" s="549"/>
    </row>
    <row r="572" spans="1:9" s="531" customFormat="1" ht="73.5" customHeight="1">
      <c r="A572" s="571">
        <v>85212</v>
      </c>
      <c r="B572" s="695" t="s">
        <v>482</v>
      </c>
      <c r="C572" s="546">
        <f>C573+C578</f>
        <v>20236635</v>
      </c>
      <c r="D572" s="716">
        <f>SUM(D573)</f>
        <v>311635</v>
      </c>
      <c r="E572" s="547">
        <f>E573+E578</f>
        <v>19925000</v>
      </c>
      <c r="F572" s="448">
        <f>SUM(F573)</f>
        <v>311635</v>
      </c>
      <c r="G572" s="857">
        <f>G573+G578</f>
        <v>19925000</v>
      </c>
      <c r="H572" s="777"/>
      <c r="I572" s="449"/>
    </row>
    <row r="573" spans="1:9" s="531" customFormat="1" ht="14.25" customHeight="1">
      <c r="A573" s="591"/>
      <c r="B573" s="516" t="s">
        <v>427</v>
      </c>
      <c r="C573" s="677">
        <f>SUM(C574:C577)</f>
        <v>20236635</v>
      </c>
      <c r="D573" s="852">
        <f>SUM(D574:D577)</f>
        <v>311635</v>
      </c>
      <c r="E573" s="521">
        <f>SUM(E574:E577)</f>
        <v>19925000</v>
      </c>
      <c r="F573" s="853">
        <f>SUM(F574:F577)</f>
        <v>311635</v>
      </c>
      <c r="G573" s="858">
        <f>SUM(G574:G577)</f>
        <v>19925000</v>
      </c>
      <c r="H573" s="520"/>
      <c r="I573" s="522"/>
    </row>
    <row r="574" spans="1:9" s="531" customFormat="1" ht="13.5" customHeight="1">
      <c r="A574" s="523"/>
      <c r="B574" s="524" t="s">
        <v>413</v>
      </c>
      <c r="C574" s="525">
        <f>SUM(D574:E574)</f>
        <v>929035</v>
      </c>
      <c r="D574" s="526">
        <f>F574+H574</f>
        <v>245935</v>
      </c>
      <c r="E574" s="527">
        <f>G574+I574</f>
        <v>683100</v>
      </c>
      <c r="F574" s="831">
        <v>245935</v>
      </c>
      <c r="G574" s="739">
        <v>683100</v>
      </c>
      <c r="H574" s="545"/>
      <c r="I574" s="549"/>
    </row>
    <row r="575" spans="1:9" s="531" customFormat="1" ht="13.5" customHeight="1">
      <c r="A575" s="523"/>
      <c r="B575" s="524" t="s">
        <v>414</v>
      </c>
      <c r="C575" s="525"/>
      <c r="D575" s="526"/>
      <c r="E575" s="527"/>
      <c r="F575" s="831"/>
      <c r="G575" s="739"/>
      <c r="H575" s="545"/>
      <c r="I575" s="549"/>
    </row>
    <row r="576" spans="1:9" s="531" customFormat="1" ht="12" customHeight="1" hidden="1">
      <c r="A576" s="523"/>
      <c r="B576" s="544" t="s">
        <v>400</v>
      </c>
      <c r="C576" s="525">
        <f>SUM(D576:E576)</f>
        <v>0</v>
      </c>
      <c r="D576" s="526">
        <f>F576+H576</f>
        <v>0</v>
      </c>
      <c r="E576" s="527">
        <f>G576+I576</f>
        <v>0</v>
      </c>
      <c r="F576" s="831"/>
      <c r="G576" s="739"/>
      <c r="H576" s="545"/>
      <c r="I576" s="549"/>
    </row>
    <row r="577" spans="1:9" s="531" customFormat="1" ht="12">
      <c r="A577" s="523"/>
      <c r="B577" s="524" t="s">
        <v>389</v>
      </c>
      <c r="C577" s="525">
        <f>SUM(D577:E577)</f>
        <v>19307600</v>
      </c>
      <c r="D577" s="526">
        <f>F577+H577</f>
        <v>65700</v>
      </c>
      <c r="E577" s="527">
        <f>G577+I577</f>
        <v>19241900</v>
      </c>
      <c r="F577" s="831">
        <v>65700</v>
      </c>
      <c r="G577" s="739">
        <v>19241900</v>
      </c>
      <c r="H577" s="545"/>
      <c r="I577" s="549"/>
    </row>
    <row r="578" spans="1:9" s="531" customFormat="1" ht="12" hidden="1">
      <c r="A578" s="523"/>
      <c r="B578" s="516" t="s">
        <v>384</v>
      </c>
      <c r="C578" s="517">
        <f>SUM(C579:C580)</f>
        <v>0</v>
      </c>
      <c r="D578" s="526">
        <f>F578+H578</f>
        <v>0</v>
      </c>
      <c r="E578" s="519">
        <f>SUM(E579:E580)</f>
        <v>0</v>
      </c>
      <c r="F578" s="518"/>
      <c r="G578" s="826">
        <f>SUM(G579:G580)</f>
        <v>0</v>
      </c>
      <c r="H578" s="545"/>
      <c r="I578" s="549"/>
    </row>
    <row r="579" spans="1:9" s="531" customFormat="1" ht="12" hidden="1">
      <c r="A579" s="523"/>
      <c r="B579" s="787" t="s">
        <v>397</v>
      </c>
      <c r="C579" s="525">
        <f>SUM(D579:E579)</f>
        <v>0</v>
      </c>
      <c r="D579" s="572"/>
      <c r="E579" s="527">
        <f>G579+I579</f>
        <v>0</v>
      </c>
      <c r="F579" s="526"/>
      <c r="G579" s="739"/>
      <c r="H579" s="545"/>
      <c r="I579" s="549"/>
    </row>
    <row r="580" spans="1:9" s="531" customFormat="1" ht="12" hidden="1">
      <c r="A580" s="657"/>
      <c r="B580" s="524" t="s">
        <v>385</v>
      </c>
      <c r="C580" s="525">
        <f>SUM(D580:E580)</f>
        <v>0</v>
      </c>
      <c r="D580" s="781"/>
      <c r="E580" s="527">
        <f>G580+I580</f>
        <v>0</v>
      </c>
      <c r="F580" s="643"/>
      <c r="G580" s="746"/>
      <c r="H580" s="645"/>
      <c r="I580" s="653"/>
    </row>
    <row r="581" spans="1:9" ht="60" customHeight="1">
      <c r="A581" s="571">
        <v>85213</v>
      </c>
      <c r="B581" s="695" t="s">
        <v>483</v>
      </c>
      <c r="C581" s="546">
        <f aca="true" t="shared" si="22" ref="C581:E582">SUM(C582)</f>
        <v>192000</v>
      </c>
      <c r="D581" s="716"/>
      <c r="E581" s="547">
        <f t="shared" si="22"/>
        <v>192000</v>
      </c>
      <c r="F581" s="548"/>
      <c r="G581" s="857">
        <f>SUM(G582)</f>
        <v>192000</v>
      </c>
      <c r="H581" s="548"/>
      <c r="I581" s="449"/>
    </row>
    <row r="582" spans="1:9" s="696" customFormat="1" ht="14.25" customHeight="1">
      <c r="A582" s="855"/>
      <c r="B582" s="856" t="s">
        <v>427</v>
      </c>
      <c r="C582" s="677">
        <f t="shared" si="22"/>
        <v>192000</v>
      </c>
      <c r="D582" s="678"/>
      <c r="E582" s="521">
        <f t="shared" si="22"/>
        <v>192000</v>
      </c>
      <c r="F582" s="520"/>
      <c r="G582" s="521">
        <f>SUM(G583)</f>
        <v>192000</v>
      </c>
      <c r="H582" s="520"/>
      <c r="I582" s="522"/>
    </row>
    <row r="583" spans="1:9" s="531" customFormat="1" ht="12.75" customHeight="1">
      <c r="A583" s="657"/>
      <c r="B583" s="574" t="s">
        <v>389</v>
      </c>
      <c r="C583" s="642">
        <f>SUM(D583:E583)</f>
        <v>192000</v>
      </c>
      <c r="D583" s="643"/>
      <c r="E583" s="644">
        <f>G583+I583</f>
        <v>192000</v>
      </c>
      <c r="F583" s="645"/>
      <c r="G583" s="644">
        <v>192000</v>
      </c>
      <c r="H583" s="645"/>
      <c r="I583" s="653"/>
    </row>
    <row r="584" spans="1:9" ht="39.75" customHeight="1">
      <c r="A584" s="571">
        <v>85214</v>
      </c>
      <c r="B584" s="695" t="s">
        <v>484</v>
      </c>
      <c r="C584" s="546">
        <f>SUM(C585)</f>
        <v>6247000</v>
      </c>
      <c r="D584" s="447">
        <f>SUM(D585)</f>
        <v>4580000</v>
      </c>
      <c r="E584" s="547">
        <f>SUM(E585)</f>
        <v>1667000</v>
      </c>
      <c r="F584" s="548">
        <f>SUM(F585)</f>
        <v>4580000</v>
      </c>
      <c r="G584" s="547">
        <f>SUM(G585)</f>
        <v>1667000</v>
      </c>
      <c r="H584" s="548"/>
      <c r="I584" s="449"/>
    </row>
    <row r="585" spans="1:9" ht="12.75">
      <c r="A585" s="515"/>
      <c r="B585" s="516" t="s">
        <v>427</v>
      </c>
      <c r="C585" s="517">
        <f>SUM(C586:C588)</f>
        <v>6247000</v>
      </c>
      <c r="D585" s="518">
        <f>SUM(D586:D588)</f>
        <v>4580000</v>
      </c>
      <c r="E585" s="519">
        <f>SUM(E586:E588)</f>
        <v>1667000</v>
      </c>
      <c r="F585" s="520">
        <f>SUM(F586:F588)</f>
        <v>4580000</v>
      </c>
      <c r="G585" s="521">
        <f>SUM(G586:G588)</f>
        <v>1667000</v>
      </c>
      <c r="H585" s="520"/>
      <c r="I585" s="522"/>
    </row>
    <row r="586" spans="1:9" s="531" customFormat="1" ht="0.75" customHeight="1" hidden="1">
      <c r="A586" s="523"/>
      <c r="B586" s="524" t="s">
        <v>413</v>
      </c>
      <c r="C586" s="525">
        <f>SUM(D586:E586)</f>
        <v>0</v>
      </c>
      <c r="D586" s="526">
        <f>F586+H586</f>
        <v>0</v>
      </c>
      <c r="E586" s="527">
        <f>G586+I586</f>
        <v>0</v>
      </c>
      <c r="F586" s="545"/>
      <c r="G586" s="527">
        <v>0</v>
      </c>
      <c r="H586" s="545"/>
      <c r="I586" s="549"/>
    </row>
    <row r="587" spans="1:9" s="531" customFormat="1" ht="12" hidden="1">
      <c r="A587" s="523"/>
      <c r="B587" s="524" t="s">
        <v>414</v>
      </c>
      <c r="C587" s="525"/>
      <c r="D587" s="526"/>
      <c r="E587" s="527"/>
      <c r="F587" s="545"/>
      <c r="G587" s="527"/>
      <c r="H587" s="545"/>
      <c r="I587" s="549"/>
    </row>
    <row r="588" spans="1:9" s="531" customFormat="1" ht="12">
      <c r="A588" s="657"/>
      <c r="B588" s="574" t="s">
        <v>389</v>
      </c>
      <c r="C588" s="642">
        <f>SUM(D588:E588)</f>
        <v>6247000</v>
      </c>
      <c r="D588" s="643">
        <f>F588+H588</f>
        <v>4580000</v>
      </c>
      <c r="E588" s="644">
        <f>G588+I588</f>
        <v>1667000</v>
      </c>
      <c r="F588" s="645">
        <v>4580000</v>
      </c>
      <c r="G588" s="644">
        <v>1667000</v>
      </c>
      <c r="H588" s="645"/>
      <c r="I588" s="653"/>
    </row>
    <row r="589" spans="1:9" ht="15.75" customHeight="1">
      <c r="A589" s="571">
        <v>85215</v>
      </c>
      <c r="B589" s="695" t="s">
        <v>485</v>
      </c>
      <c r="C589" s="546">
        <f aca="true" t="shared" si="23" ref="C589:F590">SUM(C590)</f>
        <v>3500000</v>
      </c>
      <c r="D589" s="447">
        <f t="shared" si="23"/>
        <v>3500000</v>
      </c>
      <c r="E589" s="547"/>
      <c r="F589" s="548">
        <f t="shared" si="23"/>
        <v>3500000</v>
      </c>
      <c r="G589" s="547"/>
      <c r="H589" s="548"/>
      <c r="I589" s="449"/>
    </row>
    <row r="590" spans="1:9" ht="12.75">
      <c r="A590" s="515"/>
      <c r="B590" s="516" t="s">
        <v>427</v>
      </c>
      <c r="C590" s="517">
        <f t="shared" si="23"/>
        <v>3500000</v>
      </c>
      <c r="D590" s="518">
        <f t="shared" si="23"/>
        <v>3500000</v>
      </c>
      <c r="E590" s="519"/>
      <c r="F590" s="520">
        <f t="shared" si="23"/>
        <v>3500000</v>
      </c>
      <c r="G590" s="521"/>
      <c r="H590" s="520"/>
      <c r="I590" s="522"/>
    </row>
    <row r="591" spans="1:9" s="531" customFormat="1" ht="12">
      <c r="A591" s="523"/>
      <c r="B591" s="524" t="s">
        <v>389</v>
      </c>
      <c r="C591" s="525">
        <f>SUM(D591:E591)</f>
        <v>3500000</v>
      </c>
      <c r="D591" s="526">
        <f>F591+H591</f>
        <v>3500000</v>
      </c>
      <c r="E591" s="527"/>
      <c r="F591" s="545">
        <v>3500000</v>
      </c>
      <c r="G591" s="527"/>
      <c r="H591" s="545"/>
      <c r="I591" s="549"/>
    </row>
    <row r="592" spans="1:9" ht="36" hidden="1">
      <c r="A592" s="571">
        <v>85216</v>
      </c>
      <c r="B592" s="695" t="s">
        <v>486</v>
      </c>
      <c r="C592" s="546">
        <f>SUM(C593)</f>
        <v>0</v>
      </c>
      <c r="D592" s="447"/>
      <c r="E592" s="547">
        <f>SUM(E593)</f>
        <v>0</v>
      </c>
      <c r="F592" s="548"/>
      <c r="G592" s="547">
        <f>SUM(G593)</f>
        <v>0</v>
      </c>
      <c r="H592" s="548"/>
      <c r="I592" s="449">
        <f>SUM(I593)</f>
        <v>0</v>
      </c>
    </row>
    <row r="593" spans="1:9" ht="12.75" hidden="1">
      <c r="A593" s="515"/>
      <c r="B593" s="516" t="s">
        <v>427</v>
      </c>
      <c r="C593" s="517">
        <f>SUM(C594)</f>
        <v>0</v>
      </c>
      <c r="D593" s="518"/>
      <c r="E593" s="519">
        <f>G593+I593</f>
        <v>0</v>
      </c>
      <c r="F593" s="520"/>
      <c r="G593" s="521">
        <f>SUM(G594)</f>
        <v>0</v>
      </c>
      <c r="H593" s="520"/>
      <c r="I593" s="522">
        <f>SUM(I594)</f>
        <v>0</v>
      </c>
    </row>
    <row r="594" spans="1:9" s="531" customFormat="1" ht="12" hidden="1">
      <c r="A594" s="523"/>
      <c r="B594" s="524" t="s">
        <v>389</v>
      </c>
      <c r="C594" s="525">
        <f>SUM(D594:E594)</f>
        <v>0</v>
      </c>
      <c r="D594" s="526"/>
      <c r="E594" s="527">
        <f>G594+I594</f>
        <v>0</v>
      </c>
      <c r="F594" s="545"/>
      <c r="G594" s="527">
        <v>0</v>
      </c>
      <c r="H594" s="545"/>
      <c r="I594" s="549">
        <v>0</v>
      </c>
    </row>
    <row r="595" spans="1:9" ht="25.5" customHeight="1">
      <c r="A595" s="571">
        <v>85218</v>
      </c>
      <c r="B595" s="695" t="s">
        <v>487</v>
      </c>
      <c r="C595" s="546">
        <f aca="true" t="shared" si="24" ref="C595:H595">C596+C600</f>
        <v>632497</v>
      </c>
      <c r="D595" s="447">
        <f t="shared" si="24"/>
        <v>632497</v>
      </c>
      <c r="E595" s="447"/>
      <c r="F595" s="548"/>
      <c r="G595" s="447"/>
      <c r="H595" s="777">
        <f t="shared" si="24"/>
        <v>632497</v>
      </c>
      <c r="I595" s="449"/>
    </row>
    <row r="596" spans="1:9" ht="13.5" customHeight="1">
      <c r="A596" s="807"/>
      <c r="B596" s="859" t="s">
        <v>427</v>
      </c>
      <c r="C596" s="809">
        <f>SUM(C597:C599)</f>
        <v>632497</v>
      </c>
      <c r="D596" s="810">
        <f>SUM(D597:D599)</f>
        <v>632497</v>
      </c>
      <c r="E596" s="737"/>
      <c r="F596" s="736"/>
      <c r="G596" s="737"/>
      <c r="H596" s="736">
        <f>SUM(H597:H599)</f>
        <v>632497</v>
      </c>
      <c r="I596" s="860"/>
    </row>
    <row r="597" spans="1:9" ht="12">
      <c r="A597" s="515"/>
      <c r="B597" s="524" t="s">
        <v>413</v>
      </c>
      <c r="C597" s="525">
        <f>SUM(D597:E597)</f>
        <v>568797</v>
      </c>
      <c r="D597" s="526">
        <f>F597+H597</f>
        <v>568797</v>
      </c>
      <c r="E597" s="519"/>
      <c r="F597" s="541"/>
      <c r="G597" s="519"/>
      <c r="H597" s="545">
        <v>568797</v>
      </c>
      <c r="I597" s="549"/>
    </row>
    <row r="598" spans="1:9" ht="12">
      <c r="A598" s="515"/>
      <c r="B598" s="524" t="s">
        <v>414</v>
      </c>
      <c r="C598" s="517"/>
      <c r="D598" s="518"/>
      <c r="E598" s="519"/>
      <c r="F598" s="541"/>
      <c r="G598" s="519"/>
      <c r="H598" s="545"/>
      <c r="I598" s="549"/>
    </row>
    <row r="599" spans="1:9" ht="12">
      <c r="A599" s="641"/>
      <c r="B599" s="771" t="s">
        <v>389</v>
      </c>
      <c r="C599" s="861">
        <f>SUM(D599:E599)</f>
        <v>63700</v>
      </c>
      <c r="D599" s="643">
        <f>F599+H599</f>
        <v>63700</v>
      </c>
      <c r="E599" s="714"/>
      <c r="F599" s="715"/>
      <c r="G599" s="714"/>
      <c r="H599" s="645">
        <v>63700</v>
      </c>
      <c r="I599" s="653"/>
    </row>
    <row r="600" spans="1:9" ht="12" hidden="1">
      <c r="A600" s="515"/>
      <c r="B600" s="516" t="s">
        <v>384</v>
      </c>
      <c r="C600" s="517">
        <f>SUM(C601)</f>
        <v>0</v>
      </c>
      <c r="D600" s="518">
        <f>SUM(D601)</f>
        <v>0</v>
      </c>
      <c r="E600" s="519"/>
      <c r="F600" s="541"/>
      <c r="G600" s="519"/>
      <c r="H600" s="541">
        <f>SUM(H601)</f>
        <v>0</v>
      </c>
      <c r="I600" s="542"/>
    </row>
    <row r="601" spans="1:9" s="531" customFormat="1" ht="12" hidden="1">
      <c r="A601" s="523"/>
      <c r="B601" s="524" t="s">
        <v>385</v>
      </c>
      <c r="C601" s="517">
        <f>SUM(D601:E601)</f>
        <v>0</v>
      </c>
      <c r="D601" s="526">
        <f>F601+H601</f>
        <v>0</v>
      </c>
      <c r="E601" s="527"/>
      <c r="F601" s="545"/>
      <c r="G601" s="527"/>
      <c r="H601" s="545"/>
      <c r="I601" s="549"/>
    </row>
    <row r="602" spans="1:9" ht="24">
      <c r="A602" s="571">
        <v>85219</v>
      </c>
      <c r="B602" s="695" t="s">
        <v>488</v>
      </c>
      <c r="C602" s="546">
        <f>SUM(C603+C608)</f>
        <v>6505300</v>
      </c>
      <c r="D602" s="447">
        <f>SUM(D603+D608)</f>
        <v>6505300</v>
      </c>
      <c r="E602" s="447"/>
      <c r="F602" s="777">
        <f>SUM(F603+F608)</f>
        <v>6505300</v>
      </c>
      <c r="G602" s="547"/>
      <c r="H602" s="548"/>
      <c r="I602" s="449"/>
    </row>
    <row r="603" spans="1:9" ht="12.75">
      <c r="A603" s="704"/>
      <c r="B603" s="769" t="s">
        <v>388</v>
      </c>
      <c r="C603" s="672">
        <f>SUM(C604:C606)</f>
        <v>5955300</v>
      </c>
      <c r="D603" s="706">
        <f>F603+H603</f>
        <v>5955300</v>
      </c>
      <c r="E603" s="707"/>
      <c r="F603" s="862">
        <f>SUM(F604:F606)</f>
        <v>5955300</v>
      </c>
      <c r="G603" s="717"/>
      <c r="H603" s="708"/>
      <c r="I603" s="711"/>
    </row>
    <row r="604" spans="1:9" s="531" customFormat="1" ht="12">
      <c r="A604" s="523"/>
      <c r="B604" s="524" t="s">
        <v>413</v>
      </c>
      <c r="C604" s="525">
        <f>SUM(D604:E604)</f>
        <v>4893000</v>
      </c>
      <c r="D604" s="526">
        <f>F604+H604</f>
        <v>4893000</v>
      </c>
      <c r="E604" s="527"/>
      <c r="F604" s="545">
        <v>4893000</v>
      </c>
      <c r="G604" s="527"/>
      <c r="H604" s="545"/>
      <c r="I604" s="549"/>
    </row>
    <row r="605" spans="1:9" s="531" customFormat="1" ht="10.5" customHeight="1">
      <c r="A605" s="523"/>
      <c r="B605" s="524" t="s">
        <v>414</v>
      </c>
      <c r="C605" s="517"/>
      <c r="D605" s="526"/>
      <c r="E605" s="527"/>
      <c r="F605" s="545"/>
      <c r="G605" s="527"/>
      <c r="H605" s="545"/>
      <c r="I605" s="549"/>
    </row>
    <row r="606" spans="1:9" s="531" customFormat="1" ht="12">
      <c r="A606" s="523"/>
      <c r="B606" s="524" t="s">
        <v>389</v>
      </c>
      <c r="C606" s="517">
        <f>SUM(D606:E606)</f>
        <v>1062300</v>
      </c>
      <c r="D606" s="526">
        <f>F606+H606</f>
        <v>1062300</v>
      </c>
      <c r="E606" s="527"/>
      <c r="F606" s="545">
        <v>1062300</v>
      </c>
      <c r="G606" s="527"/>
      <c r="H606" s="545"/>
      <c r="I606" s="549"/>
    </row>
    <row r="607" spans="1:9" s="531" customFormat="1" ht="12.75" customHeight="1">
      <c r="A607" s="523"/>
      <c r="B607" s="524" t="s">
        <v>416</v>
      </c>
      <c r="C607" s="517">
        <f>SUM(D607:E607)</f>
        <v>65000</v>
      </c>
      <c r="D607" s="526">
        <f>F607+H607</f>
        <v>65000</v>
      </c>
      <c r="E607" s="527"/>
      <c r="F607" s="545">
        <v>65000</v>
      </c>
      <c r="G607" s="527"/>
      <c r="H607" s="545"/>
      <c r="I607" s="549"/>
    </row>
    <row r="608" spans="1:9" ht="12">
      <c r="A608" s="515"/>
      <c r="B608" s="516" t="s">
        <v>384</v>
      </c>
      <c r="C608" s="517">
        <f>SUM(C609:C610)</f>
        <v>550000</v>
      </c>
      <c r="D608" s="518">
        <f>SUM(D609:D610)</f>
        <v>550000</v>
      </c>
      <c r="E608" s="519"/>
      <c r="F608" s="541">
        <f>SUM(F609:F610)</f>
        <v>550000</v>
      </c>
      <c r="G608" s="519"/>
      <c r="H608" s="541"/>
      <c r="I608" s="542"/>
    </row>
    <row r="609" spans="1:9" s="676" customFormat="1" ht="14.25" customHeight="1">
      <c r="A609" s="523"/>
      <c r="B609" s="787" t="s">
        <v>397</v>
      </c>
      <c r="C609" s="525">
        <f>D609+E609</f>
        <v>400000</v>
      </c>
      <c r="D609" s="526">
        <f>F609+H609</f>
        <v>400000</v>
      </c>
      <c r="E609" s="527"/>
      <c r="F609" s="526">
        <v>400000</v>
      </c>
      <c r="G609" s="527"/>
      <c r="H609" s="572"/>
      <c r="I609" s="549"/>
    </row>
    <row r="610" spans="1:9" s="531" customFormat="1" ht="12">
      <c r="A610" s="657"/>
      <c r="B610" s="574" t="s">
        <v>385</v>
      </c>
      <c r="C610" s="861">
        <f>SUM(D610:E610)</f>
        <v>150000</v>
      </c>
      <c r="D610" s="643">
        <f>F610+H610</f>
        <v>150000</v>
      </c>
      <c r="E610" s="644"/>
      <c r="F610" s="645">
        <v>150000</v>
      </c>
      <c r="G610" s="644"/>
      <c r="H610" s="645"/>
      <c r="I610" s="653"/>
    </row>
    <row r="611" spans="1:9" s="539" customFormat="1" ht="46.5" customHeight="1">
      <c r="A611" s="571">
        <v>85220</v>
      </c>
      <c r="B611" s="695" t="s">
        <v>489</v>
      </c>
      <c r="C611" s="546">
        <f>SUM(C612)</f>
        <v>222600</v>
      </c>
      <c r="D611" s="447">
        <f>SUM(D612)</f>
        <v>222600</v>
      </c>
      <c r="E611" s="547"/>
      <c r="F611" s="548">
        <f>SUM(F612)</f>
        <v>26600</v>
      </c>
      <c r="G611" s="547"/>
      <c r="H611" s="777">
        <f>SUM(H612)</f>
        <v>196000</v>
      </c>
      <c r="I611" s="449"/>
    </row>
    <row r="612" spans="1:9" ht="13.5" customHeight="1">
      <c r="A612" s="704"/>
      <c r="B612" s="769" t="s">
        <v>427</v>
      </c>
      <c r="C612" s="672">
        <f>C613+C615+C616</f>
        <v>222600</v>
      </c>
      <c r="D612" s="706">
        <f>F612+H612</f>
        <v>222600</v>
      </c>
      <c r="E612" s="707"/>
      <c r="F612" s="708">
        <f>SUM(F613:F616)</f>
        <v>26600</v>
      </c>
      <c r="G612" s="717"/>
      <c r="H612" s="862">
        <f>SUM(H613:H616)</f>
        <v>196000</v>
      </c>
      <c r="I612" s="711"/>
    </row>
    <row r="613" spans="1:9" ht="12" hidden="1">
      <c r="A613" s="515"/>
      <c r="B613" s="524" t="s">
        <v>413</v>
      </c>
      <c r="C613" s="525">
        <f>SUM(D613:E613)</f>
        <v>0</v>
      </c>
      <c r="D613" s="526">
        <f>F613+H613</f>
        <v>0</v>
      </c>
      <c r="E613" s="519"/>
      <c r="F613" s="545"/>
      <c r="G613" s="519"/>
      <c r="H613" s="573"/>
      <c r="I613" s="549"/>
    </row>
    <row r="614" spans="1:9" ht="12" hidden="1">
      <c r="A614" s="515"/>
      <c r="B614" s="524" t="s">
        <v>414</v>
      </c>
      <c r="C614" s="517"/>
      <c r="D614" s="518"/>
      <c r="E614" s="519"/>
      <c r="F614" s="545"/>
      <c r="G614" s="519"/>
      <c r="H614" s="573"/>
      <c r="I614" s="549"/>
    </row>
    <row r="615" spans="1:9" s="531" customFormat="1" ht="12">
      <c r="A615" s="523"/>
      <c r="B615" s="544" t="s">
        <v>400</v>
      </c>
      <c r="C615" s="525">
        <f>SUM(D615:E615)</f>
        <v>196000</v>
      </c>
      <c r="D615" s="526">
        <f>F615+H615</f>
        <v>196000</v>
      </c>
      <c r="E615" s="527"/>
      <c r="F615" s="545"/>
      <c r="G615" s="527"/>
      <c r="H615" s="573">
        <v>196000</v>
      </c>
      <c r="I615" s="549"/>
    </row>
    <row r="616" spans="1:9" s="531" customFormat="1" ht="13.5" customHeight="1">
      <c r="A616" s="523"/>
      <c r="B616" s="524" t="s">
        <v>389</v>
      </c>
      <c r="C616" s="525">
        <f>SUM(D616:E616)</f>
        <v>26600</v>
      </c>
      <c r="D616" s="526">
        <f>F616+H616</f>
        <v>26600</v>
      </c>
      <c r="E616" s="527"/>
      <c r="F616" s="545">
        <v>26600</v>
      </c>
      <c r="G616" s="527"/>
      <c r="H616" s="573"/>
      <c r="I616" s="549"/>
    </row>
    <row r="617" spans="1:9" s="531" customFormat="1" ht="12.75" customHeight="1">
      <c r="A617" s="657"/>
      <c r="B617" s="574" t="s">
        <v>416</v>
      </c>
      <c r="C617" s="861">
        <f>SUM(D617:E617)</f>
        <v>4000</v>
      </c>
      <c r="D617" s="643">
        <f>F617+H617</f>
        <v>4000</v>
      </c>
      <c r="E617" s="644"/>
      <c r="F617" s="645">
        <v>4000</v>
      </c>
      <c r="G617" s="644"/>
      <c r="H617" s="782"/>
      <c r="I617" s="653"/>
    </row>
    <row r="618" spans="1:9" s="539" customFormat="1" ht="24">
      <c r="A618" s="571">
        <v>85226</v>
      </c>
      <c r="B618" s="695" t="s">
        <v>490</v>
      </c>
      <c r="C618" s="546">
        <f>SUM(C619)</f>
        <v>374003</v>
      </c>
      <c r="D618" s="447">
        <f>SUM(D619)</f>
        <v>374003</v>
      </c>
      <c r="E618" s="547"/>
      <c r="F618" s="548"/>
      <c r="G618" s="737"/>
      <c r="H618" s="777">
        <f>SUM(H619)</f>
        <v>374003</v>
      </c>
      <c r="I618" s="449"/>
    </row>
    <row r="619" spans="1:9" ht="12.75">
      <c r="A619" s="515"/>
      <c r="B619" s="540" t="s">
        <v>388</v>
      </c>
      <c r="C619" s="517">
        <f>SUM(C620:C622)</f>
        <v>374003</v>
      </c>
      <c r="D619" s="518">
        <f>SUM(D620:D622)</f>
        <v>374003</v>
      </c>
      <c r="E619" s="519"/>
      <c r="F619" s="520"/>
      <c r="G619" s="654"/>
      <c r="H619" s="652">
        <f>SUM(H620:H622)</f>
        <v>374003</v>
      </c>
      <c r="I619" s="522"/>
    </row>
    <row r="620" spans="1:9" ht="12">
      <c r="A620" s="515"/>
      <c r="B620" s="524" t="s">
        <v>413</v>
      </c>
      <c r="C620" s="525">
        <f>SUM(D620:E620)</f>
        <v>323223</v>
      </c>
      <c r="D620" s="526">
        <f>F620+H620</f>
        <v>323223</v>
      </c>
      <c r="E620" s="527"/>
      <c r="F620" s="545"/>
      <c r="G620" s="519"/>
      <c r="H620" s="573">
        <v>323223</v>
      </c>
      <c r="I620" s="542"/>
    </row>
    <row r="621" spans="1:9" ht="12" customHeight="1">
      <c r="A621" s="515"/>
      <c r="B621" s="524" t="s">
        <v>414</v>
      </c>
      <c r="C621" s="525"/>
      <c r="D621" s="526"/>
      <c r="E621" s="527"/>
      <c r="F621" s="545"/>
      <c r="G621" s="519"/>
      <c r="H621" s="545"/>
      <c r="I621" s="542"/>
    </row>
    <row r="622" spans="1:9" ht="12" customHeight="1">
      <c r="A622" s="515"/>
      <c r="B622" s="544" t="s">
        <v>389</v>
      </c>
      <c r="C622" s="525">
        <f>SUM(D622:E622)</f>
        <v>50780</v>
      </c>
      <c r="D622" s="526">
        <f>F622+H622</f>
        <v>50780</v>
      </c>
      <c r="E622" s="527"/>
      <c r="F622" s="545"/>
      <c r="G622" s="519"/>
      <c r="H622" s="545">
        <v>50780</v>
      </c>
      <c r="I622" s="542"/>
    </row>
    <row r="623" spans="1:9" s="531" customFormat="1" ht="9.75" customHeight="1">
      <c r="A623" s="523"/>
      <c r="B623" s="524" t="s">
        <v>416</v>
      </c>
      <c r="C623" s="517">
        <f>SUM(D623:E623)</f>
        <v>1000</v>
      </c>
      <c r="D623" s="526">
        <f>F623+H623</f>
        <v>1000</v>
      </c>
      <c r="E623" s="527"/>
      <c r="F623" s="545"/>
      <c r="G623" s="527"/>
      <c r="H623" s="545">
        <v>1000</v>
      </c>
      <c r="I623" s="549"/>
    </row>
    <row r="624" spans="1:9" s="539" customFormat="1" ht="36.75" customHeight="1">
      <c r="A624" s="571">
        <v>85228</v>
      </c>
      <c r="B624" s="695" t="s">
        <v>491</v>
      </c>
      <c r="C624" s="546">
        <f>SUM(C625)</f>
        <v>1280054</v>
      </c>
      <c r="D624" s="447">
        <f>SUM(D625)</f>
        <v>1131054</v>
      </c>
      <c r="E624" s="547">
        <f>SUM(E625)</f>
        <v>149000</v>
      </c>
      <c r="F624" s="777">
        <f>SUM(F625)</f>
        <v>1131054</v>
      </c>
      <c r="G624" s="547">
        <f>SUM(G625)</f>
        <v>149000</v>
      </c>
      <c r="H624" s="447"/>
      <c r="I624" s="860"/>
    </row>
    <row r="625" spans="1:9" ht="14.25" customHeight="1">
      <c r="A625" s="515"/>
      <c r="B625" s="540" t="s">
        <v>388</v>
      </c>
      <c r="C625" s="517">
        <f>SUM(C626:C629)</f>
        <v>1280054</v>
      </c>
      <c r="D625" s="518">
        <f>SUM(D626:D629)</f>
        <v>1131054</v>
      </c>
      <c r="E625" s="519">
        <f>SUM(E626:E629)</f>
        <v>149000</v>
      </c>
      <c r="F625" s="652">
        <f>SUM(F626:F629)</f>
        <v>1131054</v>
      </c>
      <c r="G625" s="521">
        <f>SUM(G626:G629)</f>
        <v>149000</v>
      </c>
      <c r="H625" s="678"/>
      <c r="I625" s="656"/>
    </row>
    <row r="626" spans="1:9" ht="10.5" customHeight="1">
      <c r="A626" s="515"/>
      <c r="B626" s="524" t="s">
        <v>413</v>
      </c>
      <c r="C626" s="525">
        <f>SUM(D626:E626)</f>
        <v>1138599</v>
      </c>
      <c r="D626" s="526">
        <f>F626+H626</f>
        <v>1015179</v>
      </c>
      <c r="E626" s="527">
        <f>G626+I626</f>
        <v>123420</v>
      </c>
      <c r="F626" s="573">
        <v>1015179</v>
      </c>
      <c r="G626" s="527">
        <v>123420</v>
      </c>
      <c r="H626" s="526"/>
      <c r="I626" s="542"/>
    </row>
    <row r="627" spans="1:9" ht="11.25" customHeight="1">
      <c r="A627" s="515"/>
      <c r="B627" s="524" t="s">
        <v>414</v>
      </c>
      <c r="C627" s="525"/>
      <c r="D627" s="526"/>
      <c r="E627" s="527"/>
      <c r="F627" s="573"/>
      <c r="G627" s="527"/>
      <c r="H627" s="526"/>
      <c r="I627" s="542"/>
    </row>
    <row r="628" spans="1:9" s="676" customFormat="1" ht="9.75" customHeight="1" hidden="1">
      <c r="A628" s="523"/>
      <c r="B628" s="524" t="s">
        <v>400</v>
      </c>
      <c r="C628" s="525">
        <f>SUM(D628:E628)</f>
        <v>0</v>
      </c>
      <c r="D628" s="526">
        <f>F628+H628</f>
        <v>0</v>
      </c>
      <c r="E628" s="527"/>
      <c r="F628" s="545">
        <v>0</v>
      </c>
      <c r="G628" s="529"/>
      <c r="H628" s="528"/>
      <c r="I628" s="530"/>
    </row>
    <row r="629" spans="1:9" ht="11.25" customHeight="1">
      <c r="A629" s="641"/>
      <c r="B629" s="658" t="s">
        <v>389</v>
      </c>
      <c r="C629" s="642">
        <f>SUM(D629:E629)</f>
        <v>141455</v>
      </c>
      <c r="D629" s="643">
        <f>F629+H629</f>
        <v>115875</v>
      </c>
      <c r="E629" s="644">
        <f>G629+I629</f>
        <v>25580</v>
      </c>
      <c r="F629" s="782">
        <v>115875</v>
      </c>
      <c r="G629" s="644">
        <v>25580</v>
      </c>
      <c r="H629" s="643"/>
      <c r="I629" s="797"/>
    </row>
    <row r="630" spans="1:9" ht="12" customHeight="1">
      <c r="A630" s="571">
        <v>85295</v>
      </c>
      <c r="B630" s="695" t="s">
        <v>395</v>
      </c>
      <c r="C630" s="534">
        <f>SUM(C631+C636)</f>
        <v>997800</v>
      </c>
      <c r="D630" s="535">
        <f>SUM(D631+D636)</f>
        <v>981800</v>
      </c>
      <c r="E630" s="536">
        <f>E631</f>
        <v>16000</v>
      </c>
      <c r="F630" s="537">
        <f>SUM(F631+F636)</f>
        <v>981800</v>
      </c>
      <c r="G630" s="535"/>
      <c r="H630" s="537"/>
      <c r="I630" s="863">
        <f>SUM(I631+I636)</f>
        <v>16000</v>
      </c>
    </row>
    <row r="631" spans="1:9" ht="11.25" customHeight="1">
      <c r="A631" s="704"/>
      <c r="B631" s="769" t="s">
        <v>427</v>
      </c>
      <c r="C631" s="778">
        <f>SUM(C632:C635)</f>
        <v>997800</v>
      </c>
      <c r="D631" s="518">
        <f>F631+H631</f>
        <v>981800</v>
      </c>
      <c r="E631" s="519">
        <f>SUM(E632:E635)</f>
        <v>16000</v>
      </c>
      <c r="F631" s="710">
        <f>SUM(F632:F635)</f>
        <v>981800</v>
      </c>
      <c r="G631" s="864"/>
      <c r="H631" s="710"/>
      <c r="I631" s="865">
        <f>SUM(I632:I635)</f>
        <v>16000</v>
      </c>
    </row>
    <row r="632" spans="1:9" s="640" customFormat="1" ht="11.25" customHeight="1" hidden="1">
      <c r="A632" s="866"/>
      <c r="B632" s="867" t="s">
        <v>413</v>
      </c>
      <c r="C632" s="868">
        <f>SUM(D632:E632)</f>
        <v>0</v>
      </c>
      <c r="D632" s="869">
        <f>F632</f>
        <v>0</v>
      </c>
      <c r="E632" s="527">
        <f>G632+I632</f>
        <v>0</v>
      </c>
      <c r="F632" s="870"/>
      <c r="G632" s="871"/>
      <c r="H632" s="870"/>
      <c r="I632" s="872"/>
    </row>
    <row r="633" spans="1:9" ht="11.25" customHeight="1" hidden="1">
      <c r="A633" s="515"/>
      <c r="B633" s="524" t="s">
        <v>414</v>
      </c>
      <c r="C633" s="873"/>
      <c r="D633" s="518"/>
      <c r="E633" s="519"/>
      <c r="F633" s="655"/>
      <c r="G633" s="654"/>
      <c r="H633" s="655"/>
      <c r="I633" s="874"/>
    </row>
    <row r="634" spans="1:9" s="676" customFormat="1" ht="10.5" customHeight="1">
      <c r="A634" s="523"/>
      <c r="B634" s="524" t="s">
        <v>400</v>
      </c>
      <c r="C634" s="525">
        <f>SUM(D634:E634)</f>
        <v>150000</v>
      </c>
      <c r="D634" s="526">
        <f>F634+H634</f>
        <v>150000</v>
      </c>
      <c r="E634" s="527"/>
      <c r="F634" s="545">
        <v>150000</v>
      </c>
      <c r="G634" s="529"/>
      <c r="H634" s="528"/>
      <c r="I634" s="549"/>
    </row>
    <row r="635" spans="1:9" s="676" customFormat="1" ht="10.5" customHeight="1" thickBot="1">
      <c r="A635" s="523"/>
      <c r="B635" s="524" t="s">
        <v>389</v>
      </c>
      <c r="C635" s="525">
        <f>SUM(D635:E635)</f>
        <v>847800</v>
      </c>
      <c r="D635" s="526">
        <f>F635+H635</f>
        <v>831800</v>
      </c>
      <c r="E635" s="527">
        <f>G635+I635</f>
        <v>16000</v>
      </c>
      <c r="F635" s="545">
        <v>831800</v>
      </c>
      <c r="G635" s="529"/>
      <c r="H635" s="528"/>
      <c r="I635" s="549">
        <v>16000</v>
      </c>
    </row>
    <row r="636" spans="1:9" ht="12.75" hidden="1" thickBot="1">
      <c r="A636" s="515"/>
      <c r="B636" s="516" t="s">
        <v>384</v>
      </c>
      <c r="C636" s="517">
        <f>SUM(C637:C638)</f>
        <v>0</v>
      </c>
      <c r="D636" s="518">
        <f>SUM(D637:D638)</f>
        <v>0</v>
      </c>
      <c r="E636" s="519"/>
      <c r="F636" s="541">
        <f>SUM(F637:F638)</f>
        <v>0</v>
      </c>
      <c r="G636" s="519"/>
      <c r="H636" s="541"/>
      <c r="I636" s="542"/>
    </row>
    <row r="637" spans="1:9" s="531" customFormat="1" ht="12.75" hidden="1" thickBot="1">
      <c r="A637" s="523"/>
      <c r="B637" s="524" t="s">
        <v>397</v>
      </c>
      <c r="C637" s="517">
        <f>SUM(D637:E637)</f>
        <v>0</v>
      </c>
      <c r="D637" s="526">
        <f>F637+H637</f>
        <v>0</v>
      </c>
      <c r="E637" s="527"/>
      <c r="F637" s="545"/>
      <c r="G637" s="527"/>
      <c r="H637" s="545"/>
      <c r="I637" s="549"/>
    </row>
    <row r="638" spans="1:9" s="531" customFormat="1" ht="15.75" customHeight="1" hidden="1">
      <c r="A638" s="657"/>
      <c r="B638" s="574" t="s">
        <v>385</v>
      </c>
      <c r="C638" s="861">
        <f>SUM(D638:E638)</f>
        <v>0</v>
      </c>
      <c r="D638" s="643">
        <f>F638+H638</f>
        <v>0</v>
      </c>
      <c r="E638" s="644"/>
      <c r="F638" s="645"/>
      <c r="G638" s="644"/>
      <c r="H638" s="645"/>
      <c r="I638" s="653"/>
    </row>
    <row r="639" spans="1:9" s="676" customFormat="1" ht="55.5" customHeight="1" thickBot="1" thickTop="1">
      <c r="A639" s="875">
        <v>853</v>
      </c>
      <c r="B639" s="509" t="s">
        <v>280</v>
      </c>
      <c r="C639" s="510">
        <f>C649+C659+C655+C666</f>
        <v>5295003</v>
      </c>
      <c r="D639" s="511">
        <f>D649+D659+D655+D666</f>
        <v>5179003</v>
      </c>
      <c r="E639" s="511">
        <f>E649+E659+E655+E666</f>
        <v>116000</v>
      </c>
      <c r="F639" s="513">
        <f>F649+F659+F655+F666</f>
        <v>4287784</v>
      </c>
      <c r="G639" s="512"/>
      <c r="H639" s="513">
        <f>H649+H659+H655+H666</f>
        <v>891219</v>
      </c>
      <c r="I639" s="457">
        <f>I649+I659+I655+I666</f>
        <v>116000</v>
      </c>
    </row>
    <row r="640" spans="1:9" s="600" customFormat="1" ht="14.25" thickTop="1">
      <c r="A640" s="876"/>
      <c r="B640" s="877" t="s">
        <v>427</v>
      </c>
      <c r="C640" s="578">
        <f>D640+E640</f>
        <v>4352719</v>
      </c>
      <c r="D640" s="579">
        <f>F640+H640</f>
        <v>4236719</v>
      </c>
      <c r="E640" s="580">
        <f>SUM(E641:E644)</f>
        <v>116000</v>
      </c>
      <c r="F640" s="728">
        <f>F650+F652</f>
        <v>3345500</v>
      </c>
      <c r="G640" s="729"/>
      <c r="H640" s="583">
        <f>H649+H656+H659+H666</f>
        <v>891219</v>
      </c>
      <c r="I640" s="597">
        <f>SUM(I641:I644)</f>
        <v>116000</v>
      </c>
    </row>
    <row r="641" spans="1:9" s="531" customFormat="1" ht="12.75" customHeight="1">
      <c r="A641" s="878"/>
      <c r="B641" s="524" t="s">
        <v>413</v>
      </c>
      <c r="C641" s="586">
        <f>D641+E641</f>
        <v>675044</v>
      </c>
      <c r="D641" s="587">
        <f>F641+H641</f>
        <v>583644</v>
      </c>
      <c r="E641" s="529">
        <f>G641+I641</f>
        <v>91400</v>
      </c>
      <c r="F641" s="588">
        <f>F668</f>
        <v>317253</v>
      </c>
      <c r="G641" s="731"/>
      <c r="H641" s="528">
        <f>H661+H668</f>
        <v>266391</v>
      </c>
      <c r="I641" s="530">
        <f>I661</f>
        <v>91400</v>
      </c>
    </row>
    <row r="642" spans="1:9" s="531" customFormat="1" ht="12.75" customHeight="1">
      <c r="A642" s="878"/>
      <c r="B642" s="524" t="s">
        <v>414</v>
      </c>
      <c r="C642" s="586"/>
      <c r="D642" s="587"/>
      <c r="E642" s="529"/>
      <c r="F642" s="588"/>
      <c r="G642" s="529"/>
      <c r="H642" s="528"/>
      <c r="I642" s="530"/>
    </row>
    <row r="643" spans="1:9" s="531" customFormat="1" ht="12.75" customHeight="1">
      <c r="A643" s="878"/>
      <c r="B643" s="544" t="s">
        <v>400</v>
      </c>
      <c r="C643" s="586">
        <f aca="true" t="shared" si="25" ref="C643:C648">D643+E643</f>
        <v>3318173</v>
      </c>
      <c r="D643" s="587">
        <f aca="true" t="shared" si="26" ref="D643:D648">F643+H643</f>
        <v>3318173</v>
      </c>
      <c r="E643" s="529"/>
      <c r="F643" s="588">
        <f>F651+F657</f>
        <v>3101000</v>
      </c>
      <c r="G643" s="529"/>
      <c r="H643" s="528">
        <f>H657+H670</f>
        <v>217173</v>
      </c>
      <c r="I643" s="530"/>
    </row>
    <row r="644" spans="1:9" s="531" customFormat="1" ht="12.75" customHeight="1">
      <c r="A644" s="878"/>
      <c r="B644" s="524" t="s">
        <v>389</v>
      </c>
      <c r="C644" s="586">
        <f t="shared" si="25"/>
        <v>1057286</v>
      </c>
      <c r="D644" s="587">
        <f t="shared" si="26"/>
        <v>1032686</v>
      </c>
      <c r="E644" s="529">
        <f>G644+I644</f>
        <v>24600</v>
      </c>
      <c r="F644" s="588">
        <f>F671</f>
        <v>625031</v>
      </c>
      <c r="G644" s="731"/>
      <c r="H644" s="528">
        <f>H658+H663+H671</f>
        <v>407655</v>
      </c>
      <c r="I644" s="530">
        <f>I658+I663+I671</f>
        <v>24600</v>
      </c>
    </row>
    <row r="645" spans="1:9" s="600" customFormat="1" ht="12.75" customHeight="1">
      <c r="A645" s="876"/>
      <c r="B645" s="577" t="s">
        <v>384</v>
      </c>
      <c r="C645" s="586">
        <f t="shared" si="25"/>
        <v>244500</v>
      </c>
      <c r="D645" s="587">
        <f t="shared" si="26"/>
        <v>244500</v>
      </c>
      <c r="E645" s="529"/>
      <c r="F645" s="588">
        <f>F652</f>
        <v>244500</v>
      </c>
      <c r="G645" s="580"/>
      <c r="H645" s="596"/>
      <c r="I645" s="597"/>
    </row>
    <row r="646" spans="1:9" s="600" customFormat="1" ht="12.75" customHeight="1">
      <c r="A646" s="876"/>
      <c r="B646" s="879" t="s">
        <v>397</v>
      </c>
      <c r="C646" s="586">
        <f t="shared" si="25"/>
        <v>244500</v>
      </c>
      <c r="D646" s="587">
        <f t="shared" si="26"/>
        <v>244500</v>
      </c>
      <c r="E646" s="529"/>
      <c r="F646" s="588">
        <f>F653</f>
        <v>244500</v>
      </c>
      <c r="G646" s="880"/>
      <c r="H646" s="596"/>
      <c r="I646" s="597"/>
    </row>
    <row r="647" spans="1:9" s="600" customFormat="1" ht="12.75" customHeight="1" thickBot="1">
      <c r="A647" s="881"/>
      <c r="B647" s="882" t="s">
        <v>401</v>
      </c>
      <c r="C647" s="683">
        <f t="shared" si="25"/>
        <v>166000</v>
      </c>
      <c r="D647" s="684">
        <f t="shared" si="26"/>
        <v>166000</v>
      </c>
      <c r="E647" s="617"/>
      <c r="F647" s="616">
        <f>F654</f>
        <v>166000</v>
      </c>
      <c r="G647" s="883"/>
      <c r="H647" s="752"/>
      <c r="I647" s="753"/>
    </row>
    <row r="648" spans="1:9" s="531" customFormat="1" ht="12.75" customHeight="1" hidden="1">
      <c r="A648" s="884"/>
      <c r="B648" s="658" t="s">
        <v>385</v>
      </c>
      <c r="C648" s="642">
        <f t="shared" si="25"/>
        <v>0</v>
      </c>
      <c r="D648" s="660">
        <f t="shared" si="26"/>
        <v>0</v>
      </c>
      <c r="E648" s="644"/>
      <c r="F648" s="782">
        <f>F665</f>
        <v>0</v>
      </c>
      <c r="G648" s="885"/>
      <c r="H648" s="645">
        <f>H665</f>
        <v>0</v>
      </c>
      <c r="I648" s="653"/>
    </row>
    <row r="649" spans="1:9" ht="12.75" customHeight="1" thickTop="1">
      <c r="A649" s="620">
        <v>85305</v>
      </c>
      <c r="B649" s="689" t="s">
        <v>492</v>
      </c>
      <c r="C649" s="690">
        <f>C650+C652</f>
        <v>3345500</v>
      </c>
      <c r="D649" s="691">
        <f>D650+D652</f>
        <v>3345500</v>
      </c>
      <c r="E649" s="692"/>
      <c r="F649" s="693">
        <f>F650+F652</f>
        <v>3345500</v>
      </c>
      <c r="G649" s="692"/>
      <c r="H649" s="693"/>
      <c r="I649" s="694"/>
    </row>
    <row r="650" spans="1:9" ht="13.5" customHeight="1">
      <c r="A650" s="515"/>
      <c r="B650" s="516" t="s">
        <v>427</v>
      </c>
      <c r="C650" s="517">
        <f>SUM(C651)</f>
        <v>3101000</v>
      </c>
      <c r="D650" s="518">
        <f>SUM(D651)</f>
        <v>3101000</v>
      </c>
      <c r="E650" s="519"/>
      <c r="F650" s="520">
        <f>SUM(F651)</f>
        <v>3101000</v>
      </c>
      <c r="G650" s="521"/>
      <c r="H650" s="520"/>
      <c r="I650" s="522"/>
    </row>
    <row r="651" spans="1:9" s="531" customFormat="1" ht="12" customHeight="1">
      <c r="A651" s="523"/>
      <c r="B651" s="524" t="s">
        <v>400</v>
      </c>
      <c r="C651" s="525">
        <f>SUM(D651:E651)</f>
        <v>3101000</v>
      </c>
      <c r="D651" s="526">
        <f>F651+H651</f>
        <v>3101000</v>
      </c>
      <c r="E651" s="527"/>
      <c r="F651" s="545">
        <v>3101000</v>
      </c>
      <c r="G651" s="527"/>
      <c r="H651" s="545"/>
      <c r="I651" s="549"/>
    </row>
    <row r="652" spans="1:9" s="531" customFormat="1" ht="12" customHeight="1">
      <c r="A652" s="523"/>
      <c r="B652" s="516" t="s">
        <v>384</v>
      </c>
      <c r="C652" s="525">
        <f>C653</f>
        <v>244500</v>
      </c>
      <c r="D652" s="526">
        <f>D653</f>
        <v>244500</v>
      </c>
      <c r="E652" s="527"/>
      <c r="F652" s="545">
        <f>F653</f>
        <v>244500</v>
      </c>
      <c r="G652" s="527"/>
      <c r="H652" s="545"/>
      <c r="I652" s="549"/>
    </row>
    <row r="653" spans="1:9" s="531" customFormat="1" ht="12" customHeight="1">
      <c r="A653" s="523"/>
      <c r="B653" s="879" t="s">
        <v>397</v>
      </c>
      <c r="C653" s="525">
        <f>SUM(D653:E653)</f>
        <v>244500</v>
      </c>
      <c r="D653" s="526">
        <f>F653+H653</f>
        <v>244500</v>
      </c>
      <c r="E653" s="527"/>
      <c r="F653" s="545">
        <v>244500</v>
      </c>
      <c r="G653" s="527"/>
      <c r="H653" s="545"/>
      <c r="I653" s="549"/>
    </row>
    <row r="654" spans="1:9" s="531" customFormat="1" ht="12" customHeight="1">
      <c r="A654" s="657"/>
      <c r="B654" s="886" t="s">
        <v>401</v>
      </c>
      <c r="C654" s="642">
        <f>SUM(D654:E654)</f>
        <v>166000</v>
      </c>
      <c r="D654" s="643">
        <f>F654+H654</f>
        <v>166000</v>
      </c>
      <c r="E654" s="644"/>
      <c r="F654" s="645">
        <v>166000</v>
      </c>
      <c r="G654" s="644"/>
      <c r="H654" s="645"/>
      <c r="I654" s="653"/>
    </row>
    <row r="655" spans="1:9" s="531" customFormat="1" ht="36.75" customHeight="1">
      <c r="A655" s="620">
        <v>85311</v>
      </c>
      <c r="B655" s="689" t="s">
        <v>493</v>
      </c>
      <c r="C655" s="546">
        <f>SUM(C656)</f>
        <v>199237</v>
      </c>
      <c r="D655" s="447">
        <f>SUM(D656)</f>
        <v>199237</v>
      </c>
      <c r="E655" s="692"/>
      <c r="F655" s="801"/>
      <c r="G655" s="692"/>
      <c r="H655" s="801">
        <f>SUM(H656)</f>
        <v>199237</v>
      </c>
      <c r="I655" s="694"/>
    </row>
    <row r="656" spans="1:9" ht="13.5" customHeight="1">
      <c r="A656" s="704"/>
      <c r="B656" s="769" t="s">
        <v>427</v>
      </c>
      <c r="C656" s="778">
        <f>SUM(C657:C658)</f>
        <v>199237</v>
      </c>
      <c r="D656" s="518">
        <f>F656+H656</f>
        <v>199237</v>
      </c>
      <c r="E656" s="519"/>
      <c r="F656" s="780"/>
      <c r="G656" s="709"/>
      <c r="H656" s="710">
        <f>SUM(H657:H658)</f>
        <v>199237</v>
      </c>
      <c r="I656" s="745"/>
    </row>
    <row r="657" spans="1:9" s="531" customFormat="1" ht="15" customHeight="1">
      <c r="A657" s="523"/>
      <c r="B657" s="524" t="s">
        <v>400</v>
      </c>
      <c r="C657" s="525">
        <f>SUM(D657:E657)</f>
        <v>199237</v>
      </c>
      <c r="D657" s="526">
        <f>F657+H657</f>
        <v>199237</v>
      </c>
      <c r="E657" s="527"/>
      <c r="F657" s="545"/>
      <c r="G657" s="527"/>
      <c r="H657" s="545">
        <v>199237</v>
      </c>
      <c r="I657" s="549"/>
    </row>
    <row r="658" spans="1:9" s="531" customFormat="1" ht="12.75" customHeight="1" hidden="1">
      <c r="A658" s="657"/>
      <c r="B658" s="574" t="s">
        <v>389</v>
      </c>
      <c r="C658" s="642">
        <f>SUM(D658:E658)</f>
        <v>0</v>
      </c>
      <c r="D658" s="643">
        <f>F658+H658</f>
        <v>0</v>
      </c>
      <c r="E658" s="644"/>
      <c r="F658" s="782"/>
      <c r="G658" s="644"/>
      <c r="H658" s="782">
        <v>0</v>
      </c>
      <c r="I658" s="653"/>
    </row>
    <row r="659" spans="1:9" s="539" customFormat="1" ht="24" customHeight="1">
      <c r="A659" s="571">
        <v>85321</v>
      </c>
      <c r="B659" s="695" t="s">
        <v>494</v>
      </c>
      <c r="C659" s="546">
        <f>SUM(C660+C664)</f>
        <v>196000</v>
      </c>
      <c r="D659" s="447">
        <f>SUM(D660+D664)</f>
        <v>80000</v>
      </c>
      <c r="E659" s="447">
        <f>SUM(E660+E664)</f>
        <v>116000</v>
      </c>
      <c r="F659" s="777"/>
      <c r="G659" s="547"/>
      <c r="H659" s="548">
        <f>H660+H664</f>
        <v>80000</v>
      </c>
      <c r="I659" s="449">
        <f>I660</f>
        <v>116000</v>
      </c>
    </row>
    <row r="660" spans="1:9" ht="12.75">
      <c r="A660" s="515"/>
      <c r="B660" s="516" t="s">
        <v>427</v>
      </c>
      <c r="C660" s="517">
        <f>SUM(C661:C663)</f>
        <v>196000</v>
      </c>
      <c r="D660" s="518">
        <f>SUM(D661:D663)</f>
        <v>80000</v>
      </c>
      <c r="E660" s="518">
        <f>SUM(E661:E663)</f>
        <v>116000</v>
      </c>
      <c r="F660" s="652"/>
      <c r="G660" s="521"/>
      <c r="H660" s="520">
        <f>SUM(H661:H663)</f>
        <v>80000</v>
      </c>
      <c r="I660" s="522">
        <f>I661+I663</f>
        <v>116000</v>
      </c>
    </row>
    <row r="661" spans="1:9" s="531" customFormat="1" ht="12.75" customHeight="1">
      <c r="A661" s="523"/>
      <c r="B661" s="524" t="s">
        <v>413</v>
      </c>
      <c r="C661" s="525">
        <f>SUM(D661:E661)</f>
        <v>145312</v>
      </c>
      <c r="D661" s="526">
        <f>F661+H661</f>
        <v>53912</v>
      </c>
      <c r="E661" s="526">
        <f>G661+I661</f>
        <v>91400</v>
      </c>
      <c r="F661" s="573"/>
      <c r="G661" s="527"/>
      <c r="H661" s="545">
        <v>53912</v>
      </c>
      <c r="I661" s="549">
        <v>91400</v>
      </c>
    </row>
    <row r="662" spans="1:9" s="531" customFormat="1" ht="12" customHeight="1">
      <c r="A662" s="523"/>
      <c r="B662" s="524" t="s">
        <v>414</v>
      </c>
      <c r="C662" s="525"/>
      <c r="D662" s="526"/>
      <c r="E662" s="739"/>
      <c r="F662" s="573"/>
      <c r="G662" s="527"/>
      <c r="H662" s="545"/>
      <c r="I662" s="549"/>
    </row>
    <row r="663" spans="1:9" ht="13.5" customHeight="1">
      <c r="A663" s="641"/>
      <c r="B663" s="658" t="s">
        <v>389</v>
      </c>
      <c r="C663" s="642">
        <f>SUM(D663:E663)</f>
        <v>50688</v>
      </c>
      <c r="D663" s="643">
        <f>F663+H663</f>
        <v>26088</v>
      </c>
      <c r="E663" s="643">
        <f>G663+I663</f>
        <v>24600</v>
      </c>
      <c r="F663" s="782"/>
      <c r="G663" s="714"/>
      <c r="H663" s="645">
        <v>26088</v>
      </c>
      <c r="I663" s="653">
        <v>24600</v>
      </c>
    </row>
    <row r="664" spans="1:9" ht="17.25" customHeight="1" hidden="1">
      <c r="A664" s="515"/>
      <c r="B664" s="842" t="s">
        <v>384</v>
      </c>
      <c r="C664" s="517">
        <f>SUM(C665)</f>
        <v>0</v>
      </c>
      <c r="D664" s="518">
        <f>SUM(D665)</f>
        <v>0</v>
      </c>
      <c r="E664" s="519"/>
      <c r="F664" s="594"/>
      <c r="G664" s="519"/>
      <c r="H664" s="518">
        <f>H665</f>
        <v>0</v>
      </c>
      <c r="I664" s="549"/>
    </row>
    <row r="665" spans="1:9" ht="17.25" customHeight="1" hidden="1">
      <c r="A665" s="515"/>
      <c r="B665" s="787" t="s">
        <v>385</v>
      </c>
      <c r="C665" s="517">
        <f>SUM(D665:E665)</f>
        <v>0</v>
      </c>
      <c r="D665" s="526">
        <f>F665+H665</f>
        <v>0</v>
      </c>
      <c r="E665" s="527"/>
      <c r="F665" s="573"/>
      <c r="G665" s="519"/>
      <c r="H665" s="526">
        <v>0</v>
      </c>
      <c r="I665" s="549"/>
    </row>
    <row r="666" spans="1:9" ht="13.5" customHeight="1">
      <c r="A666" s="571">
        <v>85395</v>
      </c>
      <c r="B666" s="695" t="s">
        <v>395</v>
      </c>
      <c r="C666" s="534">
        <f>SUM(C667)</f>
        <v>1554266</v>
      </c>
      <c r="D666" s="535">
        <f>SUM(D667)</f>
        <v>1554266</v>
      </c>
      <c r="E666" s="536"/>
      <c r="F666" s="651">
        <f>SUM(F667)</f>
        <v>942284</v>
      </c>
      <c r="G666" s="536"/>
      <c r="H666" s="537">
        <f>H667</f>
        <v>611982</v>
      </c>
      <c r="I666" s="538"/>
    </row>
    <row r="667" spans="1:9" ht="14.25" customHeight="1">
      <c r="A667" s="704"/>
      <c r="B667" s="769" t="s">
        <v>427</v>
      </c>
      <c r="C667" s="778">
        <f>SUM(C668:C671)</f>
        <v>1554266</v>
      </c>
      <c r="D667" s="518">
        <f>F667+H667</f>
        <v>1554266</v>
      </c>
      <c r="E667" s="519"/>
      <c r="F667" s="780">
        <f>SUM(F668:F671)</f>
        <v>942284</v>
      </c>
      <c r="G667" s="709"/>
      <c r="H667" s="710">
        <f>SUM(H668:H671)</f>
        <v>611982</v>
      </c>
      <c r="I667" s="745"/>
    </row>
    <row r="668" spans="1:9" ht="12" customHeight="1">
      <c r="A668" s="515"/>
      <c r="B668" s="524" t="s">
        <v>413</v>
      </c>
      <c r="C668" s="525">
        <f>SUM(D668:E668)</f>
        <v>529732</v>
      </c>
      <c r="D668" s="526">
        <f>F668+H668</f>
        <v>529732</v>
      </c>
      <c r="E668" s="519"/>
      <c r="F668" s="887">
        <v>317253</v>
      </c>
      <c r="G668" s="888"/>
      <c r="H668" s="889">
        <v>212479</v>
      </c>
      <c r="I668" s="890"/>
    </row>
    <row r="669" spans="1:9" ht="12" customHeight="1">
      <c r="A669" s="515"/>
      <c r="B669" s="524" t="s">
        <v>414</v>
      </c>
      <c r="C669" s="525"/>
      <c r="D669" s="526"/>
      <c r="E669" s="519"/>
      <c r="F669" s="891"/>
      <c r="G669" s="654"/>
      <c r="H669" s="655"/>
      <c r="I669" s="656"/>
    </row>
    <row r="670" spans="1:9" ht="12" customHeight="1">
      <c r="A670" s="515"/>
      <c r="B670" s="524" t="s">
        <v>400</v>
      </c>
      <c r="C670" s="525">
        <f>SUM(D670:E670)</f>
        <v>17936</v>
      </c>
      <c r="D670" s="526">
        <f>F670+H670</f>
        <v>17936</v>
      </c>
      <c r="E670" s="519"/>
      <c r="F670" s="891"/>
      <c r="G670" s="654"/>
      <c r="H670" s="889">
        <v>17936</v>
      </c>
      <c r="I670" s="656"/>
    </row>
    <row r="671" spans="1:9" s="676" customFormat="1" ht="12" customHeight="1" thickBot="1">
      <c r="A671" s="523"/>
      <c r="B671" s="574" t="s">
        <v>389</v>
      </c>
      <c r="C671" s="525">
        <f>SUM(D671:E671)</f>
        <v>1006598</v>
      </c>
      <c r="D671" s="526">
        <f>F671+H671</f>
        <v>1006598</v>
      </c>
      <c r="E671" s="527"/>
      <c r="F671" s="573">
        <v>625031</v>
      </c>
      <c r="G671" s="529"/>
      <c r="H671" s="528">
        <v>381567</v>
      </c>
      <c r="I671" s="530"/>
    </row>
    <row r="672" spans="1:9" s="600" customFormat="1" ht="42" customHeight="1" thickBot="1" thickTop="1">
      <c r="A672" s="875">
        <v>854</v>
      </c>
      <c r="B672" s="509" t="s">
        <v>282</v>
      </c>
      <c r="C672" s="510">
        <f>C682+C688+C696+C702+C708+C717+C725+C730+C744+C741+C738</f>
        <v>11204227</v>
      </c>
      <c r="D672" s="511">
        <f>D682+D688+D696+D702+D708+D717+D725+D730+D744+D741+D738</f>
        <v>11204227</v>
      </c>
      <c r="E672" s="512"/>
      <c r="F672" s="575">
        <f>F682+F688+F696+F702+F708+F717+F725+F730+F744+F741+F738</f>
        <v>2157127</v>
      </c>
      <c r="G672" s="512"/>
      <c r="H672" s="513">
        <f>H682+H688+H696+H702+H708+H717+H725+H730+H744+H741+H738</f>
        <v>9047100</v>
      </c>
      <c r="I672" s="457"/>
    </row>
    <row r="673" spans="1:9" s="600" customFormat="1" ht="14.25" thickTop="1">
      <c r="A673" s="876"/>
      <c r="B673" s="877" t="s">
        <v>427</v>
      </c>
      <c r="C673" s="578">
        <f>D673+E673</f>
        <v>10980927</v>
      </c>
      <c r="D673" s="579">
        <f>F673+H673</f>
        <v>10980927</v>
      </c>
      <c r="E673" s="580"/>
      <c r="F673" s="581">
        <f>F683+F689+F703+F709+F718+F726+F731+F742+F745+F739</f>
        <v>2115927</v>
      </c>
      <c r="G673" s="580"/>
      <c r="H673" s="596">
        <f>H683+H689+H703+H709+H718+H726+H731+H742+H745+H739</f>
        <v>8865000</v>
      </c>
      <c r="I673" s="597"/>
    </row>
    <row r="674" spans="1:9" s="531" customFormat="1" ht="12.75">
      <c r="A674" s="878"/>
      <c r="B674" s="524" t="s">
        <v>413</v>
      </c>
      <c r="C674" s="586">
        <f>D674+E674</f>
        <v>7360447</v>
      </c>
      <c r="D674" s="587">
        <f>F674+H674</f>
        <v>7360447</v>
      </c>
      <c r="E674" s="529"/>
      <c r="F674" s="588">
        <f>F684+F690+F704+F710+F719+F732+F746</f>
        <v>1357025</v>
      </c>
      <c r="G674" s="529"/>
      <c r="H674" s="528">
        <f>H684+H690+H704+H710+H719+H732+H746</f>
        <v>6003422</v>
      </c>
      <c r="I674" s="530"/>
    </row>
    <row r="675" spans="1:9" s="531" customFormat="1" ht="12.75">
      <c r="A675" s="878"/>
      <c r="B675" s="524" t="s">
        <v>414</v>
      </c>
      <c r="C675" s="586"/>
      <c r="D675" s="587"/>
      <c r="E675" s="529"/>
      <c r="F675" s="588"/>
      <c r="G675" s="529"/>
      <c r="H675" s="528"/>
      <c r="I675" s="530"/>
    </row>
    <row r="676" spans="1:9" s="531" customFormat="1" ht="12.75">
      <c r="A676" s="878"/>
      <c r="B676" s="544" t="s">
        <v>400</v>
      </c>
      <c r="C676" s="586">
        <f aca="true" t="shared" si="27" ref="C676:C681">D676+E676</f>
        <v>831000</v>
      </c>
      <c r="D676" s="587">
        <f aca="true" t="shared" si="28" ref="D676:D681">F676+H676</f>
        <v>831000</v>
      </c>
      <c r="E676" s="529"/>
      <c r="F676" s="588">
        <f>F748+F740</f>
        <v>31000</v>
      </c>
      <c r="G676" s="529"/>
      <c r="H676" s="528">
        <f>H740+H748</f>
        <v>800000</v>
      </c>
      <c r="I676" s="530"/>
    </row>
    <row r="677" spans="1:9" s="531" customFormat="1" ht="12.75">
      <c r="A677" s="878"/>
      <c r="B677" s="524" t="s">
        <v>389</v>
      </c>
      <c r="C677" s="586">
        <f t="shared" si="27"/>
        <v>2789480</v>
      </c>
      <c r="D677" s="587">
        <f t="shared" si="28"/>
        <v>2789480</v>
      </c>
      <c r="E677" s="529"/>
      <c r="F677" s="588">
        <f>F686+F692+F706+F712+F721+F729+F734+F743+F749</f>
        <v>727902</v>
      </c>
      <c r="G677" s="529"/>
      <c r="H677" s="528">
        <f>H686+H692+H706+H712+H721+H729+H734+H743+H749</f>
        <v>2061578</v>
      </c>
      <c r="I677" s="530"/>
    </row>
    <row r="678" spans="1:9" s="531" customFormat="1" ht="12">
      <c r="A678" s="892"/>
      <c r="B678" s="787" t="s">
        <v>416</v>
      </c>
      <c r="C678" s="517">
        <f t="shared" si="27"/>
        <v>34600</v>
      </c>
      <c r="D678" s="518">
        <f t="shared" si="28"/>
        <v>34600</v>
      </c>
      <c r="E678" s="519"/>
      <c r="F678" s="541">
        <f>F687+F693+F722+F713+F735</f>
        <v>3300</v>
      </c>
      <c r="G678" s="519"/>
      <c r="H678" s="541">
        <f>H687+H693+H722+H713+H735+H707</f>
        <v>31300</v>
      </c>
      <c r="I678" s="542"/>
    </row>
    <row r="679" spans="1:9" s="600" customFormat="1" ht="13.5">
      <c r="A679" s="876"/>
      <c r="B679" s="577" t="s">
        <v>384</v>
      </c>
      <c r="C679" s="578">
        <f t="shared" si="27"/>
        <v>223300</v>
      </c>
      <c r="D679" s="579">
        <f t="shared" si="28"/>
        <v>223300</v>
      </c>
      <c r="E679" s="580"/>
      <c r="F679" s="596">
        <f>F723+F751+F736+F714+F694</f>
        <v>41200</v>
      </c>
      <c r="G679" s="580"/>
      <c r="H679" s="596">
        <f>H723+H751+H736+H714+H694</f>
        <v>182100</v>
      </c>
      <c r="I679" s="597"/>
    </row>
    <row r="680" spans="1:9" s="531" customFormat="1" ht="13.5" customHeight="1" thickBot="1">
      <c r="A680" s="893"/>
      <c r="B680" s="682" t="s">
        <v>397</v>
      </c>
      <c r="C680" s="683">
        <f t="shared" si="27"/>
        <v>223300</v>
      </c>
      <c r="D680" s="684">
        <f>F680+H680</f>
        <v>223300</v>
      </c>
      <c r="E680" s="701"/>
      <c r="F680" s="686">
        <f>F724+F752+F737</f>
        <v>41200</v>
      </c>
      <c r="G680" s="701"/>
      <c r="H680" s="686">
        <f>H724+H752+H737+H701+H715</f>
        <v>182100</v>
      </c>
      <c r="I680" s="619"/>
    </row>
    <row r="681" spans="1:9" s="531" customFormat="1" ht="13.5" customHeight="1" hidden="1">
      <c r="A681" s="878"/>
      <c r="B681" s="544" t="s">
        <v>385</v>
      </c>
      <c r="C681" s="586">
        <f t="shared" si="27"/>
        <v>0</v>
      </c>
      <c r="D681" s="587">
        <f t="shared" si="28"/>
        <v>0</v>
      </c>
      <c r="E681" s="529"/>
      <c r="F681" s="528"/>
      <c r="G681" s="529"/>
      <c r="H681" s="528">
        <f>H716+H695</f>
        <v>0</v>
      </c>
      <c r="I681" s="530"/>
    </row>
    <row r="682" spans="1:9" s="539" customFormat="1" ht="15" customHeight="1" thickTop="1">
      <c r="A682" s="571">
        <v>85401</v>
      </c>
      <c r="B682" s="695" t="s">
        <v>495</v>
      </c>
      <c r="C682" s="534">
        <f aca="true" t="shared" si="29" ref="C682:H682">SUM(C683)</f>
        <v>1498293</v>
      </c>
      <c r="D682" s="535">
        <f t="shared" si="29"/>
        <v>1498293</v>
      </c>
      <c r="E682" s="536"/>
      <c r="F682" s="537">
        <f t="shared" si="29"/>
        <v>1244927</v>
      </c>
      <c r="G682" s="536"/>
      <c r="H682" s="537">
        <f t="shared" si="29"/>
        <v>253366</v>
      </c>
      <c r="I682" s="538"/>
    </row>
    <row r="683" spans="1:9" ht="12.75">
      <c r="A683" s="704"/>
      <c r="B683" s="769" t="s">
        <v>427</v>
      </c>
      <c r="C683" s="778">
        <f>SUM(C684:C686)</f>
        <v>1498293</v>
      </c>
      <c r="D683" s="518">
        <f>F683+H683</f>
        <v>1498293</v>
      </c>
      <c r="E683" s="519"/>
      <c r="F683" s="710">
        <f>SUM(F684:F686)</f>
        <v>1244927</v>
      </c>
      <c r="G683" s="709"/>
      <c r="H683" s="710">
        <f>SUM(H684:H686)</f>
        <v>253366</v>
      </c>
      <c r="I683" s="745"/>
    </row>
    <row r="684" spans="1:9" s="676" customFormat="1" ht="12">
      <c r="A684" s="523"/>
      <c r="B684" s="524" t="s">
        <v>413</v>
      </c>
      <c r="C684" s="525">
        <f>SUM(D684:E684)</f>
        <v>1368500</v>
      </c>
      <c r="D684" s="526">
        <f>F684+H684</f>
        <v>1368500</v>
      </c>
      <c r="E684" s="527"/>
      <c r="F684" s="545">
        <v>1134310</v>
      </c>
      <c r="G684" s="527"/>
      <c r="H684" s="545">
        <v>234190</v>
      </c>
      <c r="I684" s="549"/>
    </row>
    <row r="685" spans="1:9" s="676" customFormat="1" ht="12">
      <c r="A685" s="523"/>
      <c r="B685" s="524" t="s">
        <v>414</v>
      </c>
      <c r="C685" s="525"/>
      <c r="D685" s="526"/>
      <c r="E685" s="527"/>
      <c r="F685" s="545"/>
      <c r="G685" s="527"/>
      <c r="H685" s="545"/>
      <c r="I685" s="549"/>
    </row>
    <row r="686" spans="1:9" s="676" customFormat="1" ht="12" customHeight="1">
      <c r="A686" s="523"/>
      <c r="B686" s="524" t="s">
        <v>389</v>
      </c>
      <c r="C686" s="525">
        <f>SUM(D686:E686)</f>
        <v>129793</v>
      </c>
      <c r="D686" s="526">
        <f>F686+H686</f>
        <v>129793</v>
      </c>
      <c r="E686" s="527"/>
      <c r="F686" s="545">
        <v>110617</v>
      </c>
      <c r="G686" s="527"/>
      <c r="H686" s="545">
        <v>19176</v>
      </c>
      <c r="I686" s="549"/>
    </row>
    <row r="687" spans="1:9" s="676" customFormat="1" ht="10.5" customHeight="1">
      <c r="A687" s="657"/>
      <c r="B687" s="574" t="s">
        <v>416</v>
      </c>
      <c r="C687" s="642">
        <f>SUM(D687:E687)</f>
        <v>300</v>
      </c>
      <c r="D687" s="643">
        <f>F687+H687</f>
        <v>300</v>
      </c>
      <c r="E687" s="644"/>
      <c r="F687" s="645"/>
      <c r="G687" s="644"/>
      <c r="H687" s="645">
        <v>300</v>
      </c>
      <c r="I687" s="653"/>
    </row>
    <row r="688" spans="1:9" s="531" customFormat="1" ht="24" customHeight="1">
      <c r="A688" s="571">
        <v>85403</v>
      </c>
      <c r="B688" s="695" t="s">
        <v>496</v>
      </c>
      <c r="C688" s="534">
        <f>SUM(C689+C694)</f>
        <v>1439816</v>
      </c>
      <c r="D688" s="535">
        <f>SUM(D689+D694)</f>
        <v>1439816</v>
      </c>
      <c r="E688" s="536"/>
      <c r="F688" s="537"/>
      <c r="G688" s="536"/>
      <c r="H688" s="535">
        <f>SUM(H689+H694)</f>
        <v>1439816</v>
      </c>
      <c r="I688" s="449"/>
    </row>
    <row r="689" spans="1:9" s="531" customFormat="1" ht="14.25" customHeight="1">
      <c r="A689" s="704"/>
      <c r="B689" s="769" t="s">
        <v>427</v>
      </c>
      <c r="C689" s="778">
        <f>SUM(C690:C692)</f>
        <v>1439816</v>
      </c>
      <c r="D689" s="706">
        <f>F689+H689</f>
        <v>1439816</v>
      </c>
      <c r="E689" s="707"/>
      <c r="F689" s="710"/>
      <c r="G689" s="709"/>
      <c r="H689" s="710">
        <f>SUM(H690:H692)</f>
        <v>1439816</v>
      </c>
      <c r="I689" s="711"/>
    </row>
    <row r="690" spans="1:9" s="531" customFormat="1" ht="12.75" customHeight="1">
      <c r="A690" s="523"/>
      <c r="B690" s="524" t="s">
        <v>413</v>
      </c>
      <c r="C690" s="525">
        <f>SUM(D690:E690)</f>
        <v>1175605</v>
      </c>
      <c r="D690" s="526">
        <f>F690+H690</f>
        <v>1175605</v>
      </c>
      <c r="E690" s="527"/>
      <c r="F690" s="545"/>
      <c r="G690" s="527"/>
      <c r="H690" s="545">
        <v>1175605</v>
      </c>
      <c r="I690" s="542"/>
    </row>
    <row r="691" spans="1:9" s="531" customFormat="1" ht="12.75" customHeight="1">
      <c r="A691" s="523"/>
      <c r="B691" s="524" t="s">
        <v>414</v>
      </c>
      <c r="C691" s="525"/>
      <c r="D691" s="526"/>
      <c r="E691" s="527"/>
      <c r="F691" s="545"/>
      <c r="G691" s="527"/>
      <c r="H691" s="545"/>
      <c r="I691" s="542"/>
    </row>
    <row r="692" spans="1:9" s="531" customFormat="1" ht="12.75" customHeight="1">
      <c r="A692" s="523"/>
      <c r="B692" s="524" t="s">
        <v>389</v>
      </c>
      <c r="C692" s="525">
        <f>SUM(D692:E692)</f>
        <v>264211</v>
      </c>
      <c r="D692" s="526">
        <f>F692+H692</f>
        <v>264211</v>
      </c>
      <c r="E692" s="527"/>
      <c r="F692" s="545"/>
      <c r="G692" s="527"/>
      <c r="H692" s="545">
        <v>264211</v>
      </c>
      <c r="I692" s="542"/>
    </row>
    <row r="693" spans="1:9" s="531" customFormat="1" ht="12" customHeight="1">
      <c r="A693" s="523"/>
      <c r="B693" s="524" t="s">
        <v>416</v>
      </c>
      <c r="C693" s="525">
        <f>SUM(D693:E693)</f>
        <v>8000</v>
      </c>
      <c r="D693" s="526">
        <f>F693+H693</f>
        <v>8000</v>
      </c>
      <c r="E693" s="527"/>
      <c r="F693" s="545"/>
      <c r="G693" s="527"/>
      <c r="H693" s="545">
        <v>8000</v>
      </c>
      <c r="I693" s="542"/>
    </row>
    <row r="694" spans="1:9" ht="12">
      <c r="A694" s="515"/>
      <c r="B694" s="842" t="s">
        <v>384</v>
      </c>
      <c r="C694" s="517">
        <f>SUM(C695:C701)</f>
        <v>0</v>
      </c>
      <c r="D694" s="518">
        <f>SUM(D695:D701)</f>
        <v>0</v>
      </c>
      <c r="E694" s="519"/>
      <c r="F694" s="541"/>
      <c r="G694" s="519"/>
      <c r="H694" s="518">
        <f>SUM(H695:H701)</f>
        <v>0</v>
      </c>
      <c r="I694" s="542"/>
    </row>
    <row r="695" spans="1:9" ht="13.5" customHeight="1">
      <c r="A695" s="515"/>
      <c r="B695" s="787" t="s">
        <v>385</v>
      </c>
      <c r="C695" s="517">
        <f>SUM(D695:E695)</f>
        <v>0</v>
      </c>
      <c r="D695" s="526">
        <f>F695+H695</f>
        <v>0</v>
      </c>
      <c r="E695" s="527"/>
      <c r="F695" s="545"/>
      <c r="G695" s="519"/>
      <c r="H695" s="526"/>
      <c r="I695" s="542"/>
    </row>
    <row r="696" spans="1:9" ht="12.75" customHeight="1" hidden="1">
      <c r="A696" s="620">
        <v>85404</v>
      </c>
      <c r="B696" s="689" t="s">
        <v>455</v>
      </c>
      <c r="C696" s="517">
        <f aca="true" t="shared" si="30" ref="C696:C701">SUM(D696:E696)</f>
        <v>0</v>
      </c>
      <c r="D696" s="526">
        <f aca="true" t="shared" si="31" ref="D696:D701">F696+H696</f>
        <v>0</v>
      </c>
      <c r="E696" s="624"/>
      <c r="F696" s="625">
        <f>SUM(F697)</f>
        <v>0</v>
      </c>
      <c r="G696" s="624"/>
      <c r="H696" s="693"/>
      <c r="I696" s="694"/>
    </row>
    <row r="697" spans="1:9" ht="15.75" customHeight="1" hidden="1">
      <c r="A697" s="515"/>
      <c r="B697" s="540" t="s">
        <v>388</v>
      </c>
      <c r="C697" s="517">
        <f t="shared" si="30"/>
        <v>0</v>
      </c>
      <c r="D697" s="526">
        <f t="shared" si="31"/>
        <v>0</v>
      </c>
      <c r="E697" s="519"/>
      <c r="F697" s="520">
        <f>SUM(F698)</f>
        <v>0</v>
      </c>
      <c r="G697" s="654"/>
      <c r="H697" s="655"/>
      <c r="I697" s="656"/>
    </row>
    <row r="698" spans="1:9" ht="13.5" customHeight="1" hidden="1">
      <c r="A698" s="515"/>
      <c r="B698" s="544" t="s">
        <v>400</v>
      </c>
      <c r="C698" s="517">
        <f t="shared" si="30"/>
        <v>0</v>
      </c>
      <c r="D698" s="526">
        <f t="shared" si="31"/>
        <v>0</v>
      </c>
      <c r="E698" s="527"/>
      <c r="F698" s="545"/>
      <c r="G698" s="519"/>
      <c r="H698" s="541"/>
      <c r="I698" s="797"/>
    </row>
    <row r="699" spans="1:9" ht="14.25" customHeight="1" hidden="1">
      <c r="A699" s="515"/>
      <c r="B699" s="842" t="s">
        <v>384</v>
      </c>
      <c r="C699" s="517">
        <f t="shared" si="30"/>
        <v>0</v>
      </c>
      <c r="D699" s="526">
        <f t="shared" si="31"/>
        <v>0</v>
      </c>
      <c r="E699" s="519"/>
      <c r="F699" s="541"/>
      <c r="G699" s="519"/>
      <c r="H699" s="518"/>
      <c r="I699" s="542"/>
    </row>
    <row r="700" spans="1:9" ht="10.5" customHeight="1" hidden="1">
      <c r="A700" s="641"/>
      <c r="B700" s="854" t="s">
        <v>385</v>
      </c>
      <c r="C700" s="517">
        <f t="shared" si="30"/>
        <v>0</v>
      </c>
      <c r="D700" s="526">
        <f t="shared" si="31"/>
        <v>0</v>
      </c>
      <c r="E700" s="644"/>
      <c r="F700" s="645"/>
      <c r="G700" s="714"/>
      <c r="H700" s="643"/>
      <c r="I700" s="797"/>
    </row>
    <row r="701" spans="1:9" ht="13.5" customHeight="1">
      <c r="A701" s="641"/>
      <c r="B701" s="544" t="s">
        <v>397</v>
      </c>
      <c r="C701" s="517">
        <f t="shared" si="30"/>
        <v>0</v>
      </c>
      <c r="D701" s="526">
        <f t="shared" si="31"/>
        <v>0</v>
      </c>
      <c r="E701" s="644"/>
      <c r="F701" s="645"/>
      <c r="G701" s="714"/>
      <c r="H701" s="643"/>
      <c r="I701" s="797"/>
    </row>
    <row r="702" spans="1:9" s="539" customFormat="1" ht="24.75" customHeight="1">
      <c r="A702" s="571">
        <v>85406</v>
      </c>
      <c r="B702" s="695" t="s">
        <v>497</v>
      </c>
      <c r="C702" s="534">
        <f aca="true" t="shared" si="32" ref="C702:H702">SUM(C703)</f>
        <v>1481100</v>
      </c>
      <c r="D702" s="535">
        <f t="shared" si="32"/>
        <v>1481100</v>
      </c>
      <c r="E702" s="536"/>
      <c r="F702" s="537"/>
      <c r="G702" s="536"/>
      <c r="H702" s="537">
        <f t="shared" si="32"/>
        <v>1481100</v>
      </c>
      <c r="I702" s="449"/>
    </row>
    <row r="703" spans="1:9" ht="12.75">
      <c r="A703" s="704"/>
      <c r="B703" s="769" t="s">
        <v>427</v>
      </c>
      <c r="C703" s="778">
        <f>SUM(C704:C706)</f>
        <v>1481100</v>
      </c>
      <c r="D703" s="518">
        <f>F703+H703</f>
        <v>1481100</v>
      </c>
      <c r="E703" s="519"/>
      <c r="F703" s="710"/>
      <c r="G703" s="709"/>
      <c r="H703" s="710">
        <f>SUM(H704:H706)</f>
        <v>1481100</v>
      </c>
      <c r="I703" s="745"/>
    </row>
    <row r="704" spans="1:9" s="676" customFormat="1" ht="12">
      <c r="A704" s="523"/>
      <c r="B704" s="524" t="s">
        <v>413</v>
      </c>
      <c r="C704" s="525">
        <f>SUM(D704:E704)</f>
        <v>1285300</v>
      </c>
      <c r="D704" s="526">
        <f>F704+H704</f>
        <v>1285300</v>
      </c>
      <c r="E704" s="527"/>
      <c r="F704" s="545"/>
      <c r="G704" s="527"/>
      <c r="H704" s="545">
        <v>1285300</v>
      </c>
      <c r="I704" s="549"/>
    </row>
    <row r="705" spans="1:9" s="676" customFormat="1" ht="12">
      <c r="A705" s="523"/>
      <c r="B705" s="524" t="s">
        <v>414</v>
      </c>
      <c r="C705" s="525"/>
      <c r="D705" s="526"/>
      <c r="E705" s="527"/>
      <c r="F705" s="545"/>
      <c r="G705" s="527"/>
      <c r="H705" s="545"/>
      <c r="I705" s="549"/>
    </row>
    <row r="706" spans="1:9" s="676" customFormat="1" ht="12">
      <c r="A706" s="523"/>
      <c r="B706" s="524" t="s">
        <v>389</v>
      </c>
      <c r="C706" s="525">
        <f>SUM(D706:E706)</f>
        <v>195800</v>
      </c>
      <c r="D706" s="526">
        <f>F706+H706</f>
        <v>195800</v>
      </c>
      <c r="E706" s="527"/>
      <c r="F706" s="545"/>
      <c r="G706" s="527"/>
      <c r="H706" s="545">
        <v>195800</v>
      </c>
      <c r="I706" s="549"/>
    </row>
    <row r="707" spans="1:9" s="676" customFormat="1" ht="11.25" customHeight="1">
      <c r="A707" s="523"/>
      <c r="B707" s="524" t="s">
        <v>416</v>
      </c>
      <c r="C707" s="525">
        <f>SUM(D707:E707)</f>
        <v>1000</v>
      </c>
      <c r="D707" s="526">
        <f>F707+H707</f>
        <v>1000</v>
      </c>
      <c r="E707" s="527"/>
      <c r="F707" s="545"/>
      <c r="G707" s="527"/>
      <c r="H707" s="545">
        <v>1000</v>
      </c>
      <c r="I707" s="549"/>
    </row>
    <row r="708" spans="1:9" s="539" customFormat="1" ht="35.25" customHeight="1">
      <c r="A708" s="571">
        <v>85407</v>
      </c>
      <c r="B708" s="695" t="s">
        <v>498</v>
      </c>
      <c r="C708" s="534">
        <f>SUM(C709+C714)</f>
        <v>1688750</v>
      </c>
      <c r="D708" s="535">
        <f>SUM(D709+D714)</f>
        <v>1688750</v>
      </c>
      <c r="E708" s="536"/>
      <c r="F708" s="537"/>
      <c r="G708" s="536"/>
      <c r="H708" s="537">
        <f>SUM(H709+H714)</f>
        <v>1688750</v>
      </c>
      <c r="I708" s="538"/>
    </row>
    <row r="709" spans="1:9" ht="12.75">
      <c r="A709" s="807"/>
      <c r="B709" s="859" t="s">
        <v>427</v>
      </c>
      <c r="C709" s="894">
        <f>SUM(C710:C712)</f>
        <v>1618750</v>
      </c>
      <c r="D709" s="810">
        <f>F709+H709</f>
        <v>1618750</v>
      </c>
      <c r="E709" s="737"/>
      <c r="F709" s="895"/>
      <c r="G709" s="812"/>
      <c r="H709" s="895">
        <f>SUM(H710:H712)</f>
        <v>1618750</v>
      </c>
      <c r="I709" s="813"/>
    </row>
    <row r="710" spans="1:9" s="676" customFormat="1" ht="12.75" customHeight="1">
      <c r="A710" s="523"/>
      <c r="B710" s="524" t="s">
        <v>413</v>
      </c>
      <c r="C710" s="525">
        <f>SUM(D710:E710)</f>
        <v>1373850</v>
      </c>
      <c r="D710" s="526">
        <f>F710+H710</f>
        <v>1373850</v>
      </c>
      <c r="E710" s="527"/>
      <c r="F710" s="545"/>
      <c r="G710" s="527"/>
      <c r="H710" s="545">
        <v>1373850</v>
      </c>
      <c r="I710" s="549"/>
    </row>
    <row r="711" spans="1:9" s="676" customFormat="1" ht="12.75" customHeight="1">
      <c r="A711" s="523"/>
      <c r="B711" s="524" t="s">
        <v>414</v>
      </c>
      <c r="C711" s="525"/>
      <c r="D711" s="526"/>
      <c r="E711" s="527"/>
      <c r="F711" s="545"/>
      <c r="G711" s="527"/>
      <c r="H711" s="545"/>
      <c r="I711" s="549"/>
    </row>
    <row r="712" spans="1:9" s="676" customFormat="1" ht="12.75" customHeight="1">
      <c r="A712" s="523"/>
      <c r="B712" s="524" t="s">
        <v>389</v>
      </c>
      <c r="C712" s="525">
        <f>SUM(D712:E712)</f>
        <v>244900</v>
      </c>
      <c r="D712" s="526">
        <f>F712+H712</f>
        <v>244900</v>
      </c>
      <c r="E712" s="527"/>
      <c r="F712" s="545"/>
      <c r="G712" s="527"/>
      <c r="H712" s="545">
        <v>244900</v>
      </c>
      <c r="I712" s="549"/>
    </row>
    <row r="713" spans="1:9" s="676" customFormat="1" ht="12.75" customHeight="1">
      <c r="A713" s="523"/>
      <c r="B713" s="524" t="s">
        <v>416</v>
      </c>
      <c r="C713" s="525">
        <f>SUM(D713:E713)</f>
        <v>4000</v>
      </c>
      <c r="D713" s="526">
        <f>F713+H713</f>
        <v>4000</v>
      </c>
      <c r="E713" s="527"/>
      <c r="F713" s="545"/>
      <c r="G713" s="527"/>
      <c r="H713" s="545">
        <v>4000</v>
      </c>
      <c r="I713" s="549"/>
    </row>
    <row r="714" spans="1:9" ht="12.75">
      <c r="A714" s="515"/>
      <c r="B714" s="540" t="s">
        <v>384</v>
      </c>
      <c r="C714" s="517">
        <f>SUM(C715:C716)</f>
        <v>70000</v>
      </c>
      <c r="D714" s="518">
        <f>SUM(D715:D716)</f>
        <v>70000</v>
      </c>
      <c r="E714" s="519"/>
      <c r="F714" s="520"/>
      <c r="G714" s="654"/>
      <c r="H714" s="520">
        <f>SUM(H715:H716)</f>
        <v>70000</v>
      </c>
      <c r="I714" s="656"/>
    </row>
    <row r="715" spans="1:9" ht="12.75">
      <c r="A715" s="515"/>
      <c r="B715" s="544" t="s">
        <v>397</v>
      </c>
      <c r="C715" s="642">
        <f>SUM(D715:E715)</f>
        <v>70000</v>
      </c>
      <c r="D715" s="643">
        <f>F715+H715</f>
        <v>70000</v>
      </c>
      <c r="E715" s="519"/>
      <c r="F715" s="520"/>
      <c r="G715" s="654"/>
      <c r="H715" s="520">
        <v>70000</v>
      </c>
      <c r="I715" s="656"/>
    </row>
    <row r="716" spans="1:9" ht="14.25" customHeight="1" hidden="1">
      <c r="A716" s="641"/>
      <c r="B716" s="658" t="s">
        <v>385</v>
      </c>
      <c r="C716" s="642">
        <f>SUM(D716:E716)</f>
        <v>0</v>
      </c>
      <c r="D716" s="643">
        <f>F716+H716</f>
        <v>0</v>
      </c>
      <c r="E716" s="644"/>
      <c r="F716" s="645"/>
      <c r="G716" s="714"/>
      <c r="H716" s="645"/>
      <c r="I716" s="797"/>
    </row>
    <row r="717" spans="1:9" s="539" customFormat="1" ht="23.25" customHeight="1">
      <c r="A717" s="571">
        <v>85410</v>
      </c>
      <c r="B717" s="695" t="s">
        <v>499</v>
      </c>
      <c r="C717" s="534">
        <f>SUM(C718)+C723</f>
        <v>2603588</v>
      </c>
      <c r="D717" s="535">
        <f>SUM(D718)+D723</f>
        <v>2603588</v>
      </c>
      <c r="E717" s="536"/>
      <c r="F717" s="537"/>
      <c r="G717" s="536"/>
      <c r="H717" s="537">
        <f>SUM(H718)+H723</f>
        <v>2603588</v>
      </c>
      <c r="I717" s="538"/>
    </row>
    <row r="718" spans="1:9" ht="13.5" customHeight="1">
      <c r="A718" s="704"/>
      <c r="B718" s="769" t="s">
        <v>427</v>
      </c>
      <c r="C718" s="778">
        <f>SUM(C719:C721)</f>
        <v>2491488</v>
      </c>
      <c r="D718" s="518">
        <f>F718+H718</f>
        <v>2491488</v>
      </c>
      <c r="E718" s="519"/>
      <c r="F718" s="710"/>
      <c r="G718" s="709"/>
      <c r="H718" s="710">
        <f>SUM(H719:H721)</f>
        <v>2491488</v>
      </c>
      <c r="I718" s="745"/>
    </row>
    <row r="719" spans="1:9" s="676" customFormat="1" ht="11.25" customHeight="1">
      <c r="A719" s="523"/>
      <c r="B719" s="524" t="s">
        <v>413</v>
      </c>
      <c r="C719" s="525">
        <f>SUM(D719:E719)</f>
        <v>1850497</v>
      </c>
      <c r="D719" s="526">
        <f>F719+H719</f>
        <v>1850497</v>
      </c>
      <c r="E719" s="527"/>
      <c r="F719" s="545"/>
      <c r="G719" s="527"/>
      <c r="H719" s="545">
        <v>1850497</v>
      </c>
      <c r="I719" s="549"/>
    </row>
    <row r="720" spans="1:9" s="676" customFormat="1" ht="12">
      <c r="A720" s="523"/>
      <c r="B720" s="524" t="s">
        <v>414</v>
      </c>
      <c r="C720" s="525"/>
      <c r="D720" s="526"/>
      <c r="E720" s="527"/>
      <c r="F720" s="545"/>
      <c r="G720" s="527"/>
      <c r="H720" s="545"/>
      <c r="I720" s="549"/>
    </row>
    <row r="721" spans="1:9" s="676" customFormat="1" ht="12">
      <c r="A721" s="523"/>
      <c r="B721" s="524" t="s">
        <v>389</v>
      </c>
      <c r="C721" s="525">
        <f>SUM(D721:E721)</f>
        <v>640991</v>
      </c>
      <c r="D721" s="526">
        <f>F721+H721</f>
        <v>640991</v>
      </c>
      <c r="E721" s="527"/>
      <c r="F721" s="545"/>
      <c r="G721" s="527"/>
      <c r="H721" s="545">
        <v>640991</v>
      </c>
      <c r="I721" s="549"/>
    </row>
    <row r="722" spans="1:9" s="676" customFormat="1" ht="12.75" customHeight="1">
      <c r="A722" s="523"/>
      <c r="B722" s="524" t="s">
        <v>416</v>
      </c>
      <c r="C722" s="525">
        <f>SUM(D722:E722)</f>
        <v>18000</v>
      </c>
      <c r="D722" s="526">
        <f>F722+H722</f>
        <v>18000</v>
      </c>
      <c r="E722" s="527"/>
      <c r="F722" s="545"/>
      <c r="G722" s="527"/>
      <c r="H722" s="545">
        <v>18000</v>
      </c>
      <c r="I722" s="549"/>
    </row>
    <row r="723" spans="1:9" ht="12.75">
      <c r="A723" s="515"/>
      <c r="B723" s="540" t="s">
        <v>384</v>
      </c>
      <c r="C723" s="517">
        <f>SUM(C724)</f>
        <v>112100</v>
      </c>
      <c r="D723" s="518">
        <f>SUM(D724)</f>
        <v>112100</v>
      </c>
      <c r="E723" s="519"/>
      <c r="F723" s="520"/>
      <c r="G723" s="654"/>
      <c r="H723" s="520">
        <f>SUM(H724)</f>
        <v>112100</v>
      </c>
      <c r="I723" s="656"/>
    </row>
    <row r="724" spans="1:9" ht="12">
      <c r="A724" s="515"/>
      <c r="B724" s="544" t="s">
        <v>397</v>
      </c>
      <c r="C724" s="525">
        <f>SUM(D724:E724)</f>
        <v>112100</v>
      </c>
      <c r="D724" s="526">
        <f>F724+H724</f>
        <v>112100</v>
      </c>
      <c r="E724" s="527"/>
      <c r="F724" s="545"/>
      <c r="G724" s="519"/>
      <c r="H724" s="545">
        <v>112100</v>
      </c>
      <c r="I724" s="542"/>
    </row>
    <row r="725" spans="1:9" s="539" customFormat="1" ht="24.75" customHeight="1">
      <c r="A725" s="571">
        <v>85415</v>
      </c>
      <c r="B725" s="695" t="s">
        <v>500</v>
      </c>
      <c r="C725" s="534">
        <f>SUM(C726)</f>
        <v>571827</v>
      </c>
      <c r="D725" s="535">
        <f>SUM(D726)</f>
        <v>571827</v>
      </c>
      <c r="E725" s="536"/>
      <c r="F725" s="537">
        <f>SUM(F726)</f>
        <v>521827</v>
      </c>
      <c r="G725" s="536"/>
      <c r="H725" s="537">
        <f>SUM(H726)</f>
        <v>50000</v>
      </c>
      <c r="I725" s="538"/>
    </row>
    <row r="726" spans="1:9" ht="12.75">
      <c r="A726" s="704"/>
      <c r="B726" s="769" t="s">
        <v>427</v>
      </c>
      <c r="C726" s="778">
        <f>SUM(C727:C729)</f>
        <v>571827</v>
      </c>
      <c r="D726" s="518">
        <f>F726+H726</f>
        <v>571827</v>
      </c>
      <c r="E726" s="519"/>
      <c r="F726" s="710">
        <f>SUM(F727:F729)</f>
        <v>521827</v>
      </c>
      <c r="G726" s="709"/>
      <c r="H726" s="710">
        <f>SUM(H727:H729)</f>
        <v>50000</v>
      </c>
      <c r="I726" s="745"/>
    </row>
    <row r="727" spans="1:9" s="676" customFormat="1" ht="12.75" hidden="1">
      <c r="A727" s="523"/>
      <c r="B727" s="524" t="s">
        <v>413</v>
      </c>
      <c r="C727" s="525">
        <f>SUM(D727:E727)</f>
        <v>0</v>
      </c>
      <c r="D727" s="526">
        <f>F727+H727</f>
        <v>0</v>
      </c>
      <c r="E727" s="527"/>
      <c r="F727" s="528"/>
      <c r="G727" s="529"/>
      <c r="H727" s="528"/>
      <c r="I727" s="530"/>
    </row>
    <row r="728" spans="1:9" s="676" customFormat="1" ht="12.75" hidden="1">
      <c r="A728" s="523"/>
      <c r="B728" s="524" t="s">
        <v>414</v>
      </c>
      <c r="C728" s="525"/>
      <c r="D728" s="526"/>
      <c r="E728" s="527"/>
      <c r="F728" s="528"/>
      <c r="G728" s="529"/>
      <c r="H728" s="528"/>
      <c r="I728" s="530"/>
    </row>
    <row r="729" spans="1:9" s="676" customFormat="1" ht="12" customHeight="1">
      <c r="A729" s="657"/>
      <c r="B729" s="574" t="s">
        <v>389</v>
      </c>
      <c r="C729" s="642">
        <f>SUM(D729:E729)</f>
        <v>571827</v>
      </c>
      <c r="D729" s="643">
        <f>F729+H729</f>
        <v>571827</v>
      </c>
      <c r="E729" s="644"/>
      <c r="F729" s="645">
        <v>521827</v>
      </c>
      <c r="G729" s="644"/>
      <c r="H729" s="645">
        <v>50000</v>
      </c>
      <c r="I729" s="661"/>
    </row>
    <row r="730" spans="1:9" s="539" customFormat="1" ht="24">
      <c r="A730" s="571">
        <v>85417</v>
      </c>
      <c r="B730" s="695" t="s">
        <v>501</v>
      </c>
      <c r="C730" s="534">
        <f>SUM(C731+C736)</f>
        <v>287148</v>
      </c>
      <c r="D730" s="535">
        <f>SUM(D731+D736)</f>
        <v>287148</v>
      </c>
      <c r="E730" s="536"/>
      <c r="F730" s="537">
        <f>SUM(F731+F736)</f>
        <v>287148</v>
      </c>
      <c r="G730" s="536"/>
      <c r="H730" s="537"/>
      <c r="I730" s="538"/>
    </row>
    <row r="731" spans="1:9" ht="12.75">
      <c r="A731" s="704"/>
      <c r="B731" s="769" t="s">
        <v>427</v>
      </c>
      <c r="C731" s="778">
        <f>SUM(C732:C734)</f>
        <v>245948</v>
      </c>
      <c r="D731" s="518">
        <f>F731+H731</f>
        <v>245948</v>
      </c>
      <c r="E731" s="519"/>
      <c r="F731" s="710">
        <f>SUM(F732:F734)</f>
        <v>245948</v>
      </c>
      <c r="G731" s="709"/>
      <c r="H731" s="710"/>
      <c r="I731" s="745"/>
    </row>
    <row r="732" spans="1:9" s="676" customFormat="1" ht="12">
      <c r="A732" s="523"/>
      <c r="B732" s="524" t="s">
        <v>413</v>
      </c>
      <c r="C732" s="525">
        <f>SUM(D732:E732)</f>
        <v>171290</v>
      </c>
      <c r="D732" s="526">
        <f>F732+H732</f>
        <v>171290</v>
      </c>
      <c r="E732" s="527"/>
      <c r="F732" s="545">
        <v>171290</v>
      </c>
      <c r="G732" s="527"/>
      <c r="H732" s="545"/>
      <c r="I732" s="549"/>
    </row>
    <row r="733" spans="1:9" s="676" customFormat="1" ht="12">
      <c r="A733" s="523"/>
      <c r="B733" s="524" t="s">
        <v>414</v>
      </c>
      <c r="C733" s="525"/>
      <c r="D733" s="526"/>
      <c r="E733" s="527"/>
      <c r="F733" s="545"/>
      <c r="G733" s="527"/>
      <c r="H733" s="545"/>
      <c r="I733" s="549"/>
    </row>
    <row r="734" spans="1:9" s="676" customFormat="1" ht="12">
      <c r="A734" s="523"/>
      <c r="B734" s="524" t="s">
        <v>389</v>
      </c>
      <c r="C734" s="525">
        <f>SUM(D734:E734)</f>
        <v>74658</v>
      </c>
      <c r="D734" s="526">
        <f>F734+H734</f>
        <v>74658</v>
      </c>
      <c r="E734" s="527"/>
      <c r="F734" s="545">
        <v>74658</v>
      </c>
      <c r="G734" s="527"/>
      <c r="H734" s="545"/>
      <c r="I734" s="549"/>
    </row>
    <row r="735" spans="1:9" s="676" customFormat="1" ht="12" customHeight="1">
      <c r="A735" s="523"/>
      <c r="B735" s="524" t="s">
        <v>416</v>
      </c>
      <c r="C735" s="525">
        <f>SUM(D735:E735)</f>
        <v>3300</v>
      </c>
      <c r="D735" s="526">
        <f>F735+H735</f>
        <v>3300</v>
      </c>
      <c r="E735" s="527"/>
      <c r="F735" s="545">
        <v>3300</v>
      </c>
      <c r="G735" s="527"/>
      <c r="H735" s="545"/>
      <c r="I735" s="549"/>
    </row>
    <row r="736" spans="1:9" ht="12.75">
      <c r="A736" s="515"/>
      <c r="B736" s="540" t="s">
        <v>384</v>
      </c>
      <c r="C736" s="517">
        <f>SUM(C737)</f>
        <v>41200</v>
      </c>
      <c r="D736" s="518">
        <f>SUM(D737)</f>
        <v>41200</v>
      </c>
      <c r="E736" s="519"/>
      <c r="F736" s="520">
        <f>SUM(F737)</f>
        <v>41200</v>
      </c>
      <c r="G736" s="654"/>
      <c r="H736" s="520"/>
      <c r="I736" s="656"/>
    </row>
    <row r="737" spans="1:9" ht="12">
      <c r="A737" s="515"/>
      <c r="B737" s="544" t="s">
        <v>397</v>
      </c>
      <c r="C737" s="525">
        <f>SUM(D737:E737)</f>
        <v>41200</v>
      </c>
      <c r="D737" s="526">
        <f>F737+H737</f>
        <v>41200</v>
      </c>
      <c r="E737" s="527"/>
      <c r="F737" s="545">
        <v>41200</v>
      </c>
      <c r="G737" s="519"/>
      <c r="H737" s="545"/>
      <c r="I737" s="542"/>
    </row>
    <row r="738" spans="1:9" s="539" customFormat="1" ht="24.75" customHeight="1">
      <c r="A738" s="571">
        <v>85419</v>
      </c>
      <c r="B738" s="695" t="s">
        <v>502</v>
      </c>
      <c r="C738" s="534">
        <f>SUM(C739)</f>
        <v>800000</v>
      </c>
      <c r="D738" s="535">
        <f>SUM(D739)</f>
        <v>800000</v>
      </c>
      <c r="E738" s="536"/>
      <c r="F738" s="537"/>
      <c r="G738" s="536"/>
      <c r="H738" s="537">
        <f>SUM(H739)</f>
        <v>800000</v>
      </c>
      <c r="I738" s="538"/>
    </row>
    <row r="739" spans="1:9" ht="14.25" customHeight="1">
      <c r="A739" s="704"/>
      <c r="B739" s="769" t="s">
        <v>427</v>
      </c>
      <c r="C739" s="778">
        <f>SUM(C740:C740)</f>
        <v>800000</v>
      </c>
      <c r="D739" s="518">
        <f>F739+H739</f>
        <v>800000</v>
      </c>
      <c r="E739" s="519"/>
      <c r="F739" s="710"/>
      <c r="G739" s="709"/>
      <c r="H739" s="710">
        <f>SUM(H740:H740)</f>
        <v>800000</v>
      </c>
      <c r="I739" s="745"/>
    </row>
    <row r="740" spans="1:9" s="676" customFormat="1" ht="12.75" customHeight="1">
      <c r="A740" s="657"/>
      <c r="B740" s="574" t="s">
        <v>400</v>
      </c>
      <c r="C740" s="642">
        <f>SUM(D740:E740)</f>
        <v>800000</v>
      </c>
      <c r="D740" s="643">
        <f>F740+H740</f>
        <v>800000</v>
      </c>
      <c r="E740" s="644"/>
      <c r="F740" s="660"/>
      <c r="G740" s="659"/>
      <c r="H740" s="645">
        <v>800000</v>
      </c>
      <c r="I740" s="661"/>
    </row>
    <row r="741" spans="1:9" s="539" customFormat="1" ht="37.5" customHeight="1">
      <c r="A741" s="571">
        <v>85446</v>
      </c>
      <c r="B741" s="695" t="s">
        <v>469</v>
      </c>
      <c r="C741" s="534">
        <f>SUM(C742)</f>
        <v>29900</v>
      </c>
      <c r="D741" s="535">
        <f>SUM(D742)</f>
        <v>29900</v>
      </c>
      <c r="E741" s="536"/>
      <c r="F741" s="537"/>
      <c r="G741" s="536"/>
      <c r="H741" s="537">
        <f>SUM(H742)</f>
        <v>29900</v>
      </c>
      <c r="I741" s="538"/>
    </row>
    <row r="742" spans="1:9" ht="12.75">
      <c r="A742" s="704"/>
      <c r="B742" s="769" t="s">
        <v>427</v>
      </c>
      <c r="C742" s="778">
        <f>SUM(C743:C743)</f>
        <v>29900</v>
      </c>
      <c r="D742" s="518">
        <f>F742+H742</f>
        <v>29900</v>
      </c>
      <c r="E742" s="519"/>
      <c r="F742" s="710"/>
      <c r="G742" s="709"/>
      <c r="H742" s="710">
        <f>SUM(H743:H743)</f>
        <v>29900</v>
      </c>
      <c r="I742" s="745"/>
    </row>
    <row r="743" spans="1:9" s="676" customFormat="1" ht="13.5" customHeight="1">
      <c r="A743" s="657"/>
      <c r="B743" s="574" t="s">
        <v>389</v>
      </c>
      <c r="C743" s="642">
        <f>SUM(D743:E743)</f>
        <v>29900</v>
      </c>
      <c r="D743" s="643">
        <f>F743+H743</f>
        <v>29900</v>
      </c>
      <c r="E743" s="644"/>
      <c r="F743" s="660"/>
      <c r="G743" s="659"/>
      <c r="H743" s="645">
        <v>29900</v>
      </c>
      <c r="I743" s="661"/>
    </row>
    <row r="744" spans="1:9" s="539" customFormat="1" ht="15.75" customHeight="1">
      <c r="A744" s="571">
        <v>85495</v>
      </c>
      <c r="B744" s="695" t="s">
        <v>395</v>
      </c>
      <c r="C744" s="534">
        <f>SUM(C745)+C751</f>
        <v>803805</v>
      </c>
      <c r="D744" s="535">
        <f>SUM(D745)+D751</f>
        <v>803805</v>
      </c>
      <c r="E744" s="536"/>
      <c r="F744" s="537">
        <f>SUM(F745)+F751</f>
        <v>103225</v>
      </c>
      <c r="G744" s="536"/>
      <c r="H744" s="537">
        <f>SUM(H745)+H751</f>
        <v>700580</v>
      </c>
      <c r="I744" s="449"/>
    </row>
    <row r="745" spans="1:9" ht="12.75">
      <c r="A745" s="515"/>
      <c r="B745" s="540" t="s">
        <v>388</v>
      </c>
      <c r="C745" s="517">
        <f>SUM(C746:C749)</f>
        <v>803805</v>
      </c>
      <c r="D745" s="518">
        <f>SUM(D746:D749)</f>
        <v>803805</v>
      </c>
      <c r="E745" s="519"/>
      <c r="F745" s="520">
        <f>SUM(F746:F749)</f>
        <v>103225</v>
      </c>
      <c r="G745" s="654"/>
      <c r="H745" s="520">
        <f>SUM(H746:H749)</f>
        <v>700580</v>
      </c>
      <c r="I745" s="656"/>
    </row>
    <row r="746" spans="1:9" s="676" customFormat="1" ht="12">
      <c r="A746" s="523"/>
      <c r="B746" s="524" t="s">
        <v>413</v>
      </c>
      <c r="C746" s="525">
        <f>SUM(D746:E746)</f>
        <v>135405</v>
      </c>
      <c r="D746" s="526">
        <f>F746+H746</f>
        <v>135405</v>
      </c>
      <c r="E746" s="527"/>
      <c r="F746" s="545">
        <v>51425</v>
      </c>
      <c r="G746" s="527"/>
      <c r="H746" s="545">
        <v>83980</v>
      </c>
      <c r="I746" s="549"/>
    </row>
    <row r="747" spans="1:9" s="676" customFormat="1" ht="12">
      <c r="A747" s="523"/>
      <c r="B747" s="524" t="s">
        <v>414</v>
      </c>
      <c r="C747" s="525"/>
      <c r="D747" s="526"/>
      <c r="E747" s="527"/>
      <c r="F747" s="545"/>
      <c r="G747" s="527"/>
      <c r="H747" s="545"/>
      <c r="I747" s="549"/>
    </row>
    <row r="748" spans="1:9" ht="11.25" customHeight="1">
      <c r="A748" s="515"/>
      <c r="B748" s="544" t="s">
        <v>400</v>
      </c>
      <c r="C748" s="525">
        <f>SUM(D748:E748)</f>
        <v>31000</v>
      </c>
      <c r="D748" s="526">
        <f>F748+H748</f>
        <v>31000</v>
      </c>
      <c r="E748" s="527"/>
      <c r="F748" s="528">
        <v>31000</v>
      </c>
      <c r="G748" s="521"/>
      <c r="H748" s="520"/>
      <c r="I748" s="522"/>
    </row>
    <row r="749" spans="1:9" ht="14.25" customHeight="1" thickBot="1">
      <c r="A749" s="515"/>
      <c r="B749" s="524" t="s">
        <v>389</v>
      </c>
      <c r="C749" s="525">
        <f>SUM(D749:E749)</f>
        <v>637400</v>
      </c>
      <c r="D749" s="526">
        <f>F749+H749</f>
        <v>637400</v>
      </c>
      <c r="E749" s="527"/>
      <c r="F749" s="545">
        <v>20800</v>
      </c>
      <c r="G749" s="519"/>
      <c r="H749" s="545">
        <v>616600</v>
      </c>
      <c r="I749" s="542"/>
    </row>
    <row r="750" spans="1:9" s="676" customFormat="1" ht="12.75" hidden="1" thickBot="1">
      <c r="A750" s="523"/>
      <c r="B750" s="524" t="s">
        <v>416</v>
      </c>
      <c r="C750" s="525">
        <f>SUM(D750:E750)</f>
        <v>0</v>
      </c>
      <c r="D750" s="526">
        <f>F750+H750</f>
        <v>0</v>
      </c>
      <c r="E750" s="527"/>
      <c r="F750" s="545"/>
      <c r="G750" s="527"/>
      <c r="H750" s="545">
        <v>0</v>
      </c>
      <c r="I750" s="549"/>
    </row>
    <row r="751" spans="1:9" ht="13.5" hidden="1" thickBot="1">
      <c r="A751" s="515"/>
      <c r="B751" s="540" t="s">
        <v>384</v>
      </c>
      <c r="C751" s="517">
        <f>SUM(C752)</f>
        <v>0</v>
      </c>
      <c r="D751" s="518">
        <f>SUM(D752)</f>
        <v>0</v>
      </c>
      <c r="E751" s="519"/>
      <c r="F751" s="520"/>
      <c r="G751" s="654"/>
      <c r="H751" s="520">
        <f>SUM(H752)</f>
        <v>0</v>
      </c>
      <c r="I751" s="656"/>
    </row>
    <row r="752" spans="1:9" ht="12.75" hidden="1" thickBot="1">
      <c r="A752" s="515"/>
      <c r="B752" s="544" t="s">
        <v>397</v>
      </c>
      <c r="C752" s="525">
        <f>SUM(D752:E752)</f>
        <v>0</v>
      </c>
      <c r="D752" s="526">
        <f>F752+H752</f>
        <v>0</v>
      </c>
      <c r="E752" s="527"/>
      <c r="F752" s="545"/>
      <c r="G752" s="519"/>
      <c r="H752" s="545"/>
      <c r="I752" s="542"/>
    </row>
    <row r="753" spans="1:9" s="514" customFormat="1" ht="53.25" customHeight="1" thickBot="1" thickTop="1">
      <c r="A753" s="570">
        <v>900</v>
      </c>
      <c r="B753" s="896" t="s">
        <v>503</v>
      </c>
      <c r="C753" s="510">
        <f>C762+C769+C773+C778+C784+C790</f>
        <v>23819700</v>
      </c>
      <c r="D753" s="511">
        <f>D762+D769+D773+D778+D784+D790</f>
        <v>23819700</v>
      </c>
      <c r="E753" s="512"/>
      <c r="F753" s="513">
        <f>F762+F769+F773+F778+F784+F790</f>
        <v>19240700</v>
      </c>
      <c r="G753" s="512"/>
      <c r="H753" s="513">
        <f>H769+H773+H784+H790+H778+H762</f>
        <v>4579000</v>
      </c>
      <c r="I753" s="457"/>
    </row>
    <row r="754" spans="1:9" s="514" customFormat="1" ht="12.75" customHeight="1" thickTop="1">
      <c r="A754" s="576"/>
      <c r="B754" s="595" t="s">
        <v>427</v>
      </c>
      <c r="C754" s="578">
        <f>D754+E754</f>
        <v>11348200</v>
      </c>
      <c r="D754" s="579">
        <f>F754+H754</f>
        <v>11348200</v>
      </c>
      <c r="E754" s="580"/>
      <c r="F754" s="581">
        <f>F763+F770+F774+F779+F785+F791</f>
        <v>6909200</v>
      </c>
      <c r="G754" s="582"/>
      <c r="H754" s="596">
        <f>H763+H770+H774+H779+H785+H791</f>
        <v>4439000</v>
      </c>
      <c r="I754" s="597"/>
    </row>
    <row r="755" spans="1:9" s="514" customFormat="1" ht="12.75">
      <c r="A755" s="576"/>
      <c r="B755" s="524" t="s">
        <v>413</v>
      </c>
      <c r="C755" s="586">
        <f>D755+E755</f>
        <v>10000</v>
      </c>
      <c r="D755" s="587">
        <f>F755+H755</f>
        <v>10000</v>
      </c>
      <c r="E755" s="580"/>
      <c r="F755" s="588">
        <f>F792</f>
        <v>10000</v>
      </c>
      <c r="G755" s="580"/>
      <c r="H755" s="596"/>
      <c r="I755" s="597"/>
    </row>
    <row r="756" spans="1:9" s="514" customFormat="1" ht="12.75">
      <c r="A756" s="576"/>
      <c r="B756" s="524" t="s">
        <v>414</v>
      </c>
      <c r="C756" s="578"/>
      <c r="D756" s="579"/>
      <c r="E756" s="580"/>
      <c r="F756" s="581"/>
      <c r="G756" s="580"/>
      <c r="H756" s="596"/>
      <c r="I756" s="597"/>
    </row>
    <row r="757" spans="1:9" s="514" customFormat="1" ht="12.75" hidden="1">
      <c r="A757" s="576"/>
      <c r="B757" s="544" t="s">
        <v>400</v>
      </c>
      <c r="C757" s="586">
        <f>D757+E757</f>
        <v>0</v>
      </c>
      <c r="D757" s="587">
        <f>F757+H757</f>
        <v>0</v>
      </c>
      <c r="E757" s="580"/>
      <c r="F757" s="588">
        <f>F764</f>
        <v>0</v>
      </c>
      <c r="G757" s="580"/>
      <c r="H757" s="596"/>
      <c r="I757" s="597"/>
    </row>
    <row r="758" spans="1:9" s="676" customFormat="1" ht="13.5" customHeight="1">
      <c r="A758" s="673"/>
      <c r="B758" s="524" t="s">
        <v>389</v>
      </c>
      <c r="C758" s="586">
        <f>D758+E758</f>
        <v>11338200</v>
      </c>
      <c r="D758" s="587">
        <f>F758+H758</f>
        <v>11338200</v>
      </c>
      <c r="E758" s="529"/>
      <c r="F758" s="588">
        <f>F765+F771+F775+F780+F786+F794</f>
        <v>6899200</v>
      </c>
      <c r="G758" s="529"/>
      <c r="H758" s="528">
        <f>H765+H771+H775+H780+H786+H794</f>
        <v>4439000</v>
      </c>
      <c r="I758" s="530"/>
    </row>
    <row r="759" spans="1:9" s="539" customFormat="1" ht="10.5" customHeight="1">
      <c r="A759" s="591"/>
      <c r="B759" s="524" t="s">
        <v>504</v>
      </c>
      <c r="C759" s="677">
        <f>D759+E759</f>
        <v>1937000</v>
      </c>
      <c r="D759" s="678">
        <f>F759+H759</f>
        <v>1937000</v>
      </c>
      <c r="E759" s="521"/>
      <c r="F759" s="652">
        <f>F766+F787+F795+F772+F781</f>
        <v>1383000</v>
      </c>
      <c r="G759" s="521"/>
      <c r="H759" s="520">
        <f>H766+H787+H795+H772+H781</f>
        <v>554000</v>
      </c>
      <c r="I759" s="522"/>
    </row>
    <row r="760" spans="1:9" s="514" customFormat="1" ht="13.5" customHeight="1">
      <c r="A760" s="576"/>
      <c r="B760" s="577" t="s">
        <v>384</v>
      </c>
      <c r="C760" s="578">
        <f>D760+E760</f>
        <v>12471500</v>
      </c>
      <c r="D760" s="579">
        <f>F760+H760</f>
        <v>12471500</v>
      </c>
      <c r="E760" s="580"/>
      <c r="F760" s="581">
        <f>F767+F782+F788+F796+F776</f>
        <v>12331500</v>
      </c>
      <c r="G760" s="580"/>
      <c r="H760" s="581">
        <f>H767+H782+H788+H796+H776</f>
        <v>140000</v>
      </c>
      <c r="I760" s="597"/>
    </row>
    <row r="761" spans="1:9" s="676" customFormat="1" ht="15.75" customHeight="1">
      <c r="A761" s="791"/>
      <c r="B761" s="658" t="s">
        <v>397</v>
      </c>
      <c r="C761" s="734">
        <f>D761+E761</f>
        <v>12471500</v>
      </c>
      <c r="D761" s="735">
        <f>F761+H761</f>
        <v>12471500</v>
      </c>
      <c r="E761" s="659"/>
      <c r="F761" s="897">
        <f>F768+F783+F789+F797+F777</f>
        <v>12331500</v>
      </c>
      <c r="G761" s="659"/>
      <c r="H761" s="897">
        <f>H768+H783+H789+H797+H777</f>
        <v>140000</v>
      </c>
      <c r="I761" s="661"/>
    </row>
    <row r="762" spans="1:9" s="514" customFormat="1" ht="25.5" customHeight="1">
      <c r="A762" s="620">
        <v>90001</v>
      </c>
      <c r="B762" s="898" t="s">
        <v>505</v>
      </c>
      <c r="C762" s="622">
        <f>SUM(C763+C767)</f>
        <v>9646000</v>
      </c>
      <c r="D762" s="623">
        <f>SUM(D763+D767)</f>
        <v>9646000</v>
      </c>
      <c r="E762" s="794"/>
      <c r="F762" s="625">
        <f>SUM(F763+F767)</f>
        <v>8972000</v>
      </c>
      <c r="G762" s="794"/>
      <c r="H762" s="625">
        <f>SUM(H763)+H767</f>
        <v>674000</v>
      </c>
      <c r="I762" s="796"/>
    </row>
    <row r="763" spans="1:9" s="539" customFormat="1" ht="15" customHeight="1">
      <c r="A763" s="515"/>
      <c r="B763" s="516" t="s">
        <v>427</v>
      </c>
      <c r="C763" s="873">
        <f>SUM(C764:C765)</f>
        <v>1546000</v>
      </c>
      <c r="D763" s="518">
        <f>F763+H763</f>
        <v>1546000</v>
      </c>
      <c r="E763" s="519"/>
      <c r="F763" s="520">
        <f>SUM(F764:F765)</f>
        <v>872000</v>
      </c>
      <c r="G763" s="654"/>
      <c r="H763" s="520">
        <f>SUM(H765)</f>
        <v>674000</v>
      </c>
      <c r="I763" s="656"/>
    </row>
    <row r="764" spans="1:9" s="539" customFormat="1" ht="13.5" customHeight="1" hidden="1">
      <c r="A764" s="515"/>
      <c r="B764" s="544" t="s">
        <v>400</v>
      </c>
      <c r="C764" s="525">
        <f>SUM(D764:E764)</f>
        <v>0</v>
      </c>
      <c r="D764" s="526">
        <f>F764+H764</f>
        <v>0</v>
      </c>
      <c r="E764" s="519"/>
      <c r="F764" s="545"/>
      <c r="G764" s="654"/>
      <c r="H764" s="520"/>
      <c r="I764" s="656"/>
    </row>
    <row r="765" spans="1:9" s="539" customFormat="1" ht="12" customHeight="1">
      <c r="A765" s="515"/>
      <c r="B765" s="524" t="s">
        <v>389</v>
      </c>
      <c r="C765" s="525">
        <f>SUM(D765:E765)</f>
        <v>1546000</v>
      </c>
      <c r="D765" s="526">
        <f>F765+H765</f>
        <v>1546000</v>
      </c>
      <c r="E765" s="527"/>
      <c r="F765" s="545">
        <v>872000</v>
      </c>
      <c r="G765" s="519"/>
      <c r="H765" s="545">
        <v>674000</v>
      </c>
      <c r="I765" s="542"/>
    </row>
    <row r="766" spans="1:9" s="531" customFormat="1" ht="11.25" customHeight="1" hidden="1">
      <c r="A766" s="523"/>
      <c r="B766" s="524" t="s">
        <v>504</v>
      </c>
      <c r="C766" s="525">
        <f>SUM(D766:E766)</f>
        <v>0</v>
      </c>
      <c r="D766" s="526">
        <f>F766+H766</f>
        <v>0</v>
      </c>
      <c r="E766" s="527"/>
      <c r="F766" s="545"/>
      <c r="G766" s="527"/>
      <c r="H766" s="545"/>
      <c r="I766" s="549"/>
    </row>
    <row r="767" spans="1:9" ht="12.75">
      <c r="A767" s="515"/>
      <c r="B767" s="540" t="s">
        <v>384</v>
      </c>
      <c r="C767" s="517">
        <f>SUM(C768)</f>
        <v>8100000</v>
      </c>
      <c r="D767" s="518">
        <f>SUM(D768)</f>
        <v>8100000</v>
      </c>
      <c r="E767" s="519"/>
      <c r="F767" s="520">
        <f>SUM(F768)</f>
        <v>8100000</v>
      </c>
      <c r="G767" s="654"/>
      <c r="H767" s="520"/>
      <c r="I767" s="656"/>
    </row>
    <row r="768" spans="1:9" ht="12.75" customHeight="1">
      <c r="A768" s="641"/>
      <c r="B768" s="658" t="s">
        <v>397</v>
      </c>
      <c r="C768" s="642">
        <f>SUM(D768:E768)</f>
        <v>8100000</v>
      </c>
      <c r="D768" s="643">
        <f>F768+H768</f>
        <v>8100000</v>
      </c>
      <c r="E768" s="644"/>
      <c r="F768" s="645">
        <v>8100000</v>
      </c>
      <c r="G768" s="714"/>
      <c r="H768" s="645"/>
      <c r="I768" s="797"/>
    </row>
    <row r="769" spans="1:9" s="539" customFormat="1" ht="27" customHeight="1">
      <c r="A769" s="620">
        <v>90003</v>
      </c>
      <c r="B769" s="689" t="s">
        <v>506</v>
      </c>
      <c r="C769" s="622">
        <f>SUM(C770)</f>
        <v>3310000</v>
      </c>
      <c r="D769" s="623">
        <f>SUM(D770)</f>
        <v>3310000</v>
      </c>
      <c r="E769" s="624"/>
      <c r="F769" s="625">
        <f>SUM(F770)</f>
        <v>1560000</v>
      </c>
      <c r="G769" s="692"/>
      <c r="H769" s="625">
        <f>SUM(H770)</f>
        <v>1750000</v>
      </c>
      <c r="I769" s="626"/>
    </row>
    <row r="770" spans="1:9" ht="16.5" customHeight="1">
      <c r="A770" s="704"/>
      <c r="B770" s="705" t="s">
        <v>388</v>
      </c>
      <c r="C770" s="672">
        <f>SUM(C771)</f>
        <v>3310000</v>
      </c>
      <c r="D770" s="706">
        <f>SUM(D771)</f>
        <v>3310000</v>
      </c>
      <c r="E770" s="707"/>
      <c r="F770" s="708">
        <f>SUM(F771)</f>
        <v>1560000</v>
      </c>
      <c r="G770" s="709"/>
      <c r="H770" s="708">
        <f>SUM(H771)</f>
        <v>1750000</v>
      </c>
      <c r="I770" s="745"/>
    </row>
    <row r="771" spans="1:9" ht="12">
      <c r="A771" s="515"/>
      <c r="B771" s="544" t="s">
        <v>389</v>
      </c>
      <c r="C771" s="525">
        <f>SUM(D771:E771)</f>
        <v>3310000</v>
      </c>
      <c r="D771" s="526">
        <f>F771+H771</f>
        <v>3310000</v>
      </c>
      <c r="E771" s="527"/>
      <c r="F771" s="545">
        <v>1560000</v>
      </c>
      <c r="G771" s="519"/>
      <c r="H771" s="545">
        <v>1750000</v>
      </c>
      <c r="I771" s="542"/>
    </row>
    <row r="772" spans="1:9" s="539" customFormat="1" ht="12.75" customHeight="1">
      <c r="A772" s="591"/>
      <c r="B772" s="524" t="s">
        <v>504</v>
      </c>
      <c r="C772" s="525">
        <f>D772+E772</f>
        <v>70000</v>
      </c>
      <c r="D772" s="526">
        <f>F772+H772</f>
        <v>70000</v>
      </c>
      <c r="E772" s="527"/>
      <c r="F772" s="573"/>
      <c r="G772" s="527"/>
      <c r="H772" s="545">
        <v>70000</v>
      </c>
      <c r="I772" s="542"/>
    </row>
    <row r="773" spans="1:9" s="539" customFormat="1" ht="24" customHeight="1">
      <c r="A773" s="571">
        <v>90004</v>
      </c>
      <c r="B773" s="695" t="s">
        <v>507</v>
      </c>
      <c r="C773" s="534">
        <f>SUM(C774+C776)</f>
        <v>2806000</v>
      </c>
      <c r="D773" s="535">
        <f>SUM(D774+D776)</f>
        <v>2806000</v>
      </c>
      <c r="E773" s="536"/>
      <c r="F773" s="537">
        <f>SUM(F774+F776)</f>
        <v>2006000</v>
      </c>
      <c r="G773" s="547"/>
      <c r="H773" s="537">
        <f>SUM(H774)</f>
        <v>800000</v>
      </c>
      <c r="I773" s="449"/>
    </row>
    <row r="774" spans="1:9" ht="15" customHeight="1">
      <c r="A774" s="515"/>
      <c r="B774" s="540" t="s">
        <v>388</v>
      </c>
      <c r="C774" s="517">
        <f>SUM(C775)</f>
        <v>1906000</v>
      </c>
      <c r="D774" s="518">
        <f>SUM(D775)</f>
        <v>1906000</v>
      </c>
      <c r="E774" s="519"/>
      <c r="F774" s="520">
        <f>SUM(F775)</f>
        <v>1106000</v>
      </c>
      <c r="G774" s="654"/>
      <c r="H774" s="520">
        <f>SUM(H775)</f>
        <v>800000</v>
      </c>
      <c r="I774" s="656"/>
    </row>
    <row r="775" spans="1:9" ht="12">
      <c r="A775" s="515"/>
      <c r="B775" s="544" t="s">
        <v>389</v>
      </c>
      <c r="C775" s="525">
        <f>SUM(D775:E775)</f>
        <v>1906000</v>
      </c>
      <c r="D775" s="526">
        <f>F775+H775</f>
        <v>1906000</v>
      </c>
      <c r="E775" s="527"/>
      <c r="F775" s="545">
        <v>1106000</v>
      </c>
      <c r="G775" s="519"/>
      <c r="H775" s="545">
        <v>800000</v>
      </c>
      <c r="I775" s="542"/>
    </row>
    <row r="776" spans="1:9" ht="12.75">
      <c r="A776" s="515"/>
      <c r="B776" s="540" t="s">
        <v>384</v>
      </c>
      <c r="C776" s="517">
        <f>SUM(C777)</f>
        <v>900000</v>
      </c>
      <c r="D776" s="518">
        <f>SUM(D777)</f>
        <v>900000</v>
      </c>
      <c r="E776" s="519"/>
      <c r="F776" s="520">
        <f>SUM(F777)</f>
        <v>900000</v>
      </c>
      <c r="G776" s="654"/>
      <c r="H776" s="520"/>
      <c r="I776" s="656"/>
    </row>
    <row r="777" spans="1:9" ht="12">
      <c r="A777" s="641"/>
      <c r="B777" s="658" t="s">
        <v>397</v>
      </c>
      <c r="C777" s="642">
        <f>SUM(D777:E777)</f>
        <v>900000</v>
      </c>
      <c r="D777" s="643">
        <f>F777+H777</f>
        <v>900000</v>
      </c>
      <c r="E777" s="644"/>
      <c r="F777" s="645">
        <v>900000</v>
      </c>
      <c r="G777" s="714"/>
      <c r="H777" s="645"/>
      <c r="I777" s="797"/>
    </row>
    <row r="778" spans="1:9" s="539" customFormat="1" ht="14.25" customHeight="1">
      <c r="A778" s="571">
        <v>90013</v>
      </c>
      <c r="B778" s="695" t="s">
        <v>508</v>
      </c>
      <c r="C778" s="546">
        <f>C779+C782</f>
        <v>1175000</v>
      </c>
      <c r="D778" s="447">
        <f>D779+D782</f>
        <v>1175000</v>
      </c>
      <c r="E778" s="547"/>
      <c r="F778" s="548">
        <f>F779+F782</f>
        <v>1175000</v>
      </c>
      <c r="G778" s="547"/>
      <c r="H778" s="548"/>
      <c r="I778" s="449"/>
    </row>
    <row r="779" spans="1:9" ht="12.75" customHeight="1">
      <c r="A779" s="704"/>
      <c r="B779" s="705" t="s">
        <v>427</v>
      </c>
      <c r="C779" s="677">
        <f>SUM(C780)</f>
        <v>675000</v>
      </c>
      <c r="D779" s="678">
        <f>SUM(D780)</f>
        <v>675000</v>
      </c>
      <c r="E779" s="521"/>
      <c r="F779" s="520">
        <f>SUM(F780)</f>
        <v>675000</v>
      </c>
      <c r="G779" s="521"/>
      <c r="H779" s="520"/>
      <c r="I779" s="522"/>
    </row>
    <row r="780" spans="1:9" s="531" customFormat="1" ht="12">
      <c r="A780" s="523"/>
      <c r="B780" s="524" t="s">
        <v>389</v>
      </c>
      <c r="C780" s="525">
        <f>SUM(D780:E780)</f>
        <v>675000</v>
      </c>
      <c r="D780" s="526">
        <f>F780+H780</f>
        <v>675000</v>
      </c>
      <c r="E780" s="527"/>
      <c r="F780" s="545">
        <v>675000</v>
      </c>
      <c r="G780" s="527"/>
      <c r="H780" s="545"/>
      <c r="I780" s="549"/>
    </row>
    <row r="781" spans="1:9" s="531" customFormat="1" ht="12" customHeight="1">
      <c r="A781" s="523"/>
      <c r="B781" s="524" t="s">
        <v>509</v>
      </c>
      <c r="C781" s="525">
        <f>SUM(D781:E781)</f>
        <v>25000</v>
      </c>
      <c r="D781" s="526">
        <f>F781+H781</f>
        <v>25000</v>
      </c>
      <c r="E781" s="527"/>
      <c r="F781" s="545">
        <v>25000</v>
      </c>
      <c r="G781" s="527"/>
      <c r="H781" s="545"/>
      <c r="I781" s="549"/>
    </row>
    <row r="782" spans="1:9" ht="13.5" customHeight="1">
      <c r="A782" s="515"/>
      <c r="B782" s="516" t="s">
        <v>384</v>
      </c>
      <c r="C782" s="677">
        <f>SUM(C783)</f>
        <v>500000</v>
      </c>
      <c r="D782" s="678">
        <f>SUM(D783)</f>
        <v>500000</v>
      </c>
      <c r="E782" s="521"/>
      <c r="F782" s="520">
        <f>SUM(F783)</f>
        <v>500000</v>
      </c>
      <c r="G782" s="521"/>
      <c r="H782" s="520"/>
      <c r="I782" s="522"/>
    </row>
    <row r="783" spans="1:9" s="531" customFormat="1" ht="12">
      <c r="A783" s="523"/>
      <c r="B783" s="524" t="s">
        <v>397</v>
      </c>
      <c r="C783" s="525">
        <f>SUM(D783:E783)</f>
        <v>500000</v>
      </c>
      <c r="D783" s="526">
        <f>F783+H783</f>
        <v>500000</v>
      </c>
      <c r="E783" s="527"/>
      <c r="F783" s="545">
        <v>500000</v>
      </c>
      <c r="G783" s="527"/>
      <c r="H783" s="545"/>
      <c r="I783" s="549"/>
    </row>
    <row r="784" spans="1:9" s="539" customFormat="1" ht="24" customHeight="1">
      <c r="A784" s="571">
        <v>90015</v>
      </c>
      <c r="B784" s="695" t="s">
        <v>510</v>
      </c>
      <c r="C784" s="546">
        <f>C785+C788</f>
        <v>3356000</v>
      </c>
      <c r="D784" s="447">
        <f>D785+D788</f>
        <v>3356000</v>
      </c>
      <c r="E784" s="547"/>
      <c r="F784" s="548">
        <f>F785+F788</f>
        <v>2001000</v>
      </c>
      <c r="G784" s="547"/>
      <c r="H784" s="548">
        <f>H785+H788</f>
        <v>1355000</v>
      </c>
      <c r="I784" s="449"/>
    </row>
    <row r="785" spans="1:9" ht="12.75" customHeight="1">
      <c r="A785" s="704"/>
      <c r="B785" s="705" t="s">
        <v>427</v>
      </c>
      <c r="C785" s="899">
        <f>SUM(C786)</f>
        <v>3026000</v>
      </c>
      <c r="D785" s="744">
        <f>SUM(D786)</f>
        <v>3026000</v>
      </c>
      <c r="E785" s="717"/>
      <c r="F785" s="708">
        <f>SUM(F786)</f>
        <v>1811000</v>
      </c>
      <c r="G785" s="717"/>
      <c r="H785" s="708">
        <f>SUM(H786)</f>
        <v>1215000</v>
      </c>
      <c r="I785" s="711"/>
    </row>
    <row r="786" spans="1:9" s="531" customFormat="1" ht="12" customHeight="1">
      <c r="A786" s="523"/>
      <c r="B786" s="524" t="s">
        <v>389</v>
      </c>
      <c r="C786" s="525">
        <f>SUM(D786:E786)</f>
        <v>3026000</v>
      </c>
      <c r="D786" s="526">
        <f>F786+H786</f>
        <v>3026000</v>
      </c>
      <c r="E786" s="527"/>
      <c r="F786" s="545">
        <v>1811000</v>
      </c>
      <c r="G786" s="527"/>
      <c r="H786" s="545">
        <v>1215000</v>
      </c>
      <c r="I786" s="549"/>
    </row>
    <row r="787" spans="1:9" s="531" customFormat="1" ht="12" customHeight="1">
      <c r="A787" s="523"/>
      <c r="B787" s="524" t="s">
        <v>504</v>
      </c>
      <c r="C787" s="525">
        <f>SUM(D787:E787)</f>
        <v>1266000</v>
      </c>
      <c r="D787" s="526">
        <f>F787+H787</f>
        <v>1266000</v>
      </c>
      <c r="E787" s="527"/>
      <c r="F787" s="545">
        <v>782000</v>
      </c>
      <c r="G787" s="527"/>
      <c r="H787" s="545">
        <v>484000</v>
      </c>
      <c r="I787" s="549"/>
    </row>
    <row r="788" spans="1:9" ht="12.75" customHeight="1">
      <c r="A788" s="515"/>
      <c r="B788" s="516" t="s">
        <v>384</v>
      </c>
      <c r="C788" s="677">
        <f>SUM(C789)</f>
        <v>330000</v>
      </c>
      <c r="D788" s="678">
        <f>SUM(D789)</f>
        <v>330000</v>
      </c>
      <c r="E788" s="521"/>
      <c r="F788" s="520">
        <f>F789</f>
        <v>190000</v>
      </c>
      <c r="G788" s="521"/>
      <c r="H788" s="520">
        <f>H789</f>
        <v>140000</v>
      </c>
      <c r="I788" s="522"/>
    </row>
    <row r="789" spans="1:9" s="531" customFormat="1" ht="12" customHeight="1">
      <c r="A789" s="523"/>
      <c r="B789" s="524" t="s">
        <v>397</v>
      </c>
      <c r="C789" s="525">
        <f>SUM(D789:E789)</f>
        <v>330000</v>
      </c>
      <c r="D789" s="526">
        <f>F789+H789</f>
        <v>330000</v>
      </c>
      <c r="E789" s="644"/>
      <c r="F789" s="545">
        <v>190000</v>
      </c>
      <c r="G789" s="527"/>
      <c r="H789" s="545">
        <v>140000</v>
      </c>
      <c r="I789" s="549"/>
    </row>
    <row r="790" spans="1:9" ht="15" customHeight="1">
      <c r="A790" s="571">
        <v>90095</v>
      </c>
      <c r="B790" s="695" t="s">
        <v>395</v>
      </c>
      <c r="C790" s="546">
        <f>C791+C796</f>
        <v>3526700</v>
      </c>
      <c r="D790" s="447">
        <f>D791+D796</f>
        <v>3526700</v>
      </c>
      <c r="E790" s="547"/>
      <c r="F790" s="548">
        <f>F791+F796</f>
        <v>3526700</v>
      </c>
      <c r="G790" s="547"/>
      <c r="H790" s="548"/>
      <c r="I790" s="449"/>
    </row>
    <row r="791" spans="1:9" ht="12" customHeight="1">
      <c r="A791" s="704"/>
      <c r="B791" s="705" t="s">
        <v>427</v>
      </c>
      <c r="C791" s="677">
        <f>SUM(C792:C794)</f>
        <v>885200</v>
      </c>
      <c r="D791" s="678">
        <f>SUM(D792:D794)</f>
        <v>885200</v>
      </c>
      <c r="E791" s="521"/>
      <c r="F791" s="520">
        <f>SUM(F792:F794)</f>
        <v>885200</v>
      </c>
      <c r="G791" s="521"/>
      <c r="H791" s="520"/>
      <c r="I791" s="522"/>
    </row>
    <row r="792" spans="1:9" ht="15" customHeight="1">
      <c r="A792" s="515"/>
      <c r="B792" s="524" t="s">
        <v>413</v>
      </c>
      <c r="C792" s="525">
        <f>D792</f>
        <v>10000</v>
      </c>
      <c r="D792" s="526">
        <f>F792</f>
        <v>10000</v>
      </c>
      <c r="E792" s="519"/>
      <c r="F792" s="545">
        <v>10000</v>
      </c>
      <c r="G792" s="521"/>
      <c r="H792" s="520"/>
      <c r="I792" s="522"/>
    </row>
    <row r="793" spans="1:9" ht="12" customHeight="1">
      <c r="A793" s="515"/>
      <c r="B793" s="524" t="s">
        <v>414</v>
      </c>
      <c r="C793" s="677"/>
      <c r="D793" s="678"/>
      <c r="E793" s="521"/>
      <c r="F793" s="520"/>
      <c r="G793" s="521"/>
      <c r="H793" s="520"/>
      <c r="I793" s="522"/>
    </row>
    <row r="794" spans="1:9" s="531" customFormat="1" ht="12" customHeight="1">
      <c r="A794" s="523"/>
      <c r="B794" s="524" t="s">
        <v>389</v>
      </c>
      <c r="C794" s="525">
        <f>SUM(D794:E794)</f>
        <v>875200</v>
      </c>
      <c r="D794" s="526">
        <f>F794+H794</f>
        <v>875200</v>
      </c>
      <c r="E794" s="527"/>
      <c r="F794" s="545">
        <v>875200</v>
      </c>
      <c r="G794" s="527"/>
      <c r="H794" s="545"/>
      <c r="I794" s="549"/>
    </row>
    <row r="795" spans="1:9" s="531" customFormat="1" ht="11.25" customHeight="1">
      <c r="A795" s="523"/>
      <c r="B795" s="524" t="s">
        <v>509</v>
      </c>
      <c r="C795" s="525">
        <f>SUM(D795:E795)</f>
        <v>576000</v>
      </c>
      <c r="D795" s="526">
        <f>F795+H795</f>
        <v>576000</v>
      </c>
      <c r="E795" s="527"/>
      <c r="F795" s="545">
        <v>576000</v>
      </c>
      <c r="G795" s="527"/>
      <c r="H795" s="545"/>
      <c r="I795" s="549"/>
    </row>
    <row r="796" spans="1:9" ht="12.75" customHeight="1">
      <c r="A796" s="515"/>
      <c r="B796" s="516" t="s">
        <v>384</v>
      </c>
      <c r="C796" s="677">
        <f>SUM(C797:C798)</f>
        <v>2641500</v>
      </c>
      <c r="D796" s="678">
        <f>SUM(D797:D798)</f>
        <v>2641500</v>
      </c>
      <c r="E796" s="521"/>
      <c r="F796" s="520">
        <f>SUM(F797:F798)</f>
        <v>2641500</v>
      </c>
      <c r="G796" s="521"/>
      <c r="H796" s="520"/>
      <c r="I796" s="522"/>
    </row>
    <row r="797" spans="1:9" s="531" customFormat="1" ht="15.75" customHeight="1" thickBot="1">
      <c r="A797" s="657"/>
      <c r="B797" s="574" t="s">
        <v>397</v>
      </c>
      <c r="C797" s="642">
        <f>SUM(D797:E797)</f>
        <v>2641500</v>
      </c>
      <c r="D797" s="643">
        <f>F797+H797</f>
        <v>2641500</v>
      </c>
      <c r="E797" s="644"/>
      <c r="F797" s="645">
        <v>2641500</v>
      </c>
      <c r="G797" s="644"/>
      <c r="H797" s="645"/>
      <c r="I797" s="653"/>
    </row>
    <row r="798" spans="1:9" s="531" customFormat="1" ht="12.75" hidden="1" thickBot="1">
      <c r="A798" s="523"/>
      <c r="B798" s="524" t="s">
        <v>402</v>
      </c>
      <c r="C798" s="525">
        <f>SUM(D798:E798)</f>
        <v>0</v>
      </c>
      <c r="D798" s="526">
        <f>F798+H798</f>
        <v>0</v>
      </c>
      <c r="E798" s="527"/>
      <c r="F798" s="545"/>
      <c r="G798" s="527"/>
      <c r="H798" s="545"/>
      <c r="I798" s="549"/>
    </row>
    <row r="799" spans="1:9" s="514" customFormat="1" ht="55.5" customHeight="1" thickBot="1" thickTop="1">
      <c r="A799" s="570">
        <v>921</v>
      </c>
      <c r="B799" s="509" t="s">
        <v>288</v>
      </c>
      <c r="C799" s="510">
        <f>C811+C821+C827+C836+C855+C861+C868+C877+C844</f>
        <v>19226100</v>
      </c>
      <c r="D799" s="511">
        <f>D811+D821+D827+D836+D855+D861+D868+D877+D844</f>
        <v>19226100</v>
      </c>
      <c r="E799" s="511"/>
      <c r="F799" s="513">
        <f>F811+F821+F827+F836+F855+F861+F868+F877+F844</f>
        <v>6905700</v>
      </c>
      <c r="G799" s="512"/>
      <c r="H799" s="575">
        <f>H811+H821+H827+H836+H855+H861+H868+H877+H844</f>
        <v>12320400</v>
      </c>
      <c r="I799" s="457"/>
    </row>
    <row r="800" spans="1:9" s="514" customFormat="1" ht="15" customHeight="1" thickTop="1">
      <c r="A800" s="576"/>
      <c r="B800" s="900" t="s">
        <v>427</v>
      </c>
      <c r="C800" s="578">
        <f>D800+E800</f>
        <v>17369100</v>
      </c>
      <c r="D800" s="579">
        <f>F800+H800</f>
        <v>17369100</v>
      </c>
      <c r="E800" s="580"/>
      <c r="F800" s="581">
        <f>F822+F828+F837+F845+F856+F862+F869+F878</f>
        <v>6905700</v>
      </c>
      <c r="G800" s="582"/>
      <c r="H800" s="581">
        <f>H822+H828+H837+H845+H856+H862+H869+H878</f>
        <v>10463400</v>
      </c>
      <c r="I800" s="597"/>
    </row>
    <row r="801" spans="1:9" s="531" customFormat="1" ht="12.75">
      <c r="A801" s="878"/>
      <c r="B801" s="524" t="s">
        <v>413</v>
      </c>
      <c r="C801" s="586">
        <f>D801+E801</f>
        <v>5000</v>
      </c>
      <c r="D801" s="587">
        <f>F801+H801</f>
        <v>5000</v>
      </c>
      <c r="E801" s="529"/>
      <c r="F801" s="588">
        <f>F870+F823</f>
        <v>5000</v>
      </c>
      <c r="G801" s="529"/>
      <c r="H801" s="588"/>
      <c r="I801" s="530"/>
    </row>
    <row r="802" spans="1:9" s="531" customFormat="1" ht="14.25" customHeight="1">
      <c r="A802" s="878"/>
      <c r="B802" s="524" t="s">
        <v>414</v>
      </c>
      <c r="C802" s="586"/>
      <c r="D802" s="587"/>
      <c r="E802" s="529"/>
      <c r="F802" s="588"/>
      <c r="G802" s="529"/>
      <c r="H802" s="588"/>
      <c r="I802" s="530"/>
    </row>
    <row r="803" spans="1:9" s="600" customFormat="1" ht="12.75" customHeight="1">
      <c r="A803" s="598"/>
      <c r="B803" s="544" t="s">
        <v>400</v>
      </c>
      <c r="C803" s="586">
        <f aca="true" t="shared" si="33" ref="C803:C820">D803+E803</f>
        <v>17180300</v>
      </c>
      <c r="D803" s="587">
        <f aca="true" t="shared" si="34" ref="D803:D820">F803+H803</f>
        <v>17180300</v>
      </c>
      <c r="E803" s="529"/>
      <c r="F803" s="588">
        <f>F825+F829+F839+F848+F857+F863+F879+F872</f>
        <v>6359900</v>
      </c>
      <c r="G803" s="529"/>
      <c r="H803" s="588">
        <f>H825+H829+H839+H848+H857+H863+H867</f>
        <v>10820400</v>
      </c>
      <c r="I803" s="530"/>
    </row>
    <row r="804" spans="1:9" s="600" customFormat="1" ht="15.75" customHeight="1">
      <c r="A804" s="598"/>
      <c r="B804" s="524" t="s">
        <v>389</v>
      </c>
      <c r="C804" s="586">
        <f t="shared" si="33"/>
        <v>540800</v>
      </c>
      <c r="D804" s="587">
        <f t="shared" si="34"/>
        <v>540800</v>
      </c>
      <c r="E804" s="529"/>
      <c r="F804" s="588">
        <f>F826+F873+F880</f>
        <v>540800</v>
      </c>
      <c r="G804" s="529"/>
      <c r="H804" s="588"/>
      <c r="I804" s="530"/>
    </row>
    <row r="805" spans="1:9" s="600" customFormat="1" ht="14.25" customHeight="1">
      <c r="A805" s="598"/>
      <c r="B805" s="544" t="s">
        <v>396</v>
      </c>
      <c r="C805" s="517">
        <f t="shared" si="33"/>
        <v>300000</v>
      </c>
      <c r="D805" s="518">
        <f t="shared" si="34"/>
        <v>300000</v>
      </c>
      <c r="E805" s="519"/>
      <c r="F805" s="594">
        <f>F874</f>
        <v>300000</v>
      </c>
      <c r="G805" s="519"/>
      <c r="H805" s="573"/>
      <c r="I805" s="549"/>
    </row>
    <row r="806" spans="1:9" s="514" customFormat="1" ht="14.25" customHeight="1">
      <c r="A806" s="576"/>
      <c r="B806" s="595" t="s">
        <v>384</v>
      </c>
      <c r="C806" s="578">
        <f t="shared" si="33"/>
        <v>1857000</v>
      </c>
      <c r="D806" s="579">
        <f t="shared" si="34"/>
        <v>1857000</v>
      </c>
      <c r="E806" s="580"/>
      <c r="F806" s="581"/>
      <c r="G806" s="580"/>
      <c r="H806" s="581">
        <f>H831+H851+H865+H840</f>
        <v>1857000</v>
      </c>
      <c r="I806" s="597"/>
    </row>
    <row r="807" spans="1:9" s="676" customFormat="1" ht="13.5" customHeight="1" hidden="1">
      <c r="A807" s="673"/>
      <c r="B807" s="524" t="s">
        <v>385</v>
      </c>
      <c r="C807" s="525">
        <f t="shared" si="33"/>
        <v>0</v>
      </c>
      <c r="D807" s="526">
        <f t="shared" si="34"/>
        <v>0</v>
      </c>
      <c r="E807" s="527"/>
      <c r="F807" s="573"/>
      <c r="G807" s="527"/>
      <c r="H807" s="573">
        <f>H834+H841</f>
        <v>0</v>
      </c>
      <c r="I807" s="549"/>
    </row>
    <row r="808" spans="1:9" s="906" customFormat="1" ht="12" customHeight="1" hidden="1">
      <c r="A808" s="699"/>
      <c r="B808" s="602" t="s">
        <v>401</v>
      </c>
      <c r="C808" s="901">
        <f t="shared" si="33"/>
        <v>0</v>
      </c>
      <c r="D808" s="902">
        <f t="shared" si="34"/>
        <v>0</v>
      </c>
      <c r="E808" s="607"/>
      <c r="F808" s="903"/>
      <c r="G808" s="904"/>
      <c r="H808" s="903">
        <f>H835+H842</f>
        <v>0</v>
      </c>
      <c r="I808" s="905"/>
    </row>
    <row r="809" spans="1:9" s="676" customFormat="1" ht="13.5" customHeight="1">
      <c r="A809" s="673"/>
      <c r="B809" s="524" t="s">
        <v>397</v>
      </c>
      <c r="C809" s="586">
        <f t="shared" si="33"/>
        <v>1857000</v>
      </c>
      <c r="D809" s="587">
        <f t="shared" si="34"/>
        <v>1857000</v>
      </c>
      <c r="E809" s="529"/>
      <c r="F809" s="588"/>
      <c r="G809" s="529"/>
      <c r="H809" s="588">
        <f>H832+H852+H866+H843</f>
        <v>1857000</v>
      </c>
      <c r="I809" s="530"/>
    </row>
    <row r="810" spans="1:9" s="906" customFormat="1" ht="12" customHeight="1" hidden="1">
      <c r="A810" s="907"/>
      <c r="B810" s="908" t="s">
        <v>401</v>
      </c>
      <c r="C810" s="586">
        <f t="shared" si="33"/>
        <v>0</v>
      </c>
      <c r="D810" s="587">
        <f t="shared" si="34"/>
        <v>0</v>
      </c>
      <c r="E810" s="909"/>
      <c r="F810" s="910"/>
      <c r="G810" s="911"/>
      <c r="H810" s="910"/>
      <c r="I810" s="912"/>
    </row>
    <row r="811" spans="1:9" ht="24" hidden="1">
      <c r="A811" s="620">
        <v>92109</v>
      </c>
      <c r="B811" s="689" t="s">
        <v>511</v>
      </c>
      <c r="C811" s="586">
        <f t="shared" si="33"/>
        <v>0</v>
      </c>
      <c r="D811" s="587">
        <f t="shared" si="34"/>
        <v>0</v>
      </c>
      <c r="E811" s="692"/>
      <c r="F811" s="693">
        <f>F812+F818</f>
        <v>0</v>
      </c>
      <c r="G811" s="692"/>
      <c r="H811" s="693">
        <f>H812+H818</f>
        <v>0</v>
      </c>
      <c r="I811" s="694"/>
    </row>
    <row r="812" spans="1:9" ht="12.75" hidden="1">
      <c r="A812" s="704"/>
      <c r="B812" s="705" t="s">
        <v>427</v>
      </c>
      <c r="C812" s="586">
        <f t="shared" si="33"/>
        <v>0</v>
      </c>
      <c r="D812" s="587">
        <f t="shared" si="34"/>
        <v>0</v>
      </c>
      <c r="E812" s="521"/>
      <c r="F812" s="520">
        <f>F813+F815+F817</f>
        <v>0</v>
      </c>
      <c r="G812" s="521"/>
      <c r="H812" s="520">
        <f>H813+H817</f>
        <v>0</v>
      </c>
      <c r="I812" s="522"/>
    </row>
    <row r="813" spans="1:9" s="531" customFormat="1" ht="12.75" hidden="1">
      <c r="A813" s="523"/>
      <c r="B813" s="524" t="s">
        <v>413</v>
      </c>
      <c r="C813" s="586">
        <f t="shared" si="33"/>
        <v>0</v>
      </c>
      <c r="D813" s="587">
        <f t="shared" si="34"/>
        <v>0</v>
      </c>
      <c r="E813" s="527"/>
      <c r="F813" s="545"/>
      <c r="G813" s="527"/>
      <c r="H813" s="545"/>
      <c r="I813" s="549"/>
    </row>
    <row r="814" spans="1:9" s="531" customFormat="1" ht="12.75" hidden="1">
      <c r="A814" s="523"/>
      <c r="B814" s="524" t="s">
        <v>414</v>
      </c>
      <c r="C814" s="586">
        <f t="shared" si="33"/>
        <v>0</v>
      </c>
      <c r="D814" s="587">
        <f t="shared" si="34"/>
        <v>0</v>
      </c>
      <c r="E814" s="527"/>
      <c r="F814" s="545"/>
      <c r="G814" s="527"/>
      <c r="H814" s="545"/>
      <c r="I814" s="549"/>
    </row>
    <row r="815" spans="1:9" s="531" customFormat="1" ht="12.75" hidden="1">
      <c r="A815" s="523"/>
      <c r="B815" s="544" t="s">
        <v>400</v>
      </c>
      <c r="C815" s="586">
        <f t="shared" si="33"/>
        <v>0</v>
      </c>
      <c r="D815" s="587">
        <f t="shared" si="34"/>
        <v>0</v>
      </c>
      <c r="E815" s="527"/>
      <c r="F815" s="545"/>
      <c r="G815" s="527"/>
      <c r="H815" s="545"/>
      <c r="I815" s="549"/>
    </row>
    <row r="816" spans="1:9" s="531" customFormat="1" ht="12.75" customHeight="1" hidden="1">
      <c r="A816" s="523"/>
      <c r="B816" s="544" t="s">
        <v>396</v>
      </c>
      <c r="C816" s="586">
        <f t="shared" si="33"/>
        <v>0</v>
      </c>
      <c r="D816" s="587">
        <f t="shared" si="34"/>
        <v>0</v>
      </c>
      <c r="E816" s="527"/>
      <c r="F816" s="545"/>
      <c r="G816" s="527"/>
      <c r="H816" s="545"/>
      <c r="I816" s="549"/>
    </row>
    <row r="817" spans="1:9" s="531" customFormat="1" ht="12.75" hidden="1">
      <c r="A817" s="523"/>
      <c r="B817" s="524" t="s">
        <v>389</v>
      </c>
      <c r="C817" s="586">
        <f t="shared" si="33"/>
        <v>0</v>
      </c>
      <c r="D817" s="587">
        <f t="shared" si="34"/>
        <v>0</v>
      </c>
      <c r="E817" s="527"/>
      <c r="F817" s="545"/>
      <c r="G817" s="527"/>
      <c r="H817" s="545"/>
      <c r="I817" s="549"/>
    </row>
    <row r="818" spans="1:9" ht="12.75" hidden="1">
      <c r="A818" s="515"/>
      <c r="B818" s="516" t="s">
        <v>384</v>
      </c>
      <c r="C818" s="586">
        <f t="shared" si="33"/>
        <v>0</v>
      </c>
      <c r="D818" s="587">
        <f t="shared" si="34"/>
        <v>0</v>
      </c>
      <c r="E818" s="521"/>
      <c r="F818" s="520">
        <f>SUM(F819)</f>
        <v>0</v>
      </c>
      <c r="G818" s="521"/>
      <c r="H818" s="520">
        <f>SUM(H819)</f>
        <v>0</v>
      </c>
      <c r="I818" s="522"/>
    </row>
    <row r="819" spans="1:9" s="531" customFormat="1" ht="12.75" hidden="1">
      <c r="A819" s="523"/>
      <c r="B819" s="524" t="s">
        <v>397</v>
      </c>
      <c r="C819" s="586">
        <f t="shared" si="33"/>
        <v>0</v>
      </c>
      <c r="D819" s="587">
        <f t="shared" si="34"/>
        <v>0</v>
      </c>
      <c r="E819" s="527"/>
      <c r="F819" s="545"/>
      <c r="G819" s="527"/>
      <c r="H819" s="545"/>
      <c r="I819" s="549"/>
    </row>
    <row r="820" spans="1:9" s="531" customFormat="1" ht="18" customHeight="1">
      <c r="A820" s="657"/>
      <c r="B820" s="663" t="s">
        <v>401</v>
      </c>
      <c r="C820" s="734">
        <f t="shared" si="33"/>
        <v>357000</v>
      </c>
      <c r="D820" s="735">
        <f t="shared" si="34"/>
        <v>357000</v>
      </c>
      <c r="E820" s="644"/>
      <c r="F820" s="645"/>
      <c r="G820" s="644"/>
      <c r="H820" s="645">
        <f>H867</f>
        <v>357000</v>
      </c>
      <c r="I820" s="653"/>
    </row>
    <row r="821" spans="1:9" ht="24">
      <c r="A821" s="620">
        <v>92105</v>
      </c>
      <c r="B821" s="689" t="s">
        <v>512</v>
      </c>
      <c r="C821" s="690">
        <f>C822</f>
        <v>413300</v>
      </c>
      <c r="D821" s="691">
        <f>D822</f>
        <v>413300</v>
      </c>
      <c r="E821" s="692"/>
      <c r="F821" s="693">
        <f>F822</f>
        <v>413300</v>
      </c>
      <c r="G821" s="692"/>
      <c r="H821" s="693"/>
      <c r="I821" s="694"/>
    </row>
    <row r="822" spans="1:9" ht="12.75">
      <c r="A822" s="704"/>
      <c r="B822" s="705" t="s">
        <v>427</v>
      </c>
      <c r="C822" s="677">
        <f>SUM(C823:C826)</f>
        <v>413300</v>
      </c>
      <c r="D822" s="678">
        <f>SUM(D823:D826)</f>
        <v>413300</v>
      </c>
      <c r="E822" s="521"/>
      <c r="F822" s="520">
        <f>SUM(F823:F826)</f>
        <v>413300</v>
      </c>
      <c r="G822" s="521"/>
      <c r="H822" s="520"/>
      <c r="I822" s="522"/>
    </row>
    <row r="823" spans="1:9" ht="12.75" hidden="1">
      <c r="A823" s="515"/>
      <c r="B823" s="524" t="s">
        <v>413</v>
      </c>
      <c r="C823" s="525">
        <f>SUM(D823:E823)</f>
        <v>0</v>
      </c>
      <c r="D823" s="526">
        <f>F823+H823</f>
        <v>0</v>
      </c>
      <c r="E823" s="521"/>
      <c r="F823" s="520"/>
      <c r="G823" s="521"/>
      <c r="H823" s="520"/>
      <c r="I823" s="522"/>
    </row>
    <row r="824" spans="1:9" ht="12.75" hidden="1">
      <c r="A824" s="515"/>
      <c r="B824" s="524" t="s">
        <v>414</v>
      </c>
      <c r="C824" s="525"/>
      <c r="D824" s="526"/>
      <c r="E824" s="521"/>
      <c r="F824" s="520"/>
      <c r="G824" s="521"/>
      <c r="H824" s="520"/>
      <c r="I824" s="522"/>
    </row>
    <row r="825" spans="1:9" s="531" customFormat="1" ht="12">
      <c r="A825" s="523"/>
      <c r="B825" s="544" t="s">
        <v>400</v>
      </c>
      <c r="C825" s="525">
        <f>SUM(D825:E825)</f>
        <v>223000</v>
      </c>
      <c r="D825" s="526">
        <f>F825+H825</f>
        <v>223000</v>
      </c>
      <c r="E825" s="527"/>
      <c r="F825" s="545">
        <v>223000</v>
      </c>
      <c r="G825" s="527"/>
      <c r="H825" s="545"/>
      <c r="I825" s="549"/>
    </row>
    <row r="826" spans="1:9" s="531" customFormat="1" ht="12">
      <c r="A826" s="523"/>
      <c r="B826" s="524" t="s">
        <v>389</v>
      </c>
      <c r="C826" s="525">
        <f>SUM(D826:E826)</f>
        <v>190300</v>
      </c>
      <c r="D826" s="526">
        <f>F826+H826</f>
        <v>190300</v>
      </c>
      <c r="E826" s="527"/>
      <c r="F826" s="545">
        <v>190300</v>
      </c>
      <c r="G826" s="527"/>
      <c r="H826" s="545"/>
      <c r="I826" s="549"/>
    </row>
    <row r="827" spans="1:9" ht="15.75" customHeight="1">
      <c r="A827" s="571">
        <v>92106</v>
      </c>
      <c r="B827" s="913" t="s">
        <v>513</v>
      </c>
      <c r="C827" s="546">
        <f>C828+C831</f>
        <v>3091000</v>
      </c>
      <c r="D827" s="447">
        <f>D828+D831</f>
        <v>3091000</v>
      </c>
      <c r="E827" s="547"/>
      <c r="F827" s="736"/>
      <c r="G827" s="737"/>
      <c r="H827" s="548">
        <f>H828+H831</f>
        <v>3091000</v>
      </c>
      <c r="I827" s="449"/>
    </row>
    <row r="828" spans="1:9" ht="12.75">
      <c r="A828" s="704"/>
      <c r="B828" s="769" t="s">
        <v>427</v>
      </c>
      <c r="C828" s="672">
        <f>C829</f>
        <v>2591000</v>
      </c>
      <c r="D828" s="706">
        <f>D829</f>
        <v>2591000</v>
      </c>
      <c r="E828" s="707"/>
      <c r="F828" s="708"/>
      <c r="G828" s="717"/>
      <c r="H828" s="770">
        <f>H829</f>
        <v>2591000</v>
      </c>
      <c r="I828" s="423"/>
    </row>
    <row r="829" spans="1:9" s="531" customFormat="1" ht="9.75" customHeight="1">
      <c r="A829" s="523"/>
      <c r="B829" s="524" t="s">
        <v>400</v>
      </c>
      <c r="C829" s="525">
        <f>SUM(D829:E829)</f>
        <v>2591000</v>
      </c>
      <c r="D829" s="526">
        <f>F829+H829</f>
        <v>2591000</v>
      </c>
      <c r="E829" s="527"/>
      <c r="F829" s="545"/>
      <c r="G829" s="527"/>
      <c r="H829" s="545">
        <v>2591000</v>
      </c>
      <c r="I829" s="549"/>
    </row>
    <row r="830" spans="1:9" s="531" customFormat="1" ht="12" hidden="1">
      <c r="A830" s="523"/>
      <c r="B830" s="544" t="s">
        <v>396</v>
      </c>
      <c r="C830" s="525"/>
      <c r="D830" s="526"/>
      <c r="E830" s="527"/>
      <c r="F830" s="545"/>
      <c r="G830" s="527"/>
      <c r="H830" s="545"/>
      <c r="I830" s="549"/>
    </row>
    <row r="831" spans="1:9" s="531" customFormat="1" ht="12.75">
      <c r="A831" s="515"/>
      <c r="B831" s="516" t="s">
        <v>384</v>
      </c>
      <c r="C831" s="677">
        <f>SUM(C832:C834)</f>
        <v>500000</v>
      </c>
      <c r="D831" s="678">
        <f>SUM(D832:D834)</f>
        <v>500000</v>
      </c>
      <c r="E831" s="521"/>
      <c r="F831" s="520"/>
      <c r="G831" s="521"/>
      <c r="H831" s="520">
        <f>SUM(H832:H834)</f>
        <v>500000</v>
      </c>
      <c r="I831" s="522"/>
    </row>
    <row r="832" spans="1:9" s="531" customFormat="1" ht="10.5" customHeight="1">
      <c r="A832" s="523"/>
      <c r="B832" s="524" t="s">
        <v>397</v>
      </c>
      <c r="C832" s="525">
        <f>SUM(D832:E832)</f>
        <v>500000</v>
      </c>
      <c r="D832" s="526">
        <f>F832+H832</f>
        <v>500000</v>
      </c>
      <c r="E832" s="527"/>
      <c r="F832" s="545"/>
      <c r="G832" s="527"/>
      <c r="H832" s="545">
        <f>1000000-500000</f>
        <v>500000</v>
      </c>
      <c r="I832" s="549"/>
    </row>
    <row r="833" spans="1:9" s="531" customFormat="1" ht="10.5" customHeight="1" hidden="1">
      <c r="A833" s="523"/>
      <c r="B833" s="602" t="s">
        <v>401</v>
      </c>
      <c r="C833" s="525">
        <f>SUM(D833:E833)</f>
        <v>0</v>
      </c>
      <c r="D833" s="526">
        <f>F833+H833</f>
        <v>0</v>
      </c>
      <c r="E833" s="527"/>
      <c r="F833" s="545"/>
      <c r="G833" s="527"/>
      <c r="H833" s="545">
        <v>0</v>
      </c>
      <c r="I833" s="653"/>
    </row>
    <row r="834" spans="1:9" s="531" customFormat="1" ht="11.25" customHeight="1" hidden="1">
      <c r="A834" s="523"/>
      <c r="B834" s="544" t="s">
        <v>385</v>
      </c>
      <c r="C834" s="525">
        <f>SUM(D834:E834)</f>
        <v>0</v>
      </c>
      <c r="D834" s="526">
        <f>F834+H834</f>
        <v>0</v>
      </c>
      <c r="E834" s="527"/>
      <c r="F834" s="545"/>
      <c r="G834" s="527"/>
      <c r="H834" s="545"/>
      <c r="I834" s="549"/>
    </row>
    <row r="835" spans="1:9" s="531" customFormat="1" ht="11.25" customHeight="1" hidden="1">
      <c r="A835" s="657"/>
      <c r="B835" s="602" t="s">
        <v>401</v>
      </c>
      <c r="C835" s="525">
        <f>SUM(D835:E835)</f>
        <v>0</v>
      </c>
      <c r="D835" s="526">
        <f>F835+H835</f>
        <v>0</v>
      </c>
      <c r="E835" s="644"/>
      <c r="F835" s="645"/>
      <c r="G835" s="644"/>
      <c r="H835" s="645"/>
      <c r="I835" s="653"/>
    </row>
    <row r="836" spans="1:9" ht="27" customHeight="1">
      <c r="A836" s="571">
        <v>92108</v>
      </c>
      <c r="B836" s="695" t="s">
        <v>514</v>
      </c>
      <c r="C836" s="546">
        <f>C837+C840</f>
        <v>4297000</v>
      </c>
      <c r="D836" s="447">
        <f>SUM(D837:D837)+D840</f>
        <v>4297000</v>
      </c>
      <c r="E836" s="547"/>
      <c r="F836" s="736"/>
      <c r="G836" s="547"/>
      <c r="H836" s="548">
        <f>SUM(H839+H840)</f>
        <v>4297000</v>
      </c>
      <c r="I836" s="449"/>
    </row>
    <row r="837" spans="1:9" ht="12.75">
      <c r="A837" s="515"/>
      <c r="B837" s="516" t="s">
        <v>427</v>
      </c>
      <c r="C837" s="517">
        <f>C839+C838</f>
        <v>3297000</v>
      </c>
      <c r="D837" s="518">
        <f>D839</f>
        <v>3297000</v>
      </c>
      <c r="E837" s="519"/>
      <c r="F837" s="520"/>
      <c r="G837" s="521"/>
      <c r="H837" s="541">
        <f>SUM(H839)</f>
        <v>3297000</v>
      </c>
      <c r="I837" s="542"/>
    </row>
    <row r="838" spans="1:9" ht="12.75" hidden="1">
      <c r="A838" s="515"/>
      <c r="B838" s="787" t="s">
        <v>389</v>
      </c>
      <c r="C838" s="642">
        <f>SUM(D838:E838)</f>
        <v>0</v>
      </c>
      <c r="D838" s="518"/>
      <c r="E838" s="519"/>
      <c r="F838" s="520"/>
      <c r="G838" s="529"/>
      <c r="H838" s="541"/>
      <c r="I838" s="542"/>
    </row>
    <row r="839" spans="1:9" s="531" customFormat="1" ht="14.25" customHeight="1">
      <c r="A839" s="523"/>
      <c r="B839" s="524" t="s">
        <v>400</v>
      </c>
      <c r="C839" s="525">
        <f>SUM(D839:E839)</f>
        <v>3297000</v>
      </c>
      <c r="D839" s="526">
        <f>F839+H839</f>
        <v>3297000</v>
      </c>
      <c r="E839" s="527"/>
      <c r="F839" s="545"/>
      <c r="G839" s="527"/>
      <c r="H839" s="545">
        <v>3297000</v>
      </c>
      <c r="I839" s="549"/>
    </row>
    <row r="840" spans="1:9" s="531" customFormat="1" ht="12.75">
      <c r="A840" s="515"/>
      <c r="B840" s="516" t="s">
        <v>384</v>
      </c>
      <c r="C840" s="677">
        <f>C841+C843</f>
        <v>1000000</v>
      </c>
      <c r="D840" s="678">
        <f>D841+D843</f>
        <v>1000000</v>
      </c>
      <c r="E840" s="521"/>
      <c r="F840" s="520"/>
      <c r="G840" s="521"/>
      <c r="H840" s="520">
        <f>H841+H843</f>
        <v>1000000</v>
      </c>
      <c r="I840" s="522"/>
    </row>
    <row r="841" spans="1:9" s="531" customFormat="1" ht="14.25" customHeight="1" hidden="1">
      <c r="A841" s="523"/>
      <c r="B841" s="524" t="s">
        <v>385</v>
      </c>
      <c r="C841" s="525">
        <f>SUM(D841:E841)</f>
        <v>0</v>
      </c>
      <c r="D841" s="526">
        <f>F841+H841</f>
        <v>0</v>
      </c>
      <c r="E841" s="527"/>
      <c r="F841" s="545"/>
      <c r="G841" s="527"/>
      <c r="H841" s="545"/>
      <c r="I841" s="549"/>
    </row>
    <row r="842" spans="1:9" s="906" customFormat="1" ht="12.75" customHeight="1" hidden="1">
      <c r="A842" s="699"/>
      <c r="B842" s="914" t="s">
        <v>401</v>
      </c>
      <c r="C842" s="901">
        <f>D842+E842</f>
        <v>0</v>
      </c>
      <c r="D842" s="902">
        <f>F842+H842</f>
        <v>0</v>
      </c>
      <c r="E842" s="607"/>
      <c r="F842" s="903"/>
      <c r="G842" s="904"/>
      <c r="H842" s="903"/>
      <c r="I842" s="905"/>
    </row>
    <row r="843" spans="1:9" s="539" customFormat="1" ht="13.5" customHeight="1">
      <c r="A843" s="523"/>
      <c r="B843" s="524" t="s">
        <v>397</v>
      </c>
      <c r="C843" s="525">
        <f>SUM(D843:E843)</f>
        <v>1000000</v>
      </c>
      <c r="D843" s="526">
        <f>F843+H843</f>
        <v>1000000</v>
      </c>
      <c r="E843" s="527"/>
      <c r="F843" s="545"/>
      <c r="G843" s="527"/>
      <c r="H843" s="545">
        <v>1000000</v>
      </c>
      <c r="I843" s="549"/>
    </row>
    <row r="844" spans="1:9" ht="24" customHeight="1">
      <c r="A844" s="571">
        <v>92109</v>
      </c>
      <c r="B844" s="695" t="s">
        <v>511</v>
      </c>
      <c r="C844" s="546">
        <f>C845+C851</f>
        <v>3409000</v>
      </c>
      <c r="D844" s="447">
        <f>D845+D851</f>
        <v>3409000</v>
      </c>
      <c r="E844" s="547"/>
      <c r="F844" s="548">
        <f>F845+F851</f>
        <v>3409000</v>
      </c>
      <c r="G844" s="547"/>
      <c r="H844" s="548"/>
      <c r="I844" s="449"/>
    </row>
    <row r="845" spans="1:9" ht="14.25" customHeight="1">
      <c r="A845" s="704"/>
      <c r="B845" s="705" t="s">
        <v>427</v>
      </c>
      <c r="C845" s="899">
        <f>C846+C848+C850</f>
        <v>3409000</v>
      </c>
      <c r="D845" s="678">
        <f>D846+D848+D850</f>
        <v>3409000</v>
      </c>
      <c r="E845" s="521"/>
      <c r="F845" s="520">
        <f>F846+F848+F850</f>
        <v>3409000</v>
      </c>
      <c r="G845" s="521"/>
      <c r="H845" s="520"/>
      <c r="I845" s="522"/>
    </row>
    <row r="846" spans="1:9" s="531" customFormat="1" ht="12" hidden="1">
      <c r="A846" s="523"/>
      <c r="B846" s="524" t="s">
        <v>413</v>
      </c>
      <c r="C846" s="525">
        <f>SUM(D846:E846)</f>
        <v>0</v>
      </c>
      <c r="D846" s="526">
        <f>F846+H846</f>
        <v>0</v>
      </c>
      <c r="E846" s="527"/>
      <c r="F846" s="545"/>
      <c r="G846" s="527"/>
      <c r="H846" s="545"/>
      <c r="I846" s="549"/>
    </row>
    <row r="847" spans="1:9" s="531" customFormat="1" ht="12" hidden="1">
      <c r="A847" s="523"/>
      <c r="B847" s="524" t="s">
        <v>414</v>
      </c>
      <c r="C847" s="525"/>
      <c r="D847" s="526"/>
      <c r="E847" s="527"/>
      <c r="F847" s="545"/>
      <c r="G847" s="527"/>
      <c r="H847" s="545"/>
      <c r="I847" s="549"/>
    </row>
    <row r="848" spans="1:9" s="531" customFormat="1" ht="15" customHeight="1">
      <c r="A848" s="523"/>
      <c r="B848" s="544" t="s">
        <v>400</v>
      </c>
      <c r="C848" s="525">
        <f>SUM(D848:E848)</f>
        <v>3409000</v>
      </c>
      <c r="D848" s="526">
        <f>F848+H848</f>
        <v>3409000</v>
      </c>
      <c r="E848" s="527"/>
      <c r="F848" s="545">
        <v>3409000</v>
      </c>
      <c r="G848" s="527"/>
      <c r="H848" s="545"/>
      <c r="I848" s="549"/>
    </row>
    <row r="849" spans="1:9" s="531" customFormat="1" ht="12.75" customHeight="1" hidden="1">
      <c r="A849" s="523"/>
      <c r="B849" s="544" t="s">
        <v>396</v>
      </c>
      <c r="C849" s="525"/>
      <c r="D849" s="526"/>
      <c r="E849" s="527"/>
      <c r="F849" s="545"/>
      <c r="G849" s="527"/>
      <c r="H849" s="545"/>
      <c r="I849" s="549"/>
    </row>
    <row r="850" spans="1:9" s="531" customFormat="1" ht="12" hidden="1">
      <c r="A850" s="523"/>
      <c r="B850" s="524" t="s">
        <v>389</v>
      </c>
      <c r="C850" s="525">
        <f>SUM(D850:E850)</f>
        <v>0</v>
      </c>
      <c r="D850" s="526">
        <f>F850+H850</f>
        <v>0</v>
      </c>
      <c r="E850" s="527"/>
      <c r="F850" s="545"/>
      <c r="G850" s="527"/>
      <c r="H850" s="545"/>
      <c r="I850" s="549"/>
    </row>
    <row r="851" spans="1:9" ht="12.75" customHeight="1" hidden="1">
      <c r="A851" s="515"/>
      <c r="B851" s="842" t="s">
        <v>384</v>
      </c>
      <c r="C851" s="677">
        <f>C852+C854</f>
        <v>0</v>
      </c>
      <c r="D851" s="678">
        <f>D852+D854</f>
        <v>0</v>
      </c>
      <c r="E851" s="521"/>
      <c r="F851" s="520">
        <f>F852+F854</f>
        <v>0</v>
      </c>
      <c r="G851" s="521"/>
      <c r="H851" s="520"/>
      <c r="I851" s="522"/>
    </row>
    <row r="852" spans="1:9" s="531" customFormat="1" ht="15" customHeight="1" hidden="1">
      <c r="A852" s="523"/>
      <c r="B852" s="524" t="s">
        <v>397</v>
      </c>
      <c r="C852" s="525">
        <f>SUM(D852:E852)</f>
        <v>0</v>
      </c>
      <c r="D852" s="526">
        <f>F852+H852</f>
        <v>0</v>
      </c>
      <c r="E852" s="527"/>
      <c r="F852" s="545"/>
      <c r="G852" s="527"/>
      <c r="H852" s="545"/>
      <c r="I852" s="549"/>
    </row>
    <row r="853" spans="1:9" s="723" customFormat="1" ht="13.5" customHeight="1" hidden="1">
      <c r="A853" s="720"/>
      <c r="B853" s="602" t="s">
        <v>401</v>
      </c>
      <c r="C853" s="901">
        <f>SUM(D853:E853)</f>
        <v>0</v>
      </c>
      <c r="D853" s="902">
        <f>F853+H853</f>
        <v>0</v>
      </c>
      <c r="E853" s="607"/>
      <c r="F853" s="608"/>
      <c r="G853" s="605"/>
      <c r="H853" s="606"/>
      <c r="I853" s="722"/>
    </row>
    <row r="854" spans="1:9" s="531" customFormat="1" ht="12" hidden="1">
      <c r="A854" s="523"/>
      <c r="B854" s="524" t="s">
        <v>385</v>
      </c>
      <c r="C854" s="525">
        <f>F854+G854</f>
        <v>0</v>
      </c>
      <c r="D854" s="526">
        <f>F854+H854</f>
        <v>0</v>
      </c>
      <c r="E854" s="527"/>
      <c r="F854" s="545">
        <v>0</v>
      </c>
      <c r="G854" s="527"/>
      <c r="H854" s="545"/>
      <c r="I854" s="549"/>
    </row>
    <row r="855" spans="1:9" ht="15" customHeight="1">
      <c r="A855" s="571">
        <v>92116</v>
      </c>
      <c r="B855" s="695" t="s">
        <v>515</v>
      </c>
      <c r="C855" s="546">
        <f>C856+C859</f>
        <v>4011100</v>
      </c>
      <c r="D855" s="447">
        <f>D856+D859</f>
        <v>4011100</v>
      </c>
      <c r="E855" s="547"/>
      <c r="F855" s="548">
        <f>F856+F859</f>
        <v>1348000</v>
      </c>
      <c r="G855" s="547"/>
      <c r="H855" s="548">
        <f>H856+H859</f>
        <v>2663100</v>
      </c>
      <c r="I855" s="449"/>
    </row>
    <row r="856" spans="1:9" ht="15" customHeight="1">
      <c r="A856" s="515"/>
      <c r="B856" s="516" t="s">
        <v>427</v>
      </c>
      <c r="C856" s="672">
        <f>C857</f>
        <v>4011100</v>
      </c>
      <c r="D856" s="518">
        <f>D857</f>
        <v>4011100</v>
      </c>
      <c r="E856" s="519"/>
      <c r="F856" s="541">
        <f>SUM(F857)</f>
        <v>1348000</v>
      </c>
      <c r="G856" s="519"/>
      <c r="H856" s="541">
        <f>SUM(H857)</f>
        <v>2663100</v>
      </c>
      <c r="I856" s="542"/>
    </row>
    <row r="857" spans="1:9" s="531" customFormat="1" ht="15.75" customHeight="1">
      <c r="A857" s="523"/>
      <c r="B857" s="524" t="s">
        <v>400</v>
      </c>
      <c r="C857" s="525">
        <f>SUM(D857:E857)</f>
        <v>4011100</v>
      </c>
      <c r="D857" s="526">
        <f>F857+H857</f>
        <v>4011100</v>
      </c>
      <c r="E857" s="527"/>
      <c r="F857" s="545">
        <v>1348000</v>
      </c>
      <c r="G857" s="527"/>
      <c r="H857" s="545">
        <v>2663100</v>
      </c>
      <c r="I857" s="549"/>
    </row>
    <row r="858" spans="1:9" s="531" customFormat="1" ht="4.5" customHeight="1" hidden="1">
      <c r="A858" s="523"/>
      <c r="B858" s="544" t="s">
        <v>396</v>
      </c>
      <c r="C858" s="525">
        <f>SUM(D858:E858)</f>
        <v>0</v>
      </c>
      <c r="D858" s="526">
        <f>F858+H858</f>
        <v>0</v>
      </c>
      <c r="E858" s="527"/>
      <c r="F858" s="545">
        <v>0</v>
      </c>
      <c r="G858" s="527"/>
      <c r="H858" s="545"/>
      <c r="I858" s="549"/>
    </row>
    <row r="859" spans="1:9" ht="12.75" hidden="1">
      <c r="A859" s="515"/>
      <c r="B859" s="516" t="s">
        <v>384</v>
      </c>
      <c r="C859" s="677">
        <f>SUM(C860)</f>
        <v>0</v>
      </c>
      <c r="D859" s="678">
        <f>SUM(D860)</f>
        <v>0</v>
      </c>
      <c r="E859" s="521"/>
      <c r="F859" s="520"/>
      <c r="G859" s="521"/>
      <c r="H859" s="520">
        <f>SUM(H860)</f>
        <v>0</v>
      </c>
      <c r="I859" s="522"/>
    </row>
    <row r="860" spans="1:9" s="531" customFormat="1" ht="12" hidden="1">
      <c r="A860" s="523"/>
      <c r="B860" s="524" t="s">
        <v>397</v>
      </c>
      <c r="C860" s="525">
        <f>SUM(D860:E860)</f>
        <v>0</v>
      </c>
      <c r="D860" s="526">
        <f>F860+H860</f>
        <v>0</v>
      </c>
      <c r="E860" s="527"/>
      <c r="F860" s="545"/>
      <c r="G860" s="527"/>
      <c r="H860" s="545">
        <v>0</v>
      </c>
      <c r="I860" s="549"/>
    </row>
    <row r="861" spans="1:9" s="539" customFormat="1" ht="15.75" customHeight="1">
      <c r="A861" s="571">
        <v>92118</v>
      </c>
      <c r="B861" s="695" t="s">
        <v>516</v>
      </c>
      <c r="C861" s="546">
        <f>C862+C865</f>
        <v>2269300</v>
      </c>
      <c r="D861" s="447">
        <f>D862+D865</f>
        <v>2269300</v>
      </c>
      <c r="E861" s="547"/>
      <c r="F861" s="736"/>
      <c r="G861" s="737"/>
      <c r="H861" s="777">
        <f>H862+H865</f>
        <v>2269300</v>
      </c>
      <c r="I861" s="449"/>
    </row>
    <row r="862" spans="1:9" s="539" customFormat="1" ht="12.75">
      <c r="A862" s="591"/>
      <c r="B862" s="516" t="s">
        <v>427</v>
      </c>
      <c r="C862" s="517">
        <f>C863</f>
        <v>1912300</v>
      </c>
      <c r="D862" s="518">
        <f>D863</f>
        <v>1912300</v>
      </c>
      <c r="E862" s="519"/>
      <c r="F862" s="520"/>
      <c r="G862" s="521"/>
      <c r="H862" s="594">
        <f>H863</f>
        <v>1912300</v>
      </c>
      <c r="I862" s="542"/>
    </row>
    <row r="863" spans="1:9" s="539" customFormat="1" ht="13.5" customHeight="1">
      <c r="A863" s="515"/>
      <c r="B863" s="524" t="s">
        <v>517</v>
      </c>
      <c r="C863" s="525">
        <f>SUM(D863:E863)</f>
        <v>1912300</v>
      </c>
      <c r="D863" s="526">
        <f>F863+H863</f>
        <v>1912300</v>
      </c>
      <c r="E863" s="527"/>
      <c r="F863" s="545"/>
      <c r="G863" s="527"/>
      <c r="H863" s="545">
        <v>1912300</v>
      </c>
      <c r="I863" s="549"/>
    </row>
    <row r="864" spans="1:9" s="539" customFormat="1" ht="12" hidden="1">
      <c r="A864" s="515"/>
      <c r="B864" s="524" t="s">
        <v>416</v>
      </c>
      <c r="C864" s="525">
        <f>SUM(D864:E864)</f>
        <v>0</v>
      </c>
      <c r="D864" s="526">
        <f>F864+H864</f>
        <v>0</v>
      </c>
      <c r="E864" s="527"/>
      <c r="F864" s="545"/>
      <c r="G864" s="527"/>
      <c r="H864" s="545"/>
      <c r="I864" s="549"/>
    </row>
    <row r="865" spans="1:9" s="539" customFormat="1" ht="12.75">
      <c r="A865" s="515"/>
      <c r="B865" s="516" t="s">
        <v>384</v>
      </c>
      <c r="C865" s="677">
        <f>SUM(C866)</f>
        <v>357000</v>
      </c>
      <c r="D865" s="678">
        <f>SUM(D866)</f>
        <v>357000</v>
      </c>
      <c r="E865" s="521"/>
      <c r="F865" s="520"/>
      <c r="G865" s="521"/>
      <c r="H865" s="520">
        <f>SUM(H866)</f>
        <v>357000</v>
      </c>
      <c r="I865" s="522"/>
    </row>
    <row r="866" spans="1:9" s="539" customFormat="1" ht="13.5" customHeight="1">
      <c r="A866" s="523"/>
      <c r="B866" s="524" t="s">
        <v>397</v>
      </c>
      <c r="C866" s="525">
        <f>SUM(D866:E866)</f>
        <v>357000</v>
      </c>
      <c r="D866" s="526">
        <f>F866+H866</f>
        <v>357000</v>
      </c>
      <c r="E866" s="527"/>
      <c r="F866" s="545"/>
      <c r="G866" s="527"/>
      <c r="H866" s="545">
        <v>357000</v>
      </c>
      <c r="I866" s="549"/>
    </row>
    <row r="867" spans="1:9" s="906" customFormat="1" ht="16.5" customHeight="1">
      <c r="A867" s="720"/>
      <c r="B867" s="602" t="s">
        <v>401</v>
      </c>
      <c r="C867" s="901">
        <f>SUM(D867:E867)</f>
        <v>357000</v>
      </c>
      <c r="D867" s="902">
        <f>F867+H867</f>
        <v>357000</v>
      </c>
      <c r="E867" s="607"/>
      <c r="F867" s="606"/>
      <c r="G867" s="605"/>
      <c r="H867" s="608">
        <v>357000</v>
      </c>
      <c r="I867" s="722"/>
    </row>
    <row r="868" spans="1:9" ht="24.75" customHeight="1">
      <c r="A868" s="571">
        <v>92120</v>
      </c>
      <c r="B868" s="695" t="s">
        <v>518</v>
      </c>
      <c r="C868" s="546">
        <f>C869+C875</f>
        <v>1189900</v>
      </c>
      <c r="D868" s="447">
        <f>D869+D875</f>
        <v>1189900</v>
      </c>
      <c r="E868" s="547"/>
      <c r="F868" s="548">
        <f>F869+F875</f>
        <v>1189900</v>
      </c>
      <c r="G868" s="547"/>
      <c r="H868" s="548"/>
      <c r="I868" s="449"/>
    </row>
    <row r="869" spans="1:9" ht="16.5" customHeight="1">
      <c r="A869" s="591"/>
      <c r="B869" s="516" t="s">
        <v>427</v>
      </c>
      <c r="C869" s="517">
        <f>SUM(C870:C873)</f>
        <v>1189900</v>
      </c>
      <c r="D869" s="518">
        <f>SUM(D870:D873)</f>
        <v>1189900</v>
      </c>
      <c r="E869" s="519"/>
      <c r="F869" s="541">
        <f>SUM(F870:F873)</f>
        <v>1189900</v>
      </c>
      <c r="G869" s="519"/>
      <c r="H869" s="541"/>
      <c r="I869" s="542"/>
    </row>
    <row r="870" spans="1:9" s="676" customFormat="1" ht="13.5" customHeight="1">
      <c r="A870" s="523"/>
      <c r="B870" s="524" t="s">
        <v>413</v>
      </c>
      <c r="C870" s="525">
        <f>SUM(D870:E870)</f>
        <v>5000</v>
      </c>
      <c r="D870" s="526">
        <f>F870+H870</f>
        <v>5000</v>
      </c>
      <c r="E870" s="527"/>
      <c r="F870" s="545">
        <v>5000</v>
      </c>
      <c r="G870" s="527"/>
      <c r="H870" s="545"/>
      <c r="I870" s="549"/>
    </row>
    <row r="871" spans="1:9" s="676" customFormat="1" ht="12">
      <c r="A871" s="523"/>
      <c r="B871" s="524" t="s">
        <v>414</v>
      </c>
      <c r="C871" s="525"/>
      <c r="D871" s="526"/>
      <c r="E871" s="527"/>
      <c r="F871" s="545"/>
      <c r="G871" s="527"/>
      <c r="H871" s="545"/>
      <c r="I871" s="549"/>
    </row>
    <row r="872" spans="1:9" s="676" customFormat="1" ht="12">
      <c r="A872" s="523"/>
      <c r="B872" s="524" t="s">
        <v>517</v>
      </c>
      <c r="C872" s="525">
        <f>SUM(D872:E872)</f>
        <v>879900</v>
      </c>
      <c r="D872" s="526">
        <f>F872+H872</f>
        <v>879900</v>
      </c>
      <c r="E872" s="527"/>
      <c r="F872" s="545">
        <v>879900</v>
      </c>
      <c r="G872" s="527"/>
      <c r="H872" s="545"/>
      <c r="I872" s="549"/>
    </row>
    <row r="873" spans="1:9" s="539" customFormat="1" ht="12.75" customHeight="1">
      <c r="A873" s="515"/>
      <c r="B873" s="787" t="s">
        <v>389</v>
      </c>
      <c r="C873" s="525">
        <f>SUM(D873:E873)</f>
        <v>305000</v>
      </c>
      <c r="D873" s="526">
        <f>F873+H873</f>
        <v>305000</v>
      </c>
      <c r="E873" s="527"/>
      <c r="F873" s="545">
        <v>305000</v>
      </c>
      <c r="G873" s="527"/>
      <c r="H873" s="545"/>
      <c r="I873" s="549"/>
    </row>
    <row r="874" spans="1:9" s="539" customFormat="1" ht="14.25" customHeight="1">
      <c r="A874" s="515"/>
      <c r="B874" s="787" t="s">
        <v>416</v>
      </c>
      <c r="C874" s="525">
        <f>SUM(D874:E874)</f>
        <v>300000</v>
      </c>
      <c r="D874" s="526">
        <f>F874+H874</f>
        <v>300000</v>
      </c>
      <c r="E874" s="527"/>
      <c r="F874" s="545">
        <v>300000</v>
      </c>
      <c r="G874" s="527"/>
      <c r="H874" s="545"/>
      <c r="I874" s="549"/>
    </row>
    <row r="875" spans="1:9" s="539" customFormat="1" ht="10.5" customHeight="1" hidden="1">
      <c r="A875" s="515"/>
      <c r="B875" s="516" t="s">
        <v>384</v>
      </c>
      <c r="C875" s="677">
        <f>SUM(C876)</f>
        <v>0</v>
      </c>
      <c r="D875" s="678">
        <f>SUM(D876)</f>
        <v>0</v>
      </c>
      <c r="E875" s="521"/>
      <c r="F875" s="520">
        <f>F876</f>
        <v>0</v>
      </c>
      <c r="G875" s="521"/>
      <c r="H875" s="520"/>
      <c r="I875" s="522"/>
    </row>
    <row r="876" spans="1:9" s="539" customFormat="1" ht="9.75" customHeight="1" hidden="1">
      <c r="A876" s="657"/>
      <c r="B876" s="574" t="s">
        <v>385</v>
      </c>
      <c r="C876" s="642">
        <f>SUM(D876:E876)</f>
        <v>0</v>
      </c>
      <c r="D876" s="643">
        <f>F876+H876</f>
        <v>0</v>
      </c>
      <c r="E876" s="644"/>
      <c r="F876" s="645"/>
      <c r="G876" s="644"/>
      <c r="H876" s="645"/>
      <c r="I876" s="653"/>
    </row>
    <row r="877" spans="1:9" ht="18" customHeight="1">
      <c r="A877" s="571">
        <v>92195</v>
      </c>
      <c r="B877" s="695" t="s">
        <v>395</v>
      </c>
      <c r="C877" s="546">
        <f>C878</f>
        <v>545500</v>
      </c>
      <c r="D877" s="447">
        <f>D878</f>
        <v>545500</v>
      </c>
      <c r="E877" s="547"/>
      <c r="F877" s="548">
        <f>F878</f>
        <v>545500</v>
      </c>
      <c r="G877" s="547"/>
      <c r="H877" s="548"/>
      <c r="I877" s="449"/>
    </row>
    <row r="878" spans="1:9" ht="15.75" customHeight="1">
      <c r="A878" s="591"/>
      <c r="B878" s="516" t="s">
        <v>427</v>
      </c>
      <c r="C878" s="517">
        <f>SUM(C879:C880)</f>
        <v>545500</v>
      </c>
      <c r="D878" s="518">
        <f>SUM(D879:D880)</f>
        <v>545500</v>
      </c>
      <c r="E878" s="519"/>
      <c r="F878" s="541">
        <f>SUM(F879:F880)</f>
        <v>545500</v>
      </c>
      <c r="G878" s="519"/>
      <c r="H878" s="541"/>
      <c r="I878" s="542"/>
    </row>
    <row r="879" spans="1:9" s="531" customFormat="1" ht="12.75" customHeight="1">
      <c r="A879" s="523"/>
      <c r="B879" s="524" t="s">
        <v>517</v>
      </c>
      <c r="C879" s="525">
        <f>SUM(D879:E879)</f>
        <v>500000</v>
      </c>
      <c r="D879" s="526">
        <f>F879+H879</f>
        <v>500000</v>
      </c>
      <c r="E879" s="527"/>
      <c r="F879" s="545">
        <v>500000</v>
      </c>
      <c r="G879" s="527"/>
      <c r="H879" s="545"/>
      <c r="I879" s="549"/>
    </row>
    <row r="880" spans="1:9" s="539" customFormat="1" ht="15.75" customHeight="1" thickBot="1">
      <c r="A880" s="641"/>
      <c r="B880" s="854" t="s">
        <v>389</v>
      </c>
      <c r="C880" s="642">
        <f>SUM(D880:E880)</f>
        <v>45500</v>
      </c>
      <c r="D880" s="643">
        <f>F880+H880</f>
        <v>45500</v>
      </c>
      <c r="E880" s="644"/>
      <c r="F880" s="645">
        <v>45500</v>
      </c>
      <c r="G880" s="659"/>
      <c r="H880" s="660"/>
      <c r="I880" s="661"/>
    </row>
    <row r="881" spans="1:9" s="539" customFormat="1" ht="90" hidden="1" thickBot="1">
      <c r="A881" s="756">
        <v>925</v>
      </c>
      <c r="B881" s="915" t="s">
        <v>519</v>
      </c>
      <c r="C881" s="758">
        <f>C882</f>
        <v>0</v>
      </c>
      <c r="D881" s="759"/>
      <c r="E881" s="760">
        <f>E882</f>
        <v>0</v>
      </c>
      <c r="F881" s="762"/>
      <c r="G881" s="760"/>
      <c r="H881" s="762"/>
      <c r="I881" s="763"/>
    </row>
    <row r="882" spans="1:9" ht="15.75" customHeight="1" hidden="1">
      <c r="A882" s="620">
        <v>92595</v>
      </c>
      <c r="B882" s="689" t="s">
        <v>395</v>
      </c>
      <c r="C882" s="690">
        <f>C883</f>
        <v>0</v>
      </c>
      <c r="D882" s="691"/>
      <c r="E882" s="692">
        <f>E883</f>
        <v>0</v>
      </c>
      <c r="F882" s="693"/>
      <c r="G882" s="692"/>
      <c r="H882" s="693"/>
      <c r="I882" s="694"/>
    </row>
    <row r="883" spans="1:9" ht="15" customHeight="1" hidden="1">
      <c r="A883" s="591"/>
      <c r="B883" s="516" t="s">
        <v>427</v>
      </c>
      <c r="C883" s="517">
        <f>C884</f>
        <v>0</v>
      </c>
      <c r="D883" s="518"/>
      <c r="E883" s="519">
        <f>E884</f>
        <v>0</v>
      </c>
      <c r="F883" s="541"/>
      <c r="G883" s="519"/>
      <c r="H883" s="541"/>
      <c r="I883" s="542"/>
    </row>
    <row r="884" spans="1:9" s="539" customFormat="1" ht="20.25" customHeight="1" hidden="1">
      <c r="A884" s="515"/>
      <c r="B884" s="524" t="s">
        <v>389</v>
      </c>
      <c r="C884" s="525">
        <f>SUM(D884:E884)</f>
        <v>0</v>
      </c>
      <c r="D884" s="526"/>
      <c r="E884" s="527">
        <f>G884+I884</f>
        <v>0</v>
      </c>
      <c r="F884" s="528"/>
      <c r="G884" s="529"/>
      <c r="H884" s="528"/>
      <c r="I884" s="530"/>
    </row>
    <row r="885" spans="1:9" s="514" customFormat="1" ht="31.5" customHeight="1" thickBot="1" thickTop="1">
      <c r="A885" s="570">
        <v>926</v>
      </c>
      <c r="B885" s="896" t="s">
        <v>290</v>
      </c>
      <c r="C885" s="510">
        <f>C894+C905+C908</f>
        <v>12540150</v>
      </c>
      <c r="D885" s="511">
        <f>D894+D905+D908</f>
        <v>12540150</v>
      </c>
      <c r="E885" s="512"/>
      <c r="F885" s="513">
        <f>F894+F905+F908</f>
        <v>12540150</v>
      </c>
      <c r="G885" s="512"/>
      <c r="H885" s="513"/>
      <c r="I885" s="457"/>
    </row>
    <row r="886" spans="1:9" s="514" customFormat="1" ht="15" customHeight="1" thickTop="1">
      <c r="A886" s="576"/>
      <c r="B886" s="832" t="s">
        <v>427</v>
      </c>
      <c r="C886" s="578">
        <f>D886+E886</f>
        <v>4259650</v>
      </c>
      <c r="D886" s="579">
        <f>F886+H886</f>
        <v>4259650</v>
      </c>
      <c r="E886" s="580"/>
      <c r="F886" s="596">
        <f>F906+F909</f>
        <v>4259650</v>
      </c>
      <c r="G886" s="580"/>
      <c r="H886" s="596"/>
      <c r="I886" s="597"/>
    </row>
    <row r="887" spans="1:9" s="531" customFormat="1" ht="12" customHeight="1">
      <c r="A887" s="878"/>
      <c r="B887" s="524" t="s">
        <v>413</v>
      </c>
      <c r="C887" s="586">
        <f>D887+E887</f>
        <v>12500</v>
      </c>
      <c r="D887" s="587">
        <f>F887+H887</f>
        <v>12500</v>
      </c>
      <c r="E887" s="529"/>
      <c r="F887" s="588">
        <f>F910</f>
        <v>12500</v>
      </c>
      <c r="G887" s="527"/>
      <c r="H887" s="545"/>
      <c r="I887" s="549"/>
    </row>
    <row r="888" spans="1:9" s="531" customFormat="1" ht="10.5" customHeight="1">
      <c r="A888" s="878"/>
      <c r="B888" s="524" t="s">
        <v>414</v>
      </c>
      <c r="C888" s="586"/>
      <c r="D888" s="587"/>
      <c r="E888" s="529"/>
      <c r="F888" s="588"/>
      <c r="G888" s="527"/>
      <c r="H888" s="545"/>
      <c r="I888" s="549"/>
    </row>
    <row r="889" spans="1:9" s="600" customFormat="1" ht="11.25" customHeight="1">
      <c r="A889" s="598"/>
      <c r="B889" s="787" t="s">
        <v>400</v>
      </c>
      <c r="C889" s="586">
        <f>D889</f>
        <v>4065000</v>
      </c>
      <c r="D889" s="587">
        <f>F889+H889</f>
        <v>4065000</v>
      </c>
      <c r="E889" s="529"/>
      <c r="F889" s="528">
        <f>F907+F912</f>
        <v>4065000</v>
      </c>
      <c r="G889" s="679"/>
      <c r="H889" s="680"/>
      <c r="I889" s="681"/>
    </row>
    <row r="890" spans="1:9" s="600" customFormat="1" ht="12" customHeight="1">
      <c r="A890" s="598"/>
      <c r="B890" s="787" t="s">
        <v>389</v>
      </c>
      <c r="C890" s="586">
        <f>D890</f>
        <v>318150</v>
      </c>
      <c r="D890" s="587">
        <f>F890+H890</f>
        <v>318150</v>
      </c>
      <c r="E890" s="529"/>
      <c r="F890" s="528">
        <f>F913+F897</f>
        <v>318150</v>
      </c>
      <c r="G890" s="679"/>
      <c r="H890" s="680"/>
      <c r="I890" s="681"/>
    </row>
    <row r="891" spans="1:9" s="514" customFormat="1" ht="19.5" customHeight="1">
      <c r="A891" s="576"/>
      <c r="B891" s="832" t="s">
        <v>384</v>
      </c>
      <c r="C891" s="578">
        <f>D891</f>
        <v>8144500</v>
      </c>
      <c r="D891" s="579">
        <f>F891+H891</f>
        <v>8144500</v>
      </c>
      <c r="E891" s="580"/>
      <c r="F891" s="596">
        <f>F899</f>
        <v>8144500</v>
      </c>
      <c r="G891" s="580"/>
      <c r="H891" s="596"/>
      <c r="I891" s="597"/>
    </row>
    <row r="892" spans="1:9" s="676" customFormat="1" ht="15.75" customHeight="1">
      <c r="A892" s="673"/>
      <c r="B892" s="787" t="s">
        <v>397</v>
      </c>
      <c r="C892" s="586">
        <f>D892</f>
        <v>5144500</v>
      </c>
      <c r="D892" s="587">
        <f>F892+H892</f>
        <v>5144500</v>
      </c>
      <c r="E892" s="529"/>
      <c r="F892" s="528">
        <f>F900</f>
        <v>5144500</v>
      </c>
      <c r="G892" s="599"/>
      <c r="H892" s="674"/>
      <c r="I892" s="675"/>
    </row>
    <row r="893" spans="1:9" s="589" customFormat="1" ht="14.25" customHeight="1">
      <c r="A893" s="916"/>
      <c r="B893" s="574" t="s">
        <v>402</v>
      </c>
      <c r="C893" s="734">
        <f>D893+E893</f>
        <v>3000000</v>
      </c>
      <c r="D893" s="735">
        <f>F893+H893</f>
        <v>3000000</v>
      </c>
      <c r="E893" s="659"/>
      <c r="F893" s="660">
        <f>F901</f>
        <v>3000000</v>
      </c>
      <c r="G893" s="643"/>
      <c r="H893" s="645"/>
      <c r="I893" s="653"/>
    </row>
    <row r="894" spans="1:9" ht="14.25" customHeight="1">
      <c r="A894" s="620">
        <v>92601</v>
      </c>
      <c r="B894" s="917" t="s">
        <v>520</v>
      </c>
      <c r="C894" s="690">
        <f>C895+C899</f>
        <v>8280500</v>
      </c>
      <c r="D894" s="691">
        <f>D895+D899</f>
        <v>8280500</v>
      </c>
      <c r="E894" s="692"/>
      <c r="F894" s="693">
        <f>F895+F899</f>
        <v>8280500</v>
      </c>
      <c r="G894" s="692"/>
      <c r="H894" s="795"/>
      <c r="I894" s="796"/>
    </row>
    <row r="895" spans="1:9" ht="12" customHeight="1">
      <c r="A895" s="918"/>
      <c r="B895" s="919" t="s">
        <v>427</v>
      </c>
      <c r="C895" s="672">
        <f>SUM(C896:C897)</f>
        <v>136000</v>
      </c>
      <c r="D895" s="706">
        <f>SUM(D896:D897)</f>
        <v>136000</v>
      </c>
      <c r="E895" s="707"/>
      <c r="F895" s="770">
        <f>SUM(F896:F897)</f>
        <v>136000</v>
      </c>
      <c r="G895" s="707"/>
      <c r="H895" s="770"/>
      <c r="I895" s="423"/>
    </row>
    <row r="896" spans="1:9" s="539" customFormat="1" ht="12.75" customHeight="1" hidden="1">
      <c r="A896" s="515"/>
      <c r="B896" s="787" t="s">
        <v>517</v>
      </c>
      <c r="C896" s="525">
        <f>SUM(D896:E896)</f>
        <v>0</v>
      </c>
      <c r="D896" s="526">
        <f>F896+H896</f>
        <v>0</v>
      </c>
      <c r="E896" s="527"/>
      <c r="F896" s="545">
        <v>0</v>
      </c>
      <c r="G896" s="527"/>
      <c r="H896" s="545"/>
      <c r="I896" s="549"/>
    </row>
    <row r="897" spans="1:9" s="539" customFormat="1" ht="12" customHeight="1">
      <c r="A897" s="515"/>
      <c r="B897" s="787" t="s">
        <v>389</v>
      </c>
      <c r="C897" s="525">
        <f>SUM(D897:E897)</f>
        <v>136000</v>
      </c>
      <c r="D897" s="526">
        <f>F897+H897</f>
        <v>136000</v>
      </c>
      <c r="E897" s="527"/>
      <c r="F897" s="545">
        <v>136000</v>
      </c>
      <c r="G897" s="527"/>
      <c r="H897" s="545"/>
      <c r="I897" s="549"/>
    </row>
    <row r="898" spans="1:9" s="539" customFormat="1" ht="12.75" customHeight="1" hidden="1">
      <c r="A898" s="515"/>
      <c r="B898" s="787" t="s">
        <v>396</v>
      </c>
      <c r="C898" s="525">
        <f>SUM(D898:E898)</f>
        <v>0</v>
      </c>
      <c r="D898" s="526">
        <f>F898+H898</f>
        <v>0</v>
      </c>
      <c r="E898" s="527"/>
      <c r="F898" s="545">
        <v>0</v>
      </c>
      <c r="G898" s="527"/>
      <c r="H898" s="545"/>
      <c r="I898" s="549"/>
    </row>
    <row r="899" spans="1:9" ht="12" customHeight="1">
      <c r="A899" s="515"/>
      <c r="B899" s="842" t="s">
        <v>384</v>
      </c>
      <c r="C899" s="677">
        <f>SUM(C900:C901)</f>
        <v>8144500</v>
      </c>
      <c r="D899" s="678">
        <f>SUM(D900:D901)</f>
        <v>8144500</v>
      </c>
      <c r="E899" s="521"/>
      <c r="F899" s="520">
        <f>SUM(F900:F901)</f>
        <v>8144500</v>
      </c>
      <c r="G899" s="521"/>
      <c r="H899" s="520"/>
      <c r="I899" s="522"/>
    </row>
    <row r="900" spans="1:9" s="531" customFormat="1" ht="11.25" customHeight="1">
      <c r="A900" s="523"/>
      <c r="B900" s="787" t="s">
        <v>397</v>
      </c>
      <c r="C900" s="525">
        <f>SUM(D900:E900)</f>
        <v>5144500</v>
      </c>
      <c r="D900" s="526">
        <f>F900+H900</f>
        <v>5144500</v>
      </c>
      <c r="E900" s="527"/>
      <c r="F900" s="545">
        <v>5144500</v>
      </c>
      <c r="G900" s="527"/>
      <c r="H900" s="545"/>
      <c r="I900" s="549"/>
    </row>
    <row r="901" spans="1:9" s="531" customFormat="1" ht="13.5" customHeight="1">
      <c r="A901" s="657"/>
      <c r="B901" s="574" t="s">
        <v>402</v>
      </c>
      <c r="C901" s="642">
        <f>D901+E901</f>
        <v>3000000</v>
      </c>
      <c r="D901" s="643">
        <f>F901+H901</f>
        <v>3000000</v>
      </c>
      <c r="E901" s="644"/>
      <c r="F901" s="645">
        <v>3000000</v>
      </c>
      <c r="G901" s="644"/>
      <c r="H901" s="645"/>
      <c r="I901" s="653"/>
    </row>
    <row r="902" spans="1:9" s="539" customFormat="1" ht="24" hidden="1">
      <c r="A902" s="620">
        <v>92604</v>
      </c>
      <c r="B902" s="917" t="s">
        <v>521</v>
      </c>
      <c r="C902" s="690">
        <f>SUM(C903)</f>
        <v>0</v>
      </c>
      <c r="D902" s="691">
        <f>SUM(D903)</f>
        <v>0</v>
      </c>
      <c r="E902" s="692"/>
      <c r="F902" s="693">
        <f>SUM(F903)</f>
        <v>0</v>
      </c>
      <c r="G902" s="692"/>
      <c r="H902" s="693"/>
      <c r="I902" s="694"/>
    </row>
    <row r="903" spans="1:9" ht="0.75" customHeight="1" hidden="1">
      <c r="A903" s="591"/>
      <c r="B903" s="516" t="s">
        <v>427</v>
      </c>
      <c r="C903" s="517">
        <f>C904</f>
        <v>0</v>
      </c>
      <c r="D903" s="518">
        <f>D904</f>
        <v>0</v>
      </c>
      <c r="E903" s="519"/>
      <c r="F903" s="541">
        <f>F904</f>
        <v>0</v>
      </c>
      <c r="G903" s="519"/>
      <c r="H903" s="541"/>
      <c r="I903" s="542"/>
    </row>
    <row r="904" spans="1:9" s="539" customFormat="1" ht="17.25" customHeight="1" hidden="1">
      <c r="A904" s="641"/>
      <c r="B904" s="574" t="s">
        <v>385</v>
      </c>
      <c r="C904" s="642">
        <f>SUM(D904:E904)</f>
        <v>0</v>
      </c>
      <c r="D904" s="643">
        <f>F904+H904</f>
        <v>0</v>
      </c>
      <c r="E904" s="644"/>
      <c r="F904" s="660">
        <v>0</v>
      </c>
      <c r="G904" s="659"/>
      <c r="H904" s="660"/>
      <c r="I904" s="661"/>
    </row>
    <row r="905" spans="1:9" s="539" customFormat="1" ht="33" customHeight="1">
      <c r="A905" s="571">
        <v>92605</v>
      </c>
      <c r="B905" s="695" t="s">
        <v>522</v>
      </c>
      <c r="C905" s="546">
        <f>C906</f>
        <v>3515000</v>
      </c>
      <c r="D905" s="447">
        <f>D906</f>
        <v>3515000</v>
      </c>
      <c r="E905" s="547"/>
      <c r="F905" s="548">
        <f>F906</f>
        <v>3515000</v>
      </c>
      <c r="G905" s="547"/>
      <c r="H905" s="548"/>
      <c r="I905" s="449"/>
    </row>
    <row r="906" spans="1:9" ht="12.75" customHeight="1">
      <c r="A906" s="591"/>
      <c r="B906" s="516" t="s">
        <v>427</v>
      </c>
      <c r="C906" s="517">
        <f>SUM(C907:C907)</f>
        <v>3515000</v>
      </c>
      <c r="D906" s="518">
        <f>SUM(D907:D907)</f>
        <v>3515000</v>
      </c>
      <c r="E906" s="519"/>
      <c r="F906" s="541">
        <f>SUM(F907:F907)</f>
        <v>3515000</v>
      </c>
      <c r="G906" s="519"/>
      <c r="H906" s="541"/>
      <c r="I906" s="542"/>
    </row>
    <row r="907" spans="1:9" s="531" customFormat="1" ht="11.25" customHeight="1">
      <c r="A907" s="673"/>
      <c r="B907" s="524" t="s">
        <v>400</v>
      </c>
      <c r="C907" s="525">
        <f>SUM(D907:E907)</f>
        <v>3515000</v>
      </c>
      <c r="D907" s="526">
        <f>F907+H907</f>
        <v>3515000</v>
      </c>
      <c r="E907" s="527"/>
      <c r="F907" s="545">
        <v>3515000</v>
      </c>
      <c r="G907" s="527"/>
      <c r="H907" s="545"/>
      <c r="I907" s="549"/>
    </row>
    <row r="908" spans="1:9" ht="14.25" customHeight="1">
      <c r="A908" s="571">
        <v>92695</v>
      </c>
      <c r="B908" s="695" t="s">
        <v>523</v>
      </c>
      <c r="C908" s="546">
        <f>C909+C914</f>
        <v>744650</v>
      </c>
      <c r="D908" s="447">
        <f>D909+D914</f>
        <v>744650</v>
      </c>
      <c r="E908" s="547"/>
      <c r="F908" s="548">
        <f>F909+F914</f>
        <v>744650</v>
      </c>
      <c r="G908" s="547"/>
      <c r="H908" s="548"/>
      <c r="I908" s="449"/>
    </row>
    <row r="909" spans="1:9" ht="13.5" customHeight="1">
      <c r="A909" s="591"/>
      <c r="B909" s="516" t="s">
        <v>427</v>
      </c>
      <c r="C909" s="517">
        <f>SUM(C910:C913)</f>
        <v>744650</v>
      </c>
      <c r="D909" s="518">
        <f>SUM(D910:D913)</f>
        <v>744650</v>
      </c>
      <c r="E909" s="707"/>
      <c r="F909" s="770">
        <f>SUM(F910:F913)</f>
        <v>744650</v>
      </c>
      <c r="G909" s="814"/>
      <c r="H909" s="541"/>
      <c r="I909" s="542"/>
    </row>
    <row r="910" spans="1:9" s="676" customFormat="1" ht="13.5" customHeight="1">
      <c r="A910" s="523"/>
      <c r="B910" s="524" t="s">
        <v>413</v>
      </c>
      <c r="C910" s="525">
        <f>SUM(D910:E910)</f>
        <v>12500</v>
      </c>
      <c r="D910" s="526">
        <f>F910+H910</f>
        <v>12500</v>
      </c>
      <c r="E910" s="527"/>
      <c r="F910" s="545">
        <v>12500</v>
      </c>
      <c r="G910" s="527"/>
      <c r="H910" s="545"/>
      <c r="I910" s="549"/>
    </row>
    <row r="911" spans="1:9" s="676" customFormat="1" ht="12.75" customHeight="1">
      <c r="A911" s="523"/>
      <c r="B911" s="524" t="s">
        <v>414</v>
      </c>
      <c r="C911" s="525"/>
      <c r="D911" s="526"/>
      <c r="E911" s="527"/>
      <c r="F911" s="545"/>
      <c r="G911" s="527"/>
      <c r="H911" s="545"/>
      <c r="I911" s="549"/>
    </row>
    <row r="912" spans="1:9" s="676" customFormat="1" ht="12" customHeight="1">
      <c r="A912" s="523"/>
      <c r="B912" s="524" t="s">
        <v>400</v>
      </c>
      <c r="C912" s="525">
        <f>SUM(D912:E912)</f>
        <v>550000</v>
      </c>
      <c r="D912" s="526">
        <f>F912+H912</f>
        <v>550000</v>
      </c>
      <c r="E912" s="527"/>
      <c r="F912" s="545">
        <v>550000</v>
      </c>
      <c r="G912" s="739"/>
      <c r="H912" s="545"/>
      <c r="I912" s="549"/>
    </row>
    <row r="913" spans="1:9" s="539" customFormat="1" ht="12.75" customHeight="1" thickBot="1">
      <c r="A913" s="641"/>
      <c r="B913" s="574" t="s">
        <v>389</v>
      </c>
      <c r="C913" s="642">
        <f>SUM(D913:E913)</f>
        <v>182150</v>
      </c>
      <c r="D913" s="643">
        <f>F913+H913</f>
        <v>182150</v>
      </c>
      <c r="E913" s="644"/>
      <c r="F913" s="645">
        <v>182150</v>
      </c>
      <c r="G913" s="920"/>
      <c r="H913" s="897"/>
      <c r="I913" s="661"/>
    </row>
    <row r="914" spans="1:9" s="539" customFormat="1" ht="13.5" hidden="1" thickBot="1">
      <c r="A914" s="515"/>
      <c r="B914" s="516" t="s">
        <v>384</v>
      </c>
      <c r="C914" s="677">
        <f>SUM(C915)</f>
        <v>0</v>
      </c>
      <c r="D914" s="678">
        <f>SUM(D915)</f>
        <v>0</v>
      </c>
      <c r="E914" s="521"/>
      <c r="F914" s="520">
        <f>SUM(F915)</f>
        <v>0</v>
      </c>
      <c r="G914" s="697"/>
      <c r="H914" s="588"/>
      <c r="I914" s="530"/>
    </row>
    <row r="915" spans="1:9" s="539" customFormat="1" ht="13.5" hidden="1" thickBot="1">
      <c r="A915" s="515"/>
      <c r="B915" s="524" t="s">
        <v>397</v>
      </c>
      <c r="C915" s="525">
        <f>SUM(D915:E915)</f>
        <v>0</v>
      </c>
      <c r="D915" s="526">
        <f>F915+H915</f>
        <v>0</v>
      </c>
      <c r="E915" s="527"/>
      <c r="F915" s="528"/>
      <c r="G915" s="697"/>
      <c r="H915" s="588"/>
      <c r="I915" s="530"/>
    </row>
    <row r="916" spans="1:9" ht="18" customHeight="1" thickBot="1" thickTop="1">
      <c r="A916" s="740"/>
      <c r="B916" s="921" t="s">
        <v>242</v>
      </c>
      <c r="C916" s="510">
        <f>C12+C25+C32+C85+C97+C139+C175+C235+C245+C297+C303+C307+C316+C468+C480+C537+C639+C672+C753+C799+C885</f>
        <v>401349909</v>
      </c>
      <c r="D916" s="847">
        <f>D12+D25+D32+D85+D97+D139+D175+D235+D245+D297+D303+D307+D316+D468+D480+D537+D639+D672+D753+D799+D885</f>
        <v>369634532</v>
      </c>
      <c r="E916" s="512">
        <f>E32+E25+E753+E97+E316+E468+E799+E480+E537+E885+E85+E175+E245+E303+E307+E672+E18+E12+E139+E881+E229+E639+E297+E236+E241</f>
        <v>31715377</v>
      </c>
      <c r="F916" s="513">
        <f>F32+F25+F753+F97+F316+F468+F799+F480+F537+F885+F85+F175+F245+F303+F307+F672+F18+F12+F139+F881+F229+F639+F297+F236+F241</f>
        <v>242674599</v>
      </c>
      <c r="G916" s="922">
        <f>G32+G25+G753+G97+G316+G468+G799+G480+G537+G885+G85+G175+G245+G303+G307+G672+G18+G12+G139+G881+G229+G639+G297+G236+G241</f>
        <v>23436077</v>
      </c>
      <c r="H916" s="575">
        <f>H32+H25+H753+H97+H316+H468+H799+H480+H537+H885+H85+H175+H245+H303+H307+H672+H18+H12+H139+H881+H229+H639+H297+H236+H241</f>
        <v>126959933</v>
      </c>
      <c r="I916" s="457">
        <f>I32+I25+I753+I97+I316+I468+I799+I480+I537+I885+I85+I175+I245+I303+I307+I672+I18+I12+I139+I881+I229+I639+I297+I236+I241</f>
        <v>8279300</v>
      </c>
    </row>
    <row r="917" spans="1:9" s="932" customFormat="1" ht="16.5" customHeight="1" thickTop="1">
      <c r="A917" s="923"/>
      <c r="B917" s="924" t="s">
        <v>388</v>
      </c>
      <c r="C917" s="925">
        <f>E917+D917</f>
        <v>301265309</v>
      </c>
      <c r="D917" s="926">
        <f>D45+D16+D27+D50+D55+D61+D68+D77+D90+D110+D121+D131+D148+D153+D156+D159+D166+D173+D186+D191+D198+D201+D210+D223+D237+D243+D266+D277+D280+D299+D305+D309+D314+D328+D338+D350+D359+D365+D375+D392+D402+D408+D424+D433+D441+D450+D453+D459+D470+D474+D494+D505+D511+D526+D532+D548+D557+D560+D567+D573+D726+D582+D585+D590+D596+D603+D612+D619+D625+D631+D650+D656+D660+D683+D689+D703+D709+D718+D731+D742+D745+D763+D770+D774+D779+D785+D791+D822+D828+D837+D845+D856+D862+D869+D878+D895+D906+D909+D94+D344+D491+D217+D667+D381+D293+D739+D289+D257</f>
        <v>269607932</v>
      </c>
      <c r="E917" s="927">
        <f>E23+E16+E27+E50+E55+E61+E68+E77+E90+E110+E121+E131+E148+E153+E156+E159+E166+E173+E186+E191+E198+E201+E210+E223+E237+E243+E266+E277+E280+E299+E305+E309+E314+E328+E338+E350+E359+E365+E375+E392+E402+E408+E424+E433+E441+E450+E453+E459+E470+E474+E494+E505+E511+E526+E532+E548+E557+E560+E567+E573+E726+E582+E585+E590+E596+E603+E612+E619+E625+E631+E650+E656+E660+E683+E689+E703+E709+E718+E731+E742+E745+E763+E770+E774+E779+E785+E791+E822+E828+E837+E845+E856+E862+E869+E878+E895+E906+E909+E94+E344+E491+E217+E667+E381+E293+E739+E289</f>
        <v>31657377</v>
      </c>
      <c r="F917" s="928">
        <f>F918+F920+F923+F924</f>
        <v>180125799</v>
      </c>
      <c r="G917" s="929">
        <f>G918+G920+G924</f>
        <v>23436077</v>
      </c>
      <c r="H917" s="930">
        <f>H918+H920+H924</f>
        <v>89482133</v>
      </c>
      <c r="I917" s="931">
        <f>I918+I920+I924</f>
        <v>8221300</v>
      </c>
    </row>
    <row r="918" spans="1:9" s="550" customFormat="1" ht="12.75" customHeight="1">
      <c r="A918" s="933"/>
      <c r="B918" s="524" t="s">
        <v>413</v>
      </c>
      <c r="C918" s="934">
        <f>SUM(E918+D918)</f>
        <v>127782842</v>
      </c>
      <c r="D918" s="935">
        <f aca="true" t="shared" si="35" ref="D918:I918">D34+D99+D141+D177+D238+D247+D300+D318+D482+D539+D641+D674+D755+D801+D887</f>
        <v>119199396</v>
      </c>
      <c r="E918" s="936">
        <f t="shared" si="35"/>
        <v>8583446</v>
      </c>
      <c r="F918" s="937">
        <f t="shared" si="35"/>
        <v>74121238</v>
      </c>
      <c r="G918" s="936">
        <f t="shared" si="35"/>
        <v>1932936</v>
      </c>
      <c r="H918" s="937">
        <f t="shared" si="35"/>
        <v>45078158</v>
      </c>
      <c r="I918" s="938">
        <f t="shared" si="35"/>
        <v>6650510</v>
      </c>
    </row>
    <row r="919" spans="1:9" s="550" customFormat="1" ht="12.75" customHeight="1">
      <c r="A919" s="933"/>
      <c r="B919" s="524" t="s">
        <v>414</v>
      </c>
      <c r="C919" s="934"/>
      <c r="D919" s="939"/>
      <c r="E919" s="940"/>
      <c r="F919" s="937"/>
      <c r="G919" s="941"/>
      <c r="H919" s="942"/>
      <c r="I919" s="943"/>
    </row>
    <row r="920" spans="1:9" s="550" customFormat="1" ht="12">
      <c r="A920" s="933"/>
      <c r="B920" s="524" t="s">
        <v>400</v>
      </c>
      <c r="C920" s="934">
        <f>E920+D920</f>
        <v>57040653</v>
      </c>
      <c r="D920" s="944">
        <f>H920+F920</f>
        <v>56821653</v>
      </c>
      <c r="E920" s="940">
        <f>E91+E111+E226+E278+E331+E353+E368+E395+E411+E456+E462+E475+E495+E506+E514+E533+E551+E570+E634+E651+E748+E825+E829+E839+E848+E857+E863+E896+E907+E195+E492+E615+E347+E657+E384+E563+E95+E740</f>
        <v>219000</v>
      </c>
      <c r="F920" s="935">
        <f>F91+F111+F226+F278+F331+F353+F368+F395+F411+F456+F462+F471+F475+F495+F506+F514+F533+F551+F570+F634+F651+F748+F825+F829+F839+F848+F857+F863+F872+F896+F907+F195+F492+F615+F347+F657+F384+F563+F95+F740+F46+F764+F912+F879</f>
        <v>37261400</v>
      </c>
      <c r="G920" s="945">
        <f>G91+G111+G226+G278+G331+G353+G368+G395+G411+G456+G462+G475+G495+G506+G514+G533+G551+G570+G634+G651+G748+G825+G829+G839+G848+G857+G863+G896+G907+G195+G492+G615+G347+G657+G384+G563+G95+G740</f>
        <v>219000</v>
      </c>
      <c r="H920" s="942">
        <f>H91+H111+H226+H278+H331+H353+H368+H395+H411+H456+H462+H475+H495+H506+H514+H533+H551+H570+H634+H651+H748+H825+H829+H839+H848+H857+H863+H896+H907+H195+H492+H615+H347+H657+H384+H563+H95+H740+H670</f>
        <v>19560253</v>
      </c>
      <c r="I920" s="946"/>
    </row>
    <row r="921" spans="1:9" s="955" customFormat="1" ht="11.25" customHeight="1" hidden="1">
      <c r="A921" s="947"/>
      <c r="B921" s="602" t="s">
        <v>524</v>
      </c>
      <c r="C921" s="948">
        <f>C112+C816+C864+C858+C830</f>
        <v>0</v>
      </c>
      <c r="D921" s="949">
        <f>D112+D816+D864+D858+D830</f>
        <v>0</v>
      </c>
      <c r="E921" s="950"/>
      <c r="F921" s="951">
        <f>F112+F816+F864+F858+F830</f>
        <v>0</v>
      </c>
      <c r="G921" s="952"/>
      <c r="H921" s="953">
        <f>H112+H816+H864+H858+H830</f>
        <v>0</v>
      </c>
      <c r="I921" s="954"/>
    </row>
    <row r="922" spans="1:9" s="543" customFormat="1" ht="12" hidden="1">
      <c r="A922" s="956"/>
      <c r="B922" s="516"/>
      <c r="C922" s="957"/>
      <c r="D922" s="958"/>
      <c r="E922" s="959"/>
      <c r="F922" s="960"/>
      <c r="G922" s="961"/>
      <c r="H922" s="962"/>
      <c r="I922" s="963"/>
    </row>
    <row r="923" spans="1:9" s="543" customFormat="1" ht="12">
      <c r="A923" s="956"/>
      <c r="B923" s="524" t="s">
        <v>525</v>
      </c>
      <c r="C923" s="957">
        <f>C306</f>
        <v>3200000</v>
      </c>
      <c r="D923" s="958">
        <f>D306</f>
        <v>3200000</v>
      </c>
      <c r="E923" s="959"/>
      <c r="F923" s="960">
        <f>F306</f>
        <v>3200000</v>
      </c>
      <c r="G923" s="961"/>
      <c r="H923" s="962"/>
      <c r="I923" s="963"/>
    </row>
    <row r="924" spans="1:9" s="550" customFormat="1" ht="13.5" customHeight="1">
      <c r="A924" s="933"/>
      <c r="B924" s="524" t="s">
        <v>389</v>
      </c>
      <c r="C924" s="934">
        <f>E924+D924</f>
        <v>113241814</v>
      </c>
      <c r="D924" s="944">
        <f>F924+H924</f>
        <v>90386883</v>
      </c>
      <c r="E924" s="964">
        <f>E17+E24+E28+E37+E88+E102+E143+E180+E240+E250+E302+E310+E315+E321+E472+E476+E485+E542+E644+E677+E758+E804+E890</f>
        <v>22854931</v>
      </c>
      <c r="F924" s="935">
        <f>F17+F24+F28+F37+F88+F102+F143+F180+F240+F250+F302+F310+F315+F321+F472+F476+F485+F542+F644+F677+F758+F804+F890</f>
        <v>65543161</v>
      </c>
      <c r="G924" s="964">
        <f>G17+G24+G28+G37+G88+G102+G143+G180+G240+G250+G302+G310+G315+G321+G472+G476+G485+G542+G644+G677+G758+G804+G890</f>
        <v>21284141</v>
      </c>
      <c r="H924" s="937">
        <f>H17+H24+H28+H37+H88+H102+H143+H180+H240+H250+H302+H310+H315+H321+H472+H476+H485+H542+H644+H677+H758+H804+H890</f>
        <v>24843722</v>
      </c>
      <c r="I924" s="938">
        <f>I17+I24+I28+I37+I88+I102+I143+I180+I240+I250+I302+I310+I315+I321+I472+I476+I485+I542+I644+I677+I758+I804+I890</f>
        <v>1570790</v>
      </c>
    </row>
    <row r="925" spans="1:9" s="550" customFormat="1" ht="10.5" customHeight="1">
      <c r="A925" s="933"/>
      <c r="B925" s="524" t="s">
        <v>244</v>
      </c>
      <c r="C925" s="934"/>
      <c r="D925" s="944"/>
      <c r="E925" s="940"/>
      <c r="F925" s="965"/>
      <c r="G925" s="936"/>
      <c r="H925" s="935"/>
      <c r="I925" s="938"/>
    </row>
    <row r="926" spans="1:9" s="974" customFormat="1" ht="25.5" customHeight="1">
      <c r="A926" s="966"/>
      <c r="B926" s="967" t="s">
        <v>526</v>
      </c>
      <c r="C926" s="968">
        <f>D926+E926</f>
        <v>22100</v>
      </c>
      <c r="D926" s="969"/>
      <c r="E926" s="970">
        <f>G926+I926</f>
        <v>22100</v>
      </c>
      <c r="F926" s="971"/>
      <c r="G926" s="970">
        <f>G169+G215</f>
        <v>16600</v>
      </c>
      <c r="H926" s="972"/>
      <c r="I926" s="973">
        <f>I169+I215+I213</f>
        <v>5500</v>
      </c>
    </row>
    <row r="927" spans="1:9" s="543" customFormat="1" ht="12.75" customHeight="1">
      <c r="A927" s="956"/>
      <c r="B927" s="516" t="s">
        <v>527</v>
      </c>
      <c r="C927" s="957">
        <f>SUM(E927+D927)</f>
        <v>6229400</v>
      </c>
      <c r="D927" s="958">
        <f>H927+F927</f>
        <v>6189400</v>
      </c>
      <c r="E927" s="959">
        <f>E57+E63+E70+E205+E221+E271+E333+E342+E363+E379+E397+E406+E413+E437+E445+E464+E553+E565+E607+E687+E693+E722+E781+E787+E795+E874+E29+E81+E370+E750+E766+E428+E617+E713+E735+E772+E386+E623</f>
        <v>40000</v>
      </c>
      <c r="F927" s="960">
        <f>F57+F63+F70+F205+F221+F271+F333+F342+F363+F379+F397+F406+F413+F437+F445+F464+F553+F565+F607+F687+F693+F722+F781+F787+F795+F874+F29+F81+F370+F750+F766+F428+F617+F713+F735+F772+F386+F623+F135+F516</f>
        <v>4821600</v>
      </c>
      <c r="G927" s="959"/>
      <c r="H927" s="958">
        <f>H57+H63+H70+H205+H221+H271+H333+H342+H363+H379+H397+H406+H413+H437+H445+H464+H553+H565+H607+H687+H693+H722+H781+H787+H795+H874+H29+H81+H370+H750+H766+H428+H617+H713+H735+H772+H386+H623+H707</f>
        <v>1367800</v>
      </c>
      <c r="I927" s="963">
        <f>I57+I63+I70+I205+I221+I271+I333+I342+I363+I379+I397+I406+I413+I437+I445+I464+I553+I565+I607+I687+I693+I722+I781+I787+I795+I874+I29+I81+I370+I750+I766+I428+I617+I713+I735+I772+I386+I623</f>
        <v>40000</v>
      </c>
    </row>
    <row r="928" spans="1:9" s="982" customFormat="1" ht="0.75" customHeight="1" hidden="1">
      <c r="A928" s="975"/>
      <c r="B928" s="725" t="s">
        <v>528</v>
      </c>
      <c r="C928" s="976">
        <f>C921+C927</f>
        <v>6229400</v>
      </c>
      <c r="D928" s="977">
        <f>D921+D927</f>
        <v>6189400</v>
      </c>
      <c r="E928" s="978"/>
      <c r="F928" s="979">
        <f>F921+F927</f>
        <v>4821600</v>
      </c>
      <c r="G928" s="980"/>
      <c r="H928" s="977">
        <f>H921+H927</f>
        <v>1367800</v>
      </c>
      <c r="I928" s="981"/>
    </row>
    <row r="929" spans="1:9" s="932" customFormat="1" ht="15.75" customHeight="1">
      <c r="A929" s="923"/>
      <c r="B929" s="924" t="s">
        <v>384</v>
      </c>
      <c r="C929" s="983">
        <f>E929+D929</f>
        <v>100084600</v>
      </c>
      <c r="D929" s="984">
        <f>D30+D58+D64+D82+D125+D128+D136+D206+D334+D398+D523+D600+D608+D636+D664+D699+D767+D788+D796+D831+D851+D859+D865+D875+D899+D272+D52+D71+D114+D371+D465+D535+D723+D751+D262+D782+D170+D74+D414+D446+D840+D387+D736+D311+D554+D776+D163+D714+D295+D694+D517+D652+D355+D47+D477+D508+D285+D438</f>
        <v>100026600</v>
      </c>
      <c r="E929" s="985">
        <f>E58+E64+E82+E125+E128+E136+E206+E334+E398+E523+E600+E608+E636+E664+E699+E767+E788+E796+E831+E851+E859+E865+E875+E899+E272+E52+E71+E114+E371+E465+E535+E723+E751+E262+E782+E170+E74+E414+E446+E840+E387+E736+E311+E554+E776+E163+E714+E295+E694+E578</f>
        <v>58000</v>
      </c>
      <c r="F929" s="984">
        <f>F30+F58+F64+F82+F125+F128+F136+F206+F334+F398+F523+F600+F608+F636+F664+F699+F767+F788+F796+F831+F851+F859+F865+F875+F899+F272+F52+F71+F114+F371+F465+F535+F723+F751+F262+F782+F170+F74+F414+F446+F840+F387+F736+F311+F554+F776+F163+F714+F295+F694+F517+F652+F355+F47+F477+F508+F285</f>
        <v>62548800</v>
      </c>
      <c r="G929" s="985"/>
      <c r="H929" s="986">
        <f>H58+H64+H82+H125+H128+H136+H206+H334+H398+H523+H600+H608+H636+H664+H699+H767+H788+H796+H831+H851+H859+H865+H875+H899+H272+H52+H71+H114+H371+H465+H535+H723+H751+H262+H782+H170+H74+H414+H446+H840+H387+H736+H311+H554+H776+H163+H714+H295+H694+H439</f>
        <v>37477800</v>
      </c>
      <c r="I929" s="987">
        <f>I58+I64+I82+I125+I128+I136+I206+I334+I398+I523+I600+I608+I636+I664+I699+I767+I788+I796+I831+I851+I859+I865+I875+I899+I272+I52+I71+I114+I371+I465+I535+I723+I751+I262+I782+I170+I74+I414+I446+I840+I387+I736+I311+I554+I776+I163+I714+I295+I694</f>
        <v>58000</v>
      </c>
    </row>
    <row r="930" spans="1:9" s="550" customFormat="1" ht="13.5" customHeight="1">
      <c r="A930" s="933"/>
      <c r="B930" s="524" t="s">
        <v>385</v>
      </c>
      <c r="C930" s="934">
        <f>E930+D930</f>
        <v>2613500</v>
      </c>
      <c r="D930" s="944">
        <f>F930+H930</f>
        <v>2605500</v>
      </c>
      <c r="E930" s="940">
        <f>E208+E601+E610+E665+E700+E876+E904+E84+E854+E467+E126+E274+E336+E373+E400+E416+E448+E638+E841+E164+E389+E555+E716+E695+E580</f>
        <v>8000</v>
      </c>
      <c r="F930" s="939">
        <f>F208+F601+F610+F665+F700+F876+F904+F84+F854+F467+F126+F274+F336+F373+F400+F416+F448+F638+F841+F164+F389+F555+F716+F695+F834+F264+F439</f>
        <v>2533000</v>
      </c>
      <c r="G930" s="944"/>
      <c r="H930" s="942">
        <f>H208+H601+H610+H665+H700+H876+H904+H84+H854+H467+H126+H274+H336+H373+H400+H416+H448+H638+H841+H164+H389+H555+H716+H695+H834+H264+H439</f>
        <v>72500</v>
      </c>
      <c r="I930" s="943">
        <f>I208+I601+I610+I665+I700+I876+I904+I84+I854+I467+I126+I274+I336+I373+I400+I416+I448+I638+I841+I164+I389+I555+I716+I695</f>
        <v>8000</v>
      </c>
    </row>
    <row r="931" spans="1:9" s="543" customFormat="1" ht="14.25" customHeight="1" hidden="1">
      <c r="A931" s="956"/>
      <c r="B931" s="516" t="s">
        <v>401</v>
      </c>
      <c r="C931" s="957"/>
      <c r="D931" s="958"/>
      <c r="E931" s="940"/>
      <c r="F931" s="988"/>
      <c r="G931" s="959"/>
      <c r="H931" s="958"/>
      <c r="I931" s="963"/>
    </row>
    <row r="932" spans="1:9" s="550" customFormat="1" ht="13.5" customHeight="1">
      <c r="A932" s="933"/>
      <c r="B932" s="524" t="s">
        <v>397</v>
      </c>
      <c r="C932" s="934">
        <f>SUM(D932+E932)</f>
        <v>86954100</v>
      </c>
      <c r="D932" s="944">
        <f>H932+F932</f>
        <v>86904100</v>
      </c>
      <c r="E932" s="940">
        <f>E59+E65+E137+E335+E399+E524+E637+E768+E789+E797+E832+E852+E860+E900+E273+E72+E115+E372+E466+E536+E724+E752+E83+E783+E263+E866+E171+E75+E415+E609+E843+E388+E737+E312+E777+E207+E447+E296+E579</f>
        <v>50000</v>
      </c>
      <c r="F932" s="989">
        <f>F31+F59+F65+F137+F335+F399+F524+F637+F768+F789+F797+F832+F852+F860+F900+F273+F72+F115+F372+F466+F536+F724+F752+F83+F783+F263+F866+F171+F75+F415+F609+F843+F388+F737+F312+F777+F207+F447+F296+F518+F653+F356+F48+F478</f>
        <v>49498800</v>
      </c>
      <c r="G932" s="940"/>
      <c r="H932" s="942">
        <f>H59+H65+H137+H335+H399+H524+H637+H768+H789+H797+H832+H852+H860+H900+H273+H72+H115+H372+H466+H536+H724+H752+H83+H783+H263+H866+H171+H75+H415+H609+H843+H388+H737+H312+H777+H207+H447+H296+H701+H715</f>
        <v>37405300</v>
      </c>
      <c r="I932" s="943">
        <f>I59+I65+I137+I335+I399+I524+I637+I768+I789+I797+I832+I852+I860+I900+I273+I72+I115+I372+I466+I536+I724+I752+I83+I783+I263+I866+I171+I75+I415+I609+I843+I388+I737+I312+I777+I207+I447+I296</f>
        <v>50000</v>
      </c>
    </row>
    <row r="933" spans="1:9" s="543" customFormat="1" ht="13.5" customHeight="1">
      <c r="A933" s="956"/>
      <c r="B933" s="516" t="s">
        <v>401</v>
      </c>
      <c r="C933" s="957">
        <f>D933+E933</f>
        <v>883000</v>
      </c>
      <c r="D933" s="958">
        <f>F933+H933</f>
        <v>883000</v>
      </c>
      <c r="E933" s="959"/>
      <c r="F933" s="988">
        <f>F853+F116+F867+F357+F654+F479</f>
        <v>526000</v>
      </c>
      <c r="G933" s="959"/>
      <c r="H933" s="958">
        <f>H867</f>
        <v>357000</v>
      </c>
      <c r="I933" s="963"/>
    </row>
    <row r="934" spans="1:9" s="550" customFormat="1" ht="13.5" customHeight="1" thickBot="1">
      <c r="A934" s="990"/>
      <c r="B934" s="991" t="s">
        <v>402</v>
      </c>
      <c r="C934" s="992">
        <f>C129+C138+C53+C901</f>
        <v>10517000</v>
      </c>
      <c r="D934" s="993">
        <f>D129+D138+D53+D901</f>
        <v>10517000</v>
      </c>
      <c r="E934" s="994"/>
      <c r="F934" s="995">
        <f>F129+F138+F53+F901</f>
        <v>10517000</v>
      </c>
      <c r="G934" s="994"/>
      <c r="H934" s="996"/>
      <c r="I934" s="997"/>
    </row>
    <row r="935" spans="1:9" ht="12.75" thickTop="1">
      <c r="A935" s="998"/>
      <c r="B935" s="999"/>
      <c r="C935" s="474"/>
      <c r="D935" s="474"/>
      <c r="E935" s="474"/>
      <c r="F935" s="474"/>
      <c r="G935" s="474"/>
      <c r="H935" s="474"/>
      <c r="I935" s="474"/>
    </row>
    <row r="936" spans="1:9" ht="12.75">
      <c r="A936" s="102" t="s">
        <v>529</v>
      </c>
      <c r="B936" s="999"/>
      <c r="C936" s="474"/>
      <c r="D936" s="474"/>
      <c r="E936" s="474"/>
      <c r="F936" s="474"/>
      <c r="G936" s="474"/>
      <c r="H936" s="474"/>
      <c r="I936" s="474"/>
    </row>
    <row r="937" spans="1:9" ht="12.75">
      <c r="A937" s="102" t="s">
        <v>297</v>
      </c>
      <c r="B937" s="999"/>
      <c r="C937" s="474"/>
      <c r="D937" s="474"/>
      <c r="E937" s="474"/>
      <c r="F937" s="474"/>
      <c r="G937" s="474"/>
      <c r="H937" s="474"/>
      <c r="I937" s="474"/>
    </row>
    <row r="938" spans="1:9" ht="12.75">
      <c r="A938" s="102" t="s">
        <v>780</v>
      </c>
      <c r="B938" s="999"/>
      <c r="C938" s="474"/>
      <c r="D938" s="474"/>
      <c r="E938" s="474"/>
      <c r="F938" s="474"/>
      <c r="G938" s="696"/>
      <c r="H938" s="474"/>
      <c r="I938" s="696"/>
    </row>
    <row r="939" spans="1:9" ht="12.75">
      <c r="A939" s="998"/>
      <c r="B939" s="999"/>
      <c r="C939" s="474"/>
      <c r="D939" s="474"/>
      <c r="E939" s="474"/>
      <c r="F939" s="474"/>
      <c r="G939" s="696"/>
      <c r="H939" s="474"/>
      <c r="I939" s="696"/>
    </row>
    <row r="940" spans="1:9" ht="12.75">
      <c r="A940" s="998"/>
      <c r="B940" s="999"/>
      <c r="C940" s="474"/>
      <c r="D940" s="474"/>
      <c r="E940" s="474"/>
      <c r="F940" s="474"/>
      <c r="G940" s="696"/>
      <c r="H940" s="474"/>
      <c r="I940" s="696"/>
    </row>
    <row r="941" spans="1:9" ht="12.75">
      <c r="A941" s="998"/>
      <c r="B941" s="999"/>
      <c r="C941" s="474"/>
      <c r="D941" s="474"/>
      <c r="E941" s="474"/>
      <c r="F941" s="474"/>
      <c r="G941" s="696"/>
      <c r="H941" s="474"/>
      <c r="I941" s="696"/>
    </row>
    <row r="942" spans="1:9" ht="12.75">
      <c r="A942" s="998"/>
      <c r="B942" s="999"/>
      <c r="C942" s="474"/>
      <c r="D942" s="474"/>
      <c r="E942" s="474"/>
      <c r="F942" s="474"/>
      <c r="G942" s="696"/>
      <c r="H942" s="474"/>
      <c r="I942" s="696"/>
    </row>
    <row r="943" spans="1:9" ht="12.75">
      <c r="A943" s="998"/>
      <c r="B943" s="999"/>
      <c r="C943" s="474"/>
      <c r="D943" s="474"/>
      <c r="E943" s="474"/>
      <c r="F943" s="474"/>
      <c r="G943" s="696"/>
      <c r="H943" s="474"/>
      <c r="I943" s="696"/>
    </row>
    <row r="944" spans="1:9" ht="12.75">
      <c r="A944" s="998"/>
      <c r="B944" s="999"/>
      <c r="C944" s="474"/>
      <c r="D944" s="474"/>
      <c r="E944" s="474"/>
      <c r="F944" s="474"/>
      <c r="G944" s="696"/>
      <c r="H944" s="474"/>
      <c r="I944" s="696"/>
    </row>
    <row r="945" spans="1:9" ht="12.75">
      <c r="A945" s="998"/>
      <c r="B945" s="999"/>
      <c r="C945" s="474"/>
      <c r="D945" s="474"/>
      <c r="E945" s="474"/>
      <c r="F945" s="474"/>
      <c r="G945" s="696"/>
      <c r="H945" s="474"/>
      <c r="I945" s="696"/>
    </row>
    <row r="946" spans="1:9" ht="12.75">
      <c r="A946" s="998"/>
      <c r="B946" s="999"/>
      <c r="C946" s="474"/>
      <c r="D946" s="474"/>
      <c r="E946" s="474"/>
      <c r="F946" s="474"/>
      <c r="G946" s="696"/>
      <c r="H946" s="474"/>
      <c r="I946" s="696"/>
    </row>
    <row r="947" spans="1:9" ht="12.75">
      <c r="A947" s="998"/>
      <c r="B947" s="999"/>
      <c r="C947" s="474"/>
      <c r="D947" s="474"/>
      <c r="E947" s="474"/>
      <c r="F947" s="474"/>
      <c r="G947" s="696"/>
      <c r="H947" s="474"/>
      <c r="I947" s="696"/>
    </row>
    <row r="948" spans="1:9" ht="12.75">
      <c r="A948" s="998"/>
      <c r="B948" s="999"/>
      <c r="C948" s="474"/>
      <c r="D948" s="474"/>
      <c r="E948" s="474"/>
      <c r="F948" s="474"/>
      <c r="G948" s="696"/>
      <c r="H948" s="474"/>
      <c r="I948" s="696"/>
    </row>
    <row r="949" spans="1:9" ht="12.75">
      <c r="A949" s="998"/>
      <c r="B949" s="999"/>
      <c r="C949" s="474"/>
      <c r="D949" s="474"/>
      <c r="E949" s="474"/>
      <c r="F949" s="474"/>
      <c r="G949" s="696"/>
      <c r="H949" s="474"/>
      <c r="I949" s="696"/>
    </row>
    <row r="950" spans="1:9" ht="12.75">
      <c r="A950" s="998"/>
      <c r="B950" s="999"/>
      <c r="C950" s="474"/>
      <c r="D950" s="474"/>
      <c r="E950" s="474"/>
      <c r="F950" s="474"/>
      <c r="G950" s="696"/>
      <c r="H950" s="474"/>
      <c r="I950" s="696"/>
    </row>
    <row r="951" spans="1:9" ht="12.75">
      <c r="A951" s="998"/>
      <c r="B951" s="999"/>
      <c r="C951" s="474"/>
      <c r="D951" s="474"/>
      <c r="E951" s="474"/>
      <c r="F951" s="474"/>
      <c r="G951" s="696"/>
      <c r="H951" s="474"/>
      <c r="I951" s="696"/>
    </row>
    <row r="952" spans="1:9" ht="12.75">
      <c r="A952" s="998"/>
      <c r="B952" s="999"/>
      <c r="C952" s="474"/>
      <c r="D952" s="474"/>
      <c r="E952" s="474"/>
      <c r="F952" s="474"/>
      <c r="G952" s="696"/>
      <c r="H952" s="474"/>
      <c r="I952" s="696"/>
    </row>
    <row r="953" spans="1:9" ht="12.75">
      <c r="A953" s="998"/>
      <c r="B953" s="999"/>
      <c r="C953" s="474"/>
      <c r="D953" s="474"/>
      <c r="E953" s="474"/>
      <c r="F953" s="474"/>
      <c r="G953" s="696"/>
      <c r="H953" s="474"/>
      <c r="I953" s="696"/>
    </row>
    <row r="954" spans="1:9" ht="12.75">
      <c r="A954" s="998"/>
      <c r="B954" s="999"/>
      <c r="C954" s="474"/>
      <c r="D954" s="474"/>
      <c r="E954" s="474"/>
      <c r="F954" s="474"/>
      <c r="G954" s="696"/>
      <c r="H954" s="474"/>
      <c r="I954" s="696"/>
    </row>
    <row r="955" spans="1:9" ht="12.75">
      <c r="A955" s="998"/>
      <c r="B955" s="999"/>
      <c r="C955" s="474"/>
      <c r="D955" s="474"/>
      <c r="E955" s="474"/>
      <c r="F955" s="474"/>
      <c r="G955" s="696"/>
      <c r="H955" s="474"/>
      <c r="I955" s="696"/>
    </row>
    <row r="956" spans="1:9" ht="12.75">
      <c r="A956" s="998"/>
      <c r="B956" s="999"/>
      <c r="C956" s="474"/>
      <c r="D956" s="474"/>
      <c r="E956" s="474"/>
      <c r="F956" s="474"/>
      <c r="G956" s="696"/>
      <c r="H956" s="474"/>
      <c r="I956" s="696"/>
    </row>
    <row r="957" spans="1:9" ht="12.75">
      <c r="A957" s="998"/>
      <c r="B957" s="999"/>
      <c r="C957" s="474"/>
      <c r="D957" s="474"/>
      <c r="E957" s="474"/>
      <c r="F957" s="474"/>
      <c r="G957" s="696"/>
      <c r="H957" s="474"/>
      <c r="I957" s="696"/>
    </row>
    <row r="958" spans="1:9" ht="12.75">
      <c r="A958" s="998"/>
      <c r="B958" s="999"/>
      <c r="C958" s="474"/>
      <c r="D958" s="474"/>
      <c r="E958" s="474"/>
      <c r="F958" s="474"/>
      <c r="G958" s="696"/>
      <c r="H958" s="474"/>
      <c r="I958" s="696"/>
    </row>
    <row r="959" spans="1:9" ht="12.75">
      <c r="A959" s="998"/>
      <c r="B959" s="999"/>
      <c r="C959" s="474"/>
      <c r="D959" s="474"/>
      <c r="E959" s="474"/>
      <c r="F959" s="474"/>
      <c r="G959" s="696"/>
      <c r="H959" s="474"/>
      <c r="I959" s="696"/>
    </row>
    <row r="960" spans="1:9" ht="12.75">
      <c r="A960" s="998"/>
      <c r="B960" s="999"/>
      <c r="C960" s="474"/>
      <c r="D960" s="474"/>
      <c r="E960" s="474"/>
      <c r="F960" s="474"/>
      <c r="G960" s="696"/>
      <c r="H960" s="474"/>
      <c r="I960" s="696"/>
    </row>
    <row r="961" spans="1:9" ht="12.75">
      <c r="A961" s="998"/>
      <c r="B961" s="999"/>
      <c r="C961" s="474"/>
      <c r="D961" s="474"/>
      <c r="E961" s="474"/>
      <c r="F961" s="474"/>
      <c r="G961" s="696"/>
      <c r="H961" s="474"/>
      <c r="I961" s="696"/>
    </row>
    <row r="962" spans="1:9" ht="12.75">
      <c r="A962" s="998"/>
      <c r="B962" s="999"/>
      <c r="C962" s="474"/>
      <c r="D962" s="474"/>
      <c r="E962" s="474"/>
      <c r="F962" s="474"/>
      <c r="G962" s="696"/>
      <c r="H962" s="474"/>
      <c r="I962" s="696"/>
    </row>
    <row r="963" spans="1:9" ht="12.75">
      <c r="A963" s="998"/>
      <c r="B963" s="999"/>
      <c r="C963" s="474"/>
      <c r="D963" s="474"/>
      <c r="E963" s="474"/>
      <c r="F963" s="474"/>
      <c r="G963" s="696"/>
      <c r="H963" s="474"/>
      <c r="I963" s="696"/>
    </row>
    <row r="964" spans="1:9" ht="12.75">
      <c r="A964" s="998"/>
      <c r="B964" s="999"/>
      <c r="C964" s="474"/>
      <c r="D964" s="474"/>
      <c r="E964" s="474"/>
      <c r="F964" s="474"/>
      <c r="G964" s="696"/>
      <c r="H964" s="474"/>
      <c r="I964" s="696"/>
    </row>
    <row r="965" spans="1:9" ht="12.75">
      <c r="A965" s="998"/>
      <c r="B965" s="999"/>
      <c r="C965" s="474"/>
      <c r="D965" s="474"/>
      <c r="E965" s="474"/>
      <c r="F965" s="474"/>
      <c r="G965" s="696"/>
      <c r="H965" s="474"/>
      <c r="I965" s="696"/>
    </row>
    <row r="966" spans="1:9" ht="12.75">
      <c r="A966" s="998"/>
      <c r="B966" s="999"/>
      <c r="C966" s="474"/>
      <c r="D966" s="474"/>
      <c r="E966" s="474"/>
      <c r="F966" s="474"/>
      <c r="G966" s="696"/>
      <c r="H966" s="474"/>
      <c r="I966" s="696"/>
    </row>
    <row r="967" spans="1:9" ht="12.75">
      <c r="A967" s="998"/>
      <c r="B967" s="999"/>
      <c r="C967" s="474"/>
      <c r="D967" s="474"/>
      <c r="E967" s="474"/>
      <c r="F967" s="474"/>
      <c r="G967" s="696"/>
      <c r="H967" s="474"/>
      <c r="I967" s="696"/>
    </row>
    <row r="968" spans="1:9" ht="12.75">
      <c r="A968" s="998"/>
      <c r="B968" s="999"/>
      <c r="C968" s="474"/>
      <c r="D968" s="474"/>
      <c r="E968" s="474"/>
      <c r="F968" s="474"/>
      <c r="G968" s="696"/>
      <c r="H968" s="474"/>
      <c r="I968" s="696"/>
    </row>
    <row r="969" spans="1:9" ht="12.75">
      <c r="A969" s="998"/>
      <c r="B969" s="999"/>
      <c r="C969" s="474"/>
      <c r="D969" s="474"/>
      <c r="E969" s="474"/>
      <c r="F969" s="474"/>
      <c r="G969" s="696"/>
      <c r="H969" s="474"/>
      <c r="I969" s="696"/>
    </row>
    <row r="970" spans="1:9" ht="12.75">
      <c r="A970" s="998"/>
      <c r="B970" s="999"/>
      <c r="C970" s="474"/>
      <c r="D970" s="474"/>
      <c r="E970" s="474"/>
      <c r="F970" s="474"/>
      <c r="G970" s="696"/>
      <c r="H970" s="474"/>
      <c r="I970" s="696"/>
    </row>
    <row r="971" spans="1:9" ht="12.75">
      <c r="A971" s="998"/>
      <c r="B971" s="999"/>
      <c r="C971" s="474"/>
      <c r="D971" s="474"/>
      <c r="E971" s="474"/>
      <c r="F971" s="474"/>
      <c r="G971" s="696"/>
      <c r="H971" s="474"/>
      <c r="I971" s="696"/>
    </row>
    <row r="972" spans="1:9" ht="12.75">
      <c r="A972" s="998"/>
      <c r="B972" s="999"/>
      <c r="C972" s="474"/>
      <c r="D972" s="474"/>
      <c r="E972" s="474"/>
      <c r="F972" s="474"/>
      <c r="G972" s="696"/>
      <c r="H972" s="474"/>
      <c r="I972" s="696"/>
    </row>
    <row r="973" spans="1:9" ht="12.75">
      <c r="A973" s="998"/>
      <c r="B973" s="999"/>
      <c r="C973" s="474"/>
      <c r="D973" s="474"/>
      <c r="E973" s="474"/>
      <c r="F973" s="474"/>
      <c r="G973" s="696"/>
      <c r="H973" s="474"/>
      <c r="I973" s="696"/>
    </row>
    <row r="974" spans="1:9" ht="12.75">
      <c r="A974" s="998"/>
      <c r="B974" s="999"/>
      <c r="C974" s="474"/>
      <c r="D974" s="474"/>
      <c r="E974" s="474"/>
      <c r="F974" s="474"/>
      <c r="G974" s="696"/>
      <c r="H974" s="474"/>
      <c r="I974" s="696"/>
    </row>
    <row r="975" spans="1:9" ht="12.75">
      <c r="A975" s="998"/>
      <c r="B975" s="999"/>
      <c r="C975" s="474"/>
      <c r="D975" s="474"/>
      <c r="E975" s="474"/>
      <c r="F975" s="474"/>
      <c r="G975" s="696"/>
      <c r="H975" s="474"/>
      <c r="I975" s="696"/>
    </row>
    <row r="976" spans="1:9" ht="12.75">
      <c r="A976" s="998"/>
      <c r="B976" s="999"/>
      <c r="C976" s="474"/>
      <c r="D976" s="474"/>
      <c r="E976" s="474"/>
      <c r="F976" s="474"/>
      <c r="G976" s="696"/>
      <c r="H976" s="474"/>
      <c r="I976" s="696"/>
    </row>
    <row r="977" spans="1:9" ht="12.75">
      <c r="A977" s="998"/>
      <c r="B977" s="999"/>
      <c r="C977" s="474"/>
      <c r="D977" s="474"/>
      <c r="E977" s="474"/>
      <c r="F977" s="474"/>
      <c r="G977" s="696"/>
      <c r="H977" s="474"/>
      <c r="I977" s="696"/>
    </row>
    <row r="978" spans="1:9" ht="12.75">
      <c r="A978" s="998"/>
      <c r="B978" s="999"/>
      <c r="C978" s="474"/>
      <c r="D978" s="474"/>
      <c r="E978" s="474"/>
      <c r="F978" s="474"/>
      <c r="G978" s="696"/>
      <c r="H978" s="474"/>
      <c r="I978" s="696"/>
    </row>
    <row r="979" spans="1:9" ht="12.75">
      <c r="A979" s="998"/>
      <c r="B979" s="999"/>
      <c r="C979" s="474"/>
      <c r="D979" s="474"/>
      <c r="E979" s="474"/>
      <c r="F979" s="474"/>
      <c r="G979" s="696"/>
      <c r="H979" s="474"/>
      <c r="I979" s="696"/>
    </row>
    <row r="980" spans="1:9" ht="12.75">
      <c r="A980" s="998"/>
      <c r="B980" s="999"/>
      <c r="C980" s="474"/>
      <c r="D980" s="474"/>
      <c r="E980" s="474"/>
      <c r="F980" s="474"/>
      <c r="G980" s="696"/>
      <c r="H980" s="474"/>
      <c r="I980" s="696"/>
    </row>
    <row r="981" spans="1:9" ht="12.75">
      <c r="A981" s="998"/>
      <c r="B981" s="999"/>
      <c r="C981" s="474"/>
      <c r="D981" s="474"/>
      <c r="E981" s="474"/>
      <c r="F981" s="474"/>
      <c r="G981" s="696"/>
      <c r="H981" s="474"/>
      <c r="I981" s="696"/>
    </row>
    <row r="982" spans="1:9" ht="12.75">
      <c r="A982" s="998"/>
      <c r="B982" s="999"/>
      <c r="C982" s="474"/>
      <c r="D982" s="474"/>
      <c r="E982" s="474"/>
      <c r="F982" s="474"/>
      <c r="G982" s="696"/>
      <c r="H982" s="474"/>
      <c r="I982" s="696"/>
    </row>
    <row r="983" spans="1:9" ht="12.75">
      <c r="A983" s="998"/>
      <c r="B983" s="999"/>
      <c r="C983" s="474"/>
      <c r="D983" s="474"/>
      <c r="E983" s="474"/>
      <c r="F983" s="474"/>
      <c r="G983" s="696"/>
      <c r="H983" s="474"/>
      <c r="I983" s="696"/>
    </row>
    <row r="984" spans="1:9" ht="12.75">
      <c r="A984" s="998"/>
      <c r="B984" s="999"/>
      <c r="C984" s="474"/>
      <c r="D984" s="474"/>
      <c r="E984" s="474"/>
      <c r="F984" s="474"/>
      <c r="G984" s="696"/>
      <c r="H984" s="474"/>
      <c r="I984" s="696"/>
    </row>
    <row r="985" spans="1:9" ht="12.75">
      <c r="A985" s="998"/>
      <c r="B985" s="999"/>
      <c r="C985" s="474"/>
      <c r="D985" s="474"/>
      <c r="E985" s="474"/>
      <c r="F985" s="474"/>
      <c r="G985" s="696"/>
      <c r="H985" s="474"/>
      <c r="I985" s="696"/>
    </row>
    <row r="986" spans="1:9" ht="12.75">
      <c r="A986" s="998"/>
      <c r="B986" s="999"/>
      <c r="C986" s="474"/>
      <c r="D986" s="474"/>
      <c r="E986" s="474"/>
      <c r="F986" s="474"/>
      <c r="G986" s="696"/>
      <c r="H986" s="474"/>
      <c r="I986" s="696"/>
    </row>
    <row r="987" spans="1:9" ht="12.75">
      <c r="A987" s="998"/>
      <c r="B987" s="999"/>
      <c r="C987" s="474"/>
      <c r="D987" s="474"/>
      <c r="E987" s="474"/>
      <c r="F987" s="474"/>
      <c r="G987" s="696"/>
      <c r="H987" s="474"/>
      <c r="I987" s="696"/>
    </row>
    <row r="988" spans="1:9" ht="12.75">
      <c r="A988" s="998"/>
      <c r="B988" s="999"/>
      <c r="C988" s="474"/>
      <c r="D988" s="474"/>
      <c r="E988" s="474"/>
      <c r="F988" s="474"/>
      <c r="G988" s="696"/>
      <c r="H988" s="474"/>
      <c r="I988" s="696"/>
    </row>
    <row r="989" spans="1:9" ht="12.75">
      <c r="A989" s="998"/>
      <c r="B989" s="999"/>
      <c r="C989" s="474"/>
      <c r="D989" s="474"/>
      <c r="E989" s="474"/>
      <c r="F989" s="474"/>
      <c r="G989" s="696"/>
      <c r="H989" s="474"/>
      <c r="I989" s="696"/>
    </row>
    <row r="990" spans="1:9" ht="12.75">
      <c r="A990" s="998"/>
      <c r="B990" s="999"/>
      <c r="C990" s="474"/>
      <c r="D990" s="474"/>
      <c r="E990" s="474"/>
      <c r="F990" s="474"/>
      <c r="G990" s="696"/>
      <c r="H990" s="474"/>
      <c r="I990" s="696"/>
    </row>
    <row r="991" spans="1:9" ht="12.75">
      <c r="A991" s="998"/>
      <c r="B991" s="999"/>
      <c r="C991" s="474"/>
      <c r="D991" s="474"/>
      <c r="E991" s="474"/>
      <c r="F991" s="474"/>
      <c r="G991" s="696"/>
      <c r="H991" s="474"/>
      <c r="I991" s="696"/>
    </row>
    <row r="992" spans="1:9" ht="12.75">
      <c r="A992" s="998"/>
      <c r="B992" s="999"/>
      <c r="C992" s="474"/>
      <c r="D992" s="474"/>
      <c r="E992" s="474"/>
      <c r="F992" s="474"/>
      <c r="G992" s="696"/>
      <c r="H992" s="474"/>
      <c r="I992" s="696"/>
    </row>
    <row r="993" spans="1:9" ht="12.75">
      <c r="A993" s="998"/>
      <c r="B993" s="999"/>
      <c r="C993" s="474"/>
      <c r="D993" s="474"/>
      <c r="E993" s="474"/>
      <c r="F993" s="474"/>
      <c r="G993" s="696"/>
      <c r="H993" s="474"/>
      <c r="I993" s="696"/>
    </row>
    <row r="994" spans="1:9" ht="12.75">
      <c r="A994" s="998"/>
      <c r="B994" s="999"/>
      <c r="C994" s="474"/>
      <c r="D994" s="474"/>
      <c r="E994" s="474"/>
      <c r="F994" s="474"/>
      <c r="G994" s="696"/>
      <c r="H994" s="474"/>
      <c r="I994" s="696"/>
    </row>
    <row r="995" spans="1:9" ht="12.75">
      <c r="A995" s="998"/>
      <c r="B995" s="999"/>
      <c r="C995" s="474"/>
      <c r="D995" s="474"/>
      <c r="E995" s="474"/>
      <c r="F995" s="474"/>
      <c r="G995" s="696"/>
      <c r="H995" s="474"/>
      <c r="I995" s="696"/>
    </row>
    <row r="996" spans="1:9" ht="12.75">
      <c r="A996" s="998"/>
      <c r="B996" s="999"/>
      <c r="C996" s="474"/>
      <c r="D996" s="474"/>
      <c r="E996" s="474"/>
      <c r="F996" s="474"/>
      <c r="G996" s="696"/>
      <c r="H996" s="474"/>
      <c r="I996" s="696"/>
    </row>
    <row r="997" spans="1:9" ht="12.75">
      <c r="A997" s="998"/>
      <c r="B997" s="999"/>
      <c r="C997" s="474"/>
      <c r="D997" s="474"/>
      <c r="E997" s="474"/>
      <c r="F997" s="474"/>
      <c r="G997" s="696"/>
      <c r="H997" s="474"/>
      <c r="I997" s="696"/>
    </row>
    <row r="998" spans="1:9" ht="12.75">
      <c r="A998" s="998"/>
      <c r="B998" s="999"/>
      <c r="C998" s="474"/>
      <c r="D998" s="474"/>
      <c r="E998" s="474"/>
      <c r="F998" s="474"/>
      <c r="G998" s="696"/>
      <c r="H998" s="474"/>
      <c r="I998" s="696"/>
    </row>
    <row r="999" spans="1:9" ht="12.75">
      <c r="A999" s="998"/>
      <c r="B999" s="999"/>
      <c r="C999" s="474"/>
      <c r="D999" s="474"/>
      <c r="E999" s="474"/>
      <c r="F999" s="474"/>
      <c r="G999" s="696"/>
      <c r="H999" s="474"/>
      <c r="I999" s="696"/>
    </row>
    <row r="1000" spans="1:9" ht="12.75">
      <c r="A1000" s="998"/>
      <c r="B1000" s="999"/>
      <c r="C1000" s="474"/>
      <c r="D1000" s="474"/>
      <c r="E1000" s="474"/>
      <c r="F1000" s="474"/>
      <c r="G1000" s="696"/>
      <c r="H1000" s="474"/>
      <c r="I1000" s="696"/>
    </row>
    <row r="1001" spans="1:9" ht="12.75">
      <c r="A1001" s="998"/>
      <c r="B1001" s="999"/>
      <c r="C1001" s="474"/>
      <c r="D1001" s="474"/>
      <c r="E1001" s="474"/>
      <c r="F1001" s="474"/>
      <c r="G1001" s="696"/>
      <c r="H1001" s="474"/>
      <c r="I1001" s="696"/>
    </row>
    <row r="1002" spans="1:9" ht="12.75">
      <c r="A1002" s="998"/>
      <c r="B1002" s="999"/>
      <c r="C1002" s="474"/>
      <c r="D1002" s="474"/>
      <c r="E1002" s="474"/>
      <c r="F1002" s="474"/>
      <c r="G1002" s="696"/>
      <c r="H1002" s="474"/>
      <c r="I1002" s="696"/>
    </row>
    <row r="1003" spans="1:9" ht="12.75">
      <c r="A1003" s="998"/>
      <c r="B1003" s="999"/>
      <c r="C1003" s="474"/>
      <c r="D1003" s="474"/>
      <c r="E1003" s="474"/>
      <c r="F1003" s="474"/>
      <c r="G1003" s="696"/>
      <c r="H1003" s="474"/>
      <c r="I1003" s="696"/>
    </row>
    <row r="1004" spans="1:9" ht="12.75">
      <c r="A1004" s="998"/>
      <c r="B1004" s="999"/>
      <c r="C1004" s="474"/>
      <c r="D1004" s="474"/>
      <c r="E1004" s="474"/>
      <c r="F1004" s="474"/>
      <c r="G1004" s="696"/>
      <c r="H1004" s="474"/>
      <c r="I1004" s="696"/>
    </row>
    <row r="1005" spans="1:9" ht="12.75">
      <c r="A1005" s="998"/>
      <c r="B1005" s="999"/>
      <c r="C1005" s="474"/>
      <c r="D1005" s="474"/>
      <c r="E1005" s="474"/>
      <c r="F1005" s="474"/>
      <c r="G1005" s="696"/>
      <c r="H1005" s="474"/>
      <c r="I1005" s="696"/>
    </row>
    <row r="1006" spans="1:9" ht="12.75">
      <c r="A1006" s="998"/>
      <c r="B1006" s="999"/>
      <c r="C1006" s="474"/>
      <c r="D1006" s="474"/>
      <c r="E1006" s="474"/>
      <c r="F1006" s="474"/>
      <c r="G1006" s="696"/>
      <c r="H1006" s="474"/>
      <c r="I1006" s="696"/>
    </row>
    <row r="1007" spans="1:9" ht="12.75">
      <c r="A1007" s="998"/>
      <c r="B1007" s="999"/>
      <c r="C1007" s="474"/>
      <c r="D1007" s="474"/>
      <c r="E1007" s="474"/>
      <c r="F1007" s="474"/>
      <c r="G1007" s="696"/>
      <c r="H1007" s="474"/>
      <c r="I1007" s="696"/>
    </row>
    <row r="1008" spans="1:9" ht="12.75">
      <c r="A1008" s="998"/>
      <c r="B1008" s="999"/>
      <c r="C1008" s="474"/>
      <c r="D1008" s="474"/>
      <c r="E1008" s="474"/>
      <c r="F1008" s="474"/>
      <c r="G1008" s="696"/>
      <c r="H1008" s="474"/>
      <c r="I1008" s="696"/>
    </row>
    <row r="1009" spans="1:9" ht="12.75">
      <c r="A1009" s="998"/>
      <c r="B1009" s="999"/>
      <c r="C1009" s="474"/>
      <c r="D1009" s="474"/>
      <c r="E1009" s="474"/>
      <c r="F1009" s="474"/>
      <c r="G1009" s="696"/>
      <c r="H1009" s="474"/>
      <c r="I1009" s="696"/>
    </row>
    <row r="1010" spans="1:9" ht="12.75">
      <c r="A1010" s="998"/>
      <c r="B1010" s="999"/>
      <c r="C1010" s="474"/>
      <c r="D1010" s="474"/>
      <c r="E1010" s="474"/>
      <c r="F1010" s="474"/>
      <c r="G1010" s="696"/>
      <c r="H1010" s="474"/>
      <c r="I1010" s="696"/>
    </row>
    <row r="1011" spans="1:9" ht="12.75">
      <c r="A1011" s="998"/>
      <c r="B1011" s="999"/>
      <c r="C1011" s="474"/>
      <c r="D1011" s="474"/>
      <c r="E1011" s="474"/>
      <c r="F1011" s="474"/>
      <c r="G1011" s="696"/>
      <c r="H1011" s="474"/>
      <c r="I1011" s="696"/>
    </row>
    <row r="1012" spans="1:9" ht="12.75">
      <c r="A1012" s="998"/>
      <c r="B1012" s="999"/>
      <c r="C1012" s="474"/>
      <c r="D1012" s="474"/>
      <c r="E1012" s="474"/>
      <c r="F1012" s="474"/>
      <c r="G1012" s="696"/>
      <c r="H1012" s="474"/>
      <c r="I1012" s="696"/>
    </row>
    <row r="1013" spans="1:9" ht="12.75">
      <c r="A1013" s="998"/>
      <c r="B1013" s="999"/>
      <c r="C1013" s="474"/>
      <c r="D1013" s="474"/>
      <c r="E1013" s="474"/>
      <c r="F1013" s="474"/>
      <c r="G1013" s="696"/>
      <c r="H1013" s="474"/>
      <c r="I1013" s="696"/>
    </row>
    <row r="1014" spans="1:9" ht="12.75">
      <c r="A1014" s="998"/>
      <c r="B1014" s="999"/>
      <c r="C1014" s="474"/>
      <c r="D1014" s="474"/>
      <c r="E1014" s="474"/>
      <c r="F1014" s="474"/>
      <c r="G1014" s="696"/>
      <c r="H1014" s="474"/>
      <c r="I1014" s="696"/>
    </row>
    <row r="1015" spans="1:9" ht="12.75">
      <c r="A1015" s="998"/>
      <c r="B1015" s="999"/>
      <c r="C1015" s="474"/>
      <c r="D1015" s="474"/>
      <c r="E1015" s="474"/>
      <c r="F1015" s="474"/>
      <c r="G1015" s="696"/>
      <c r="H1015" s="474"/>
      <c r="I1015" s="696"/>
    </row>
    <row r="1016" spans="1:9" ht="12.75">
      <c r="A1016" s="998"/>
      <c r="B1016" s="999"/>
      <c r="C1016" s="474"/>
      <c r="D1016" s="474"/>
      <c r="E1016" s="474"/>
      <c r="F1016" s="474"/>
      <c r="G1016" s="696"/>
      <c r="H1016" s="474"/>
      <c r="I1016" s="696"/>
    </row>
    <row r="1017" spans="1:9" ht="12.75">
      <c r="A1017" s="998"/>
      <c r="B1017" s="999"/>
      <c r="C1017" s="474"/>
      <c r="D1017" s="474"/>
      <c r="E1017" s="474"/>
      <c r="F1017" s="474"/>
      <c r="G1017" s="696"/>
      <c r="H1017" s="474"/>
      <c r="I1017" s="696"/>
    </row>
    <row r="1018" spans="1:9" ht="12.75">
      <c r="A1018" s="998"/>
      <c r="B1018" s="999"/>
      <c r="C1018" s="474"/>
      <c r="D1018" s="474"/>
      <c r="E1018" s="474"/>
      <c r="F1018" s="474"/>
      <c r="G1018" s="696"/>
      <c r="H1018" s="474"/>
      <c r="I1018" s="696"/>
    </row>
    <row r="1019" spans="1:9" ht="12.75">
      <c r="A1019" s="998"/>
      <c r="B1019" s="999"/>
      <c r="C1019" s="474"/>
      <c r="D1019" s="474"/>
      <c r="E1019" s="474"/>
      <c r="F1019" s="474"/>
      <c r="G1019" s="696"/>
      <c r="H1019" s="474"/>
      <c r="I1019" s="696"/>
    </row>
    <row r="1020" spans="1:9" ht="12.75">
      <c r="A1020" s="998"/>
      <c r="B1020" s="999"/>
      <c r="C1020" s="474"/>
      <c r="D1020" s="474"/>
      <c r="E1020" s="474"/>
      <c r="F1020" s="474"/>
      <c r="G1020" s="696"/>
      <c r="H1020" s="474"/>
      <c r="I1020" s="696"/>
    </row>
    <row r="1021" spans="1:9" ht="12.75">
      <c r="A1021" s="998"/>
      <c r="B1021" s="999"/>
      <c r="C1021" s="474"/>
      <c r="D1021" s="474"/>
      <c r="E1021" s="474"/>
      <c r="F1021" s="474"/>
      <c r="G1021" s="696"/>
      <c r="H1021" s="474"/>
      <c r="I1021" s="696"/>
    </row>
    <row r="1022" spans="1:9" ht="12.75">
      <c r="A1022" s="998"/>
      <c r="B1022" s="999"/>
      <c r="C1022" s="474"/>
      <c r="D1022" s="474"/>
      <c r="E1022" s="474"/>
      <c r="F1022" s="474"/>
      <c r="G1022" s="696"/>
      <c r="H1022" s="474"/>
      <c r="I1022" s="696"/>
    </row>
    <row r="1023" spans="1:9" ht="12.75">
      <c r="A1023" s="998"/>
      <c r="B1023" s="999"/>
      <c r="C1023" s="474"/>
      <c r="D1023" s="474"/>
      <c r="E1023" s="474"/>
      <c r="F1023" s="474"/>
      <c r="G1023" s="696"/>
      <c r="H1023" s="474"/>
      <c r="I1023" s="696"/>
    </row>
    <row r="1024" spans="1:9" ht="12.75">
      <c r="A1024" s="998"/>
      <c r="B1024" s="999"/>
      <c r="C1024" s="474"/>
      <c r="D1024" s="474"/>
      <c r="E1024" s="474"/>
      <c r="F1024" s="474"/>
      <c r="G1024" s="696"/>
      <c r="H1024" s="474"/>
      <c r="I1024" s="696"/>
    </row>
    <row r="1025" spans="1:9" ht="12.75">
      <c r="A1025" s="998"/>
      <c r="B1025" s="999"/>
      <c r="C1025" s="474"/>
      <c r="D1025" s="474"/>
      <c r="E1025" s="474"/>
      <c r="F1025" s="474"/>
      <c r="G1025" s="696"/>
      <c r="H1025" s="474"/>
      <c r="I1025" s="696"/>
    </row>
    <row r="1026" spans="1:9" ht="12.75">
      <c r="A1026" s="998"/>
      <c r="B1026" s="999"/>
      <c r="C1026" s="474"/>
      <c r="D1026" s="474"/>
      <c r="E1026" s="474"/>
      <c r="F1026" s="474"/>
      <c r="G1026" s="696"/>
      <c r="H1026" s="474"/>
      <c r="I1026" s="696"/>
    </row>
    <row r="1027" spans="1:9" ht="12.75">
      <c r="A1027" s="998"/>
      <c r="B1027" s="999"/>
      <c r="C1027" s="474"/>
      <c r="D1027" s="474"/>
      <c r="E1027" s="474"/>
      <c r="F1027" s="474"/>
      <c r="G1027" s="696"/>
      <c r="H1027" s="474"/>
      <c r="I1027" s="696"/>
    </row>
    <row r="1028" spans="1:9" ht="12.75">
      <c r="A1028" s="998"/>
      <c r="B1028" s="999"/>
      <c r="C1028" s="474"/>
      <c r="D1028" s="474"/>
      <c r="E1028" s="474"/>
      <c r="F1028" s="474"/>
      <c r="G1028" s="696"/>
      <c r="H1028" s="474"/>
      <c r="I1028" s="696"/>
    </row>
    <row r="1029" spans="1:9" ht="12.75">
      <c r="A1029" s="998"/>
      <c r="B1029" s="999"/>
      <c r="C1029" s="474"/>
      <c r="D1029" s="474"/>
      <c r="E1029" s="474"/>
      <c r="F1029" s="474"/>
      <c r="G1029" s="696"/>
      <c r="H1029" s="474"/>
      <c r="I1029" s="696"/>
    </row>
    <row r="1030" spans="1:9" ht="12.75">
      <c r="A1030" s="998"/>
      <c r="B1030" s="999"/>
      <c r="C1030" s="474"/>
      <c r="D1030" s="474"/>
      <c r="E1030" s="474"/>
      <c r="F1030" s="474"/>
      <c r="G1030" s="696"/>
      <c r="H1030" s="474"/>
      <c r="I1030" s="696"/>
    </row>
    <row r="1031" spans="1:9" ht="12.75">
      <c r="A1031" s="998"/>
      <c r="B1031" s="999"/>
      <c r="C1031" s="474"/>
      <c r="D1031" s="474"/>
      <c r="E1031" s="474"/>
      <c r="F1031" s="474"/>
      <c r="G1031" s="696"/>
      <c r="H1031" s="474"/>
      <c r="I1031" s="696"/>
    </row>
    <row r="1032" spans="1:9" ht="12.75">
      <c r="A1032" s="998"/>
      <c r="B1032" s="999"/>
      <c r="C1032" s="474"/>
      <c r="D1032" s="474"/>
      <c r="E1032" s="474"/>
      <c r="F1032" s="474"/>
      <c r="G1032" s="696"/>
      <c r="H1032" s="474"/>
      <c r="I1032" s="696"/>
    </row>
    <row r="1033" spans="1:9" ht="12.75">
      <c r="A1033" s="998"/>
      <c r="B1033" s="999"/>
      <c r="C1033" s="474"/>
      <c r="D1033" s="474"/>
      <c r="E1033" s="474"/>
      <c r="F1033" s="474"/>
      <c r="G1033" s="696"/>
      <c r="H1033" s="474"/>
      <c r="I1033" s="696"/>
    </row>
    <row r="1034" spans="1:9" ht="12.75">
      <c r="A1034" s="998"/>
      <c r="B1034" s="999"/>
      <c r="C1034" s="474"/>
      <c r="D1034" s="474"/>
      <c r="E1034" s="474"/>
      <c r="F1034" s="474"/>
      <c r="G1034" s="696"/>
      <c r="H1034" s="474"/>
      <c r="I1034" s="696"/>
    </row>
    <row r="1035" spans="1:9" ht="12.75">
      <c r="A1035" s="998"/>
      <c r="B1035" s="999"/>
      <c r="C1035" s="474"/>
      <c r="D1035" s="474"/>
      <c r="E1035" s="474"/>
      <c r="F1035" s="474"/>
      <c r="G1035" s="696"/>
      <c r="H1035" s="474"/>
      <c r="I1035" s="696"/>
    </row>
    <row r="1036" spans="1:9" ht="12.75">
      <c r="A1036" s="998"/>
      <c r="B1036" s="999"/>
      <c r="C1036" s="474"/>
      <c r="D1036" s="474"/>
      <c r="E1036" s="474"/>
      <c r="F1036" s="474"/>
      <c r="G1036" s="696"/>
      <c r="H1036" s="474"/>
      <c r="I1036" s="696"/>
    </row>
    <row r="1037" spans="1:9" ht="12.75">
      <c r="A1037" s="998"/>
      <c r="B1037" s="999"/>
      <c r="C1037" s="474"/>
      <c r="D1037" s="474"/>
      <c r="E1037" s="474"/>
      <c r="F1037" s="474"/>
      <c r="G1037" s="696"/>
      <c r="H1037" s="474"/>
      <c r="I1037" s="696"/>
    </row>
    <row r="1038" spans="1:9" ht="12.75">
      <c r="A1038" s="998"/>
      <c r="B1038" s="999"/>
      <c r="C1038" s="474"/>
      <c r="D1038" s="474"/>
      <c r="E1038" s="474"/>
      <c r="F1038" s="474"/>
      <c r="G1038" s="696"/>
      <c r="H1038" s="474"/>
      <c r="I1038" s="696"/>
    </row>
    <row r="1039" spans="1:9" ht="12.75">
      <c r="A1039" s="998"/>
      <c r="B1039" s="999"/>
      <c r="C1039" s="474"/>
      <c r="D1039" s="474"/>
      <c r="E1039" s="474"/>
      <c r="F1039" s="474"/>
      <c r="G1039" s="696"/>
      <c r="H1039" s="474"/>
      <c r="I1039" s="696"/>
    </row>
    <row r="1040" spans="1:9" ht="12.75">
      <c r="A1040" s="998"/>
      <c r="B1040" s="999"/>
      <c r="C1040" s="474"/>
      <c r="D1040" s="474"/>
      <c r="E1040" s="474"/>
      <c r="F1040" s="474"/>
      <c r="G1040" s="696"/>
      <c r="H1040" s="474"/>
      <c r="I1040" s="696"/>
    </row>
    <row r="1041" spans="1:9" ht="12.75">
      <c r="A1041" s="998"/>
      <c r="B1041" s="999"/>
      <c r="C1041" s="474"/>
      <c r="D1041" s="474"/>
      <c r="E1041" s="474"/>
      <c r="F1041" s="474"/>
      <c r="G1041" s="696"/>
      <c r="H1041" s="474"/>
      <c r="I1041" s="696"/>
    </row>
    <row r="1042" spans="1:9" ht="12.75">
      <c r="A1042" s="998"/>
      <c r="B1042" s="999"/>
      <c r="C1042" s="474"/>
      <c r="D1042" s="474"/>
      <c r="E1042" s="474"/>
      <c r="F1042" s="474"/>
      <c r="G1042" s="696"/>
      <c r="H1042" s="474"/>
      <c r="I1042" s="696"/>
    </row>
    <row r="1043" spans="1:9" ht="12.75">
      <c r="A1043" s="998"/>
      <c r="B1043" s="999"/>
      <c r="C1043" s="474"/>
      <c r="D1043" s="474"/>
      <c r="E1043" s="474"/>
      <c r="F1043" s="474"/>
      <c r="G1043" s="696"/>
      <c r="H1043" s="474"/>
      <c r="I1043" s="696"/>
    </row>
    <row r="1044" spans="1:9" ht="12.75">
      <c r="A1044" s="998"/>
      <c r="B1044" s="999"/>
      <c r="C1044" s="474"/>
      <c r="D1044" s="474"/>
      <c r="E1044" s="474"/>
      <c r="F1044" s="474"/>
      <c r="G1044" s="696"/>
      <c r="H1044" s="474"/>
      <c r="I1044" s="696"/>
    </row>
    <row r="1045" spans="1:9" ht="12.75">
      <c r="A1045" s="998"/>
      <c r="B1045" s="999"/>
      <c r="C1045" s="474"/>
      <c r="D1045" s="474"/>
      <c r="E1045" s="474"/>
      <c r="F1045" s="474"/>
      <c r="G1045" s="696"/>
      <c r="H1045" s="474"/>
      <c r="I1045" s="696"/>
    </row>
    <row r="1046" spans="1:9" ht="12.75">
      <c r="A1046" s="998"/>
      <c r="B1046" s="999"/>
      <c r="C1046" s="474"/>
      <c r="D1046" s="474"/>
      <c r="E1046" s="474"/>
      <c r="F1046" s="474"/>
      <c r="G1046" s="696"/>
      <c r="H1046" s="474"/>
      <c r="I1046" s="696"/>
    </row>
    <row r="1047" spans="1:9" ht="12.75">
      <c r="A1047" s="998"/>
      <c r="B1047" s="999"/>
      <c r="C1047" s="474"/>
      <c r="D1047" s="474"/>
      <c r="E1047" s="474"/>
      <c r="F1047" s="474"/>
      <c r="G1047" s="696"/>
      <c r="H1047" s="474"/>
      <c r="I1047" s="696"/>
    </row>
    <row r="1048" spans="1:9" ht="12.75">
      <c r="A1048" s="998"/>
      <c r="B1048" s="999"/>
      <c r="C1048" s="474"/>
      <c r="D1048" s="474"/>
      <c r="E1048" s="474"/>
      <c r="F1048" s="474"/>
      <c r="G1048" s="696"/>
      <c r="H1048" s="474"/>
      <c r="I1048" s="696"/>
    </row>
    <row r="1049" spans="1:9" ht="12.75">
      <c r="A1049" s="998"/>
      <c r="B1049" s="999"/>
      <c r="C1049" s="474"/>
      <c r="D1049" s="474"/>
      <c r="E1049" s="474"/>
      <c r="F1049" s="474"/>
      <c r="G1049" s="696"/>
      <c r="H1049" s="474"/>
      <c r="I1049" s="696"/>
    </row>
    <row r="1050" spans="1:9" ht="12.75">
      <c r="A1050" s="998"/>
      <c r="B1050" s="999"/>
      <c r="C1050" s="474"/>
      <c r="D1050" s="474"/>
      <c r="E1050" s="474"/>
      <c r="F1050" s="474"/>
      <c r="G1050" s="696"/>
      <c r="H1050" s="474"/>
      <c r="I1050" s="696"/>
    </row>
    <row r="1051" spans="1:9" ht="12.75">
      <c r="A1051" s="998"/>
      <c r="B1051" s="999"/>
      <c r="C1051" s="474"/>
      <c r="D1051" s="474"/>
      <c r="E1051" s="474"/>
      <c r="F1051" s="474"/>
      <c r="G1051" s="696"/>
      <c r="H1051" s="474"/>
      <c r="I1051" s="696"/>
    </row>
    <row r="1052" spans="1:9" ht="12.75">
      <c r="A1052" s="998"/>
      <c r="B1052" s="999"/>
      <c r="C1052" s="474"/>
      <c r="D1052" s="474"/>
      <c r="E1052" s="474"/>
      <c r="F1052" s="474"/>
      <c r="G1052" s="696"/>
      <c r="H1052" s="474"/>
      <c r="I1052" s="696"/>
    </row>
    <row r="1053" spans="1:9" ht="12.75">
      <c r="A1053" s="998"/>
      <c r="B1053" s="999"/>
      <c r="C1053" s="474"/>
      <c r="D1053" s="474"/>
      <c r="E1053" s="474"/>
      <c r="F1053" s="474"/>
      <c r="G1053" s="696"/>
      <c r="H1053" s="474"/>
      <c r="I1053" s="696"/>
    </row>
    <row r="1054" spans="1:9" ht="12.75">
      <c r="A1054" s="998"/>
      <c r="B1054" s="999"/>
      <c r="C1054" s="474"/>
      <c r="D1054" s="474"/>
      <c r="E1054" s="474"/>
      <c r="F1054" s="474"/>
      <c r="G1054" s="696"/>
      <c r="H1054" s="474"/>
      <c r="I1054" s="696"/>
    </row>
    <row r="1055" spans="1:9" ht="12.75">
      <c r="A1055" s="998"/>
      <c r="B1055" s="999"/>
      <c r="C1055" s="474"/>
      <c r="D1055" s="474"/>
      <c r="E1055" s="474"/>
      <c r="F1055" s="474"/>
      <c r="G1055" s="696"/>
      <c r="H1055" s="474"/>
      <c r="I1055" s="696"/>
    </row>
    <row r="1056" spans="1:9" ht="12.75">
      <c r="A1056" s="998"/>
      <c r="B1056" s="999"/>
      <c r="C1056" s="474"/>
      <c r="D1056" s="474"/>
      <c r="E1056" s="474"/>
      <c r="F1056" s="474"/>
      <c r="G1056" s="696"/>
      <c r="H1056" s="474"/>
      <c r="I1056" s="696"/>
    </row>
    <row r="1057" spans="1:9" ht="12.75">
      <c r="A1057" s="998"/>
      <c r="B1057" s="999"/>
      <c r="C1057" s="474"/>
      <c r="D1057" s="474"/>
      <c r="E1057" s="474"/>
      <c r="F1057" s="474"/>
      <c r="G1057" s="696"/>
      <c r="H1057" s="474"/>
      <c r="I1057" s="696"/>
    </row>
    <row r="1058" spans="1:9" ht="12.75">
      <c r="A1058" s="998"/>
      <c r="B1058" s="999"/>
      <c r="C1058" s="474"/>
      <c r="D1058" s="474"/>
      <c r="E1058" s="474"/>
      <c r="F1058" s="474"/>
      <c r="G1058" s="696"/>
      <c r="H1058" s="474"/>
      <c r="I1058" s="696"/>
    </row>
    <row r="1059" spans="1:9" ht="12.75">
      <c r="A1059" s="998"/>
      <c r="B1059" s="999"/>
      <c r="C1059" s="474"/>
      <c r="D1059" s="474"/>
      <c r="E1059" s="474"/>
      <c r="F1059" s="474"/>
      <c r="G1059" s="696"/>
      <c r="H1059" s="474"/>
      <c r="I1059" s="696"/>
    </row>
    <row r="1060" spans="1:9" ht="12.75">
      <c r="A1060" s="998"/>
      <c r="B1060" s="999"/>
      <c r="C1060" s="474"/>
      <c r="D1060" s="474"/>
      <c r="E1060" s="474"/>
      <c r="F1060" s="474"/>
      <c r="G1060" s="696"/>
      <c r="H1060" s="474"/>
      <c r="I1060" s="696"/>
    </row>
    <row r="1061" spans="1:9" ht="12.75">
      <c r="A1061" s="998"/>
      <c r="B1061" s="999"/>
      <c r="C1061" s="474"/>
      <c r="D1061" s="474"/>
      <c r="E1061" s="474"/>
      <c r="F1061" s="474"/>
      <c r="G1061" s="696"/>
      <c r="H1061" s="474"/>
      <c r="I1061" s="696"/>
    </row>
    <row r="1062" spans="1:9" ht="12.75">
      <c r="A1062" s="998"/>
      <c r="B1062" s="999"/>
      <c r="C1062" s="474"/>
      <c r="D1062" s="474"/>
      <c r="E1062" s="474"/>
      <c r="F1062" s="474"/>
      <c r="G1062" s="696"/>
      <c r="H1062" s="474"/>
      <c r="I1062" s="696"/>
    </row>
    <row r="1063" spans="1:9" ht="12.75">
      <c r="A1063" s="998"/>
      <c r="B1063" s="999"/>
      <c r="C1063" s="474"/>
      <c r="D1063" s="474"/>
      <c r="E1063" s="474"/>
      <c r="F1063" s="474"/>
      <c r="G1063" s="696"/>
      <c r="H1063" s="474"/>
      <c r="I1063" s="696"/>
    </row>
    <row r="1064" spans="1:9" ht="12.75">
      <c r="A1064" s="998"/>
      <c r="B1064" s="999"/>
      <c r="C1064" s="474"/>
      <c r="D1064" s="474"/>
      <c r="E1064" s="474"/>
      <c r="F1064" s="474"/>
      <c r="G1064" s="696"/>
      <c r="H1064" s="474"/>
      <c r="I1064" s="696"/>
    </row>
    <row r="1065" spans="1:9" ht="12.75">
      <c r="A1065" s="998"/>
      <c r="B1065" s="999"/>
      <c r="C1065" s="474"/>
      <c r="D1065" s="474"/>
      <c r="E1065" s="474"/>
      <c r="F1065" s="474"/>
      <c r="G1065" s="696"/>
      <c r="H1065" s="474"/>
      <c r="I1065" s="696"/>
    </row>
    <row r="1066" spans="1:9" ht="12.75">
      <c r="A1066" s="998"/>
      <c r="B1066" s="999"/>
      <c r="C1066" s="474"/>
      <c r="D1066" s="474"/>
      <c r="E1066" s="474"/>
      <c r="F1066" s="474"/>
      <c r="G1066" s="696"/>
      <c r="H1066" s="474"/>
      <c r="I1066" s="696"/>
    </row>
    <row r="1067" spans="1:9" ht="12.75">
      <c r="A1067" s="998"/>
      <c r="B1067" s="999"/>
      <c r="C1067" s="474"/>
      <c r="D1067" s="474"/>
      <c r="E1067" s="474"/>
      <c r="F1067" s="474"/>
      <c r="G1067" s="696"/>
      <c r="H1067" s="474"/>
      <c r="I1067" s="696"/>
    </row>
    <row r="1068" spans="1:9" ht="12.75">
      <c r="A1068" s="998"/>
      <c r="B1068" s="999"/>
      <c r="C1068" s="474"/>
      <c r="D1068" s="474"/>
      <c r="E1068" s="474"/>
      <c r="F1068" s="474"/>
      <c r="G1068" s="696"/>
      <c r="H1068" s="474"/>
      <c r="I1068" s="696"/>
    </row>
    <row r="1069" spans="1:9" ht="12.75">
      <c r="A1069" s="998"/>
      <c r="B1069" s="999"/>
      <c r="C1069" s="474"/>
      <c r="D1069" s="474"/>
      <c r="E1069" s="474"/>
      <c r="F1069" s="474"/>
      <c r="G1069" s="696"/>
      <c r="H1069" s="474"/>
      <c r="I1069" s="696"/>
    </row>
    <row r="1070" spans="1:9" ht="12.75">
      <c r="A1070" s="998"/>
      <c r="B1070" s="999"/>
      <c r="C1070" s="474"/>
      <c r="D1070" s="474"/>
      <c r="E1070" s="474"/>
      <c r="F1070" s="474"/>
      <c r="G1070" s="696"/>
      <c r="H1070" s="474"/>
      <c r="I1070" s="696"/>
    </row>
    <row r="1071" spans="1:9" ht="12.75">
      <c r="A1071" s="998"/>
      <c r="B1071" s="999"/>
      <c r="C1071" s="474"/>
      <c r="D1071" s="474"/>
      <c r="E1071" s="474"/>
      <c r="F1071" s="474"/>
      <c r="G1071" s="696"/>
      <c r="H1071" s="474"/>
      <c r="I1071" s="696"/>
    </row>
    <row r="1072" spans="1:9" ht="12.75">
      <c r="A1072" s="998"/>
      <c r="B1072" s="999"/>
      <c r="C1072" s="474"/>
      <c r="D1072" s="474"/>
      <c r="E1072" s="474"/>
      <c r="F1072" s="474"/>
      <c r="G1072" s="696"/>
      <c r="H1072" s="474"/>
      <c r="I1072" s="696"/>
    </row>
    <row r="1073" spans="1:9" ht="12.75">
      <c r="A1073" s="998"/>
      <c r="B1073" s="999"/>
      <c r="C1073" s="474"/>
      <c r="D1073" s="474"/>
      <c r="E1073" s="474"/>
      <c r="F1073" s="474"/>
      <c r="G1073" s="696"/>
      <c r="H1073" s="474"/>
      <c r="I1073" s="696"/>
    </row>
    <row r="1074" spans="1:9" ht="12.75">
      <c r="A1074" s="998"/>
      <c r="B1074" s="999"/>
      <c r="C1074" s="474"/>
      <c r="D1074" s="474"/>
      <c r="E1074" s="474"/>
      <c r="F1074" s="474"/>
      <c r="G1074" s="696"/>
      <c r="H1074" s="474"/>
      <c r="I1074" s="696"/>
    </row>
    <row r="1075" spans="1:9" ht="12.75">
      <c r="A1075" s="998"/>
      <c r="B1075" s="999"/>
      <c r="C1075" s="474"/>
      <c r="D1075" s="474"/>
      <c r="E1075" s="474"/>
      <c r="F1075" s="474"/>
      <c r="G1075" s="696"/>
      <c r="H1075" s="474"/>
      <c r="I1075" s="696"/>
    </row>
    <row r="1076" spans="1:9" ht="12.75">
      <c r="A1076" s="998"/>
      <c r="B1076" s="999"/>
      <c r="C1076" s="474"/>
      <c r="D1076" s="474"/>
      <c r="E1076" s="474"/>
      <c r="F1076" s="474"/>
      <c r="G1076" s="696"/>
      <c r="H1076" s="474"/>
      <c r="I1076" s="696"/>
    </row>
    <row r="1077" spans="1:9" ht="12.75">
      <c r="A1077" s="998"/>
      <c r="B1077" s="999"/>
      <c r="C1077" s="474"/>
      <c r="D1077" s="474"/>
      <c r="E1077" s="474"/>
      <c r="F1077" s="474"/>
      <c r="G1077" s="696"/>
      <c r="H1077" s="474"/>
      <c r="I1077" s="696"/>
    </row>
    <row r="1078" spans="1:9" ht="12.75">
      <c r="A1078" s="998"/>
      <c r="B1078" s="999"/>
      <c r="C1078" s="474"/>
      <c r="D1078" s="474"/>
      <c r="E1078" s="474"/>
      <c r="F1078" s="474"/>
      <c r="G1078" s="696"/>
      <c r="H1078" s="474"/>
      <c r="I1078" s="696"/>
    </row>
    <row r="1079" spans="1:9" ht="12.75">
      <c r="A1079" s="998"/>
      <c r="B1079" s="999"/>
      <c r="C1079" s="474"/>
      <c r="D1079" s="474"/>
      <c r="E1079" s="474"/>
      <c r="F1079" s="474"/>
      <c r="G1079" s="696"/>
      <c r="H1079" s="474"/>
      <c r="I1079" s="696"/>
    </row>
    <row r="1080" spans="1:9" ht="12.75">
      <c r="A1080" s="998"/>
      <c r="B1080" s="999"/>
      <c r="C1080" s="474"/>
      <c r="D1080" s="474"/>
      <c r="E1080" s="474"/>
      <c r="F1080" s="474"/>
      <c r="G1080" s="696"/>
      <c r="H1080" s="474"/>
      <c r="I1080" s="696"/>
    </row>
    <row r="1081" spans="1:9" ht="12.75">
      <c r="A1081" s="998"/>
      <c r="B1081" s="999"/>
      <c r="C1081" s="474"/>
      <c r="D1081" s="474"/>
      <c r="E1081" s="474"/>
      <c r="F1081" s="474"/>
      <c r="G1081" s="696"/>
      <c r="H1081" s="474"/>
      <c r="I1081" s="696"/>
    </row>
    <row r="1082" spans="1:9" ht="12.75">
      <c r="A1082" s="998"/>
      <c r="B1082" s="999"/>
      <c r="C1082" s="474"/>
      <c r="D1082" s="474"/>
      <c r="E1082" s="474"/>
      <c r="F1082" s="474"/>
      <c r="G1082" s="696"/>
      <c r="H1082" s="474"/>
      <c r="I1082" s="696"/>
    </row>
    <row r="1083" spans="1:9" ht="12.75">
      <c r="A1083" s="998"/>
      <c r="B1083" s="999"/>
      <c r="C1083" s="474"/>
      <c r="D1083" s="474"/>
      <c r="E1083" s="474"/>
      <c r="F1083" s="474"/>
      <c r="G1083" s="696"/>
      <c r="H1083" s="474"/>
      <c r="I1083" s="696"/>
    </row>
    <row r="1084" spans="1:9" ht="12.75">
      <c r="A1084" s="998"/>
      <c r="B1084" s="999"/>
      <c r="C1084" s="474"/>
      <c r="D1084" s="474"/>
      <c r="E1084" s="474"/>
      <c r="F1084" s="474"/>
      <c r="G1084" s="696"/>
      <c r="H1084" s="474"/>
      <c r="I1084" s="696"/>
    </row>
    <row r="1085" spans="1:9" ht="12.75">
      <c r="A1085" s="998"/>
      <c r="B1085" s="999"/>
      <c r="C1085" s="474"/>
      <c r="D1085" s="474"/>
      <c r="E1085" s="474"/>
      <c r="F1085" s="474"/>
      <c r="G1085" s="696"/>
      <c r="H1085" s="474"/>
      <c r="I1085" s="696"/>
    </row>
    <row r="1086" spans="1:9" ht="12.75">
      <c r="A1086" s="998"/>
      <c r="B1086" s="999"/>
      <c r="C1086" s="474"/>
      <c r="D1086" s="474"/>
      <c r="E1086" s="474"/>
      <c r="F1086" s="474"/>
      <c r="G1086" s="696"/>
      <c r="H1086" s="474"/>
      <c r="I1086" s="696"/>
    </row>
    <row r="1087" spans="1:9" ht="12.75">
      <c r="A1087" s="998"/>
      <c r="B1087" s="999"/>
      <c r="C1087" s="474"/>
      <c r="D1087" s="474"/>
      <c r="E1087" s="474"/>
      <c r="F1087" s="474"/>
      <c r="G1087" s="696"/>
      <c r="H1087" s="474"/>
      <c r="I1087" s="696"/>
    </row>
    <row r="1088" spans="1:9" ht="12.75">
      <c r="A1088" s="998"/>
      <c r="B1088" s="999"/>
      <c r="C1088" s="474"/>
      <c r="D1088" s="474"/>
      <c r="E1088" s="474"/>
      <c r="F1088" s="474"/>
      <c r="G1088" s="696"/>
      <c r="H1088" s="474"/>
      <c r="I1088" s="696"/>
    </row>
    <row r="1089" spans="1:9" ht="12.75">
      <c r="A1089" s="998"/>
      <c r="B1089" s="999"/>
      <c r="C1089" s="474"/>
      <c r="D1089" s="474"/>
      <c r="E1089" s="474"/>
      <c r="F1089" s="474"/>
      <c r="G1089" s="696"/>
      <c r="H1089" s="474"/>
      <c r="I1089" s="696"/>
    </row>
    <row r="1090" spans="1:9" ht="12.75">
      <c r="A1090" s="998"/>
      <c r="B1090" s="999"/>
      <c r="C1090" s="474"/>
      <c r="D1090" s="474"/>
      <c r="E1090" s="474"/>
      <c r="F1090" s="474"/>
      <c r="G1090" s="696"/>
      <c r="H1090" s="474"/>
      <c r="I1090" s="696"/>
    </row>
    <row r="1091" spans="1:9" ht="12.75">
      <c r="A1091" s="998"/>
      <c r="B1091" s="999"/>
      <c r="C1091" s="474"/>
      <c r="D1091" s="474"/>
      <c r="E1091" s="474"/>
      <c r="F1091" s="474"/>
      <c r="G1091" s="696"/>
      <c r="H1091" s="474"/>
      <c r="I1091" s="696"/>
    </row>
    <row r="1092" spans="1:9" ht="12.75">
      <c r="A1092" s="998"/>
      <c r="B1092" s="999"/>
      <c r="C1092" s="474"/>
      <c r="D1092" s="474"/>
      <c r="E1092" s="474"/>
      <c r="F1092" s="474"/>
      <c r="G1092" s="696"/>
      <c r="H1092" s="474"/>
      <c r="I1092" s="696"/>
    </row>
    <row r="1093" spans="1:9" ht="12.75">
      <c r="A1093" s="998"/>
      <c r="B1093" s="999"/>
      <c r="C1093" s="474"/>
      <c r="D1093" s="474"/>
      <c r="E1093" s="474"/>
      <c r="F1093" s="474"/>
      <c r="G1093" s="696"/>
      <c r="H1093" s="474"/>
      <c r="I1093" s="696"/>
    </row>
    <row r="1094" spans="1:9" ht="12.75">
      <c r="A1094" s="998"/>
      <c r="B1094" s="999"/>
      <c r="C1094" s="474"/>
      <c r="D1094" s="474"/>
      <c r="E1094" s="474"/>
      <c r="F1094" s="474"/>
      <c r="G1094" s="696"/>
      <c r="H1094" s="474"/>
      <c r="I1094" s="696"/>
    </row>
    <row r="1095" spans="1:9" ht="12.75">
      <c r="A1095" s="998"/>
      <c r="B1095" s="999"/>
      <c r="C1095" s="474"/>
      <c r="D1095" s="474"/>
      <c r="E1095" s="474"/>
      <c r="F1095" s="474"/>
      <c r="G1095" s="696"/>
      <c r="H1095" s="474"/>
      <c r="I1095" s="696"/>
    </row>
    <row r="1096" spans="1:9" ht="12.75">
      <c r="A1096" s="998"/>
      <c r="B1096" s="999"/>
      <c r="C1096" s="474"/>
      <c r="D1096" s="474"/>
      <c r="E1096" s="474"/>
      <c r="F1096" s="474"/>
      <c r="G1096" s="696"/>
      <c r="H1096" s="474"/>
      <c r="I1096" s="696"/>
    </row>
    <row r="1097" spans="1:9" ht="12.75">
      <c r="A1097" s="998"/>
      <c r="B1097" s="999"/>
      <c r="C1097" s="474"/>
      <c r="D1097" s="474"/>
      <c r="E1097" s="474"/>
      <c r="F1097" s="474"/>
      <c r="G1097" s="696"/>
      <c r="H1097" s="474"/>
      <c r="I1097" s="696"/>
    </row>
    <row r="1098" spans="1:9" ht="12.75">
      <c r="A1098" s="998"/>
      <c r="B1098" s="999"/>
      <c r="C1098" s="474"/>
      <c r="D1098" s="474"/>
      <c r="E1098" s="474"/>
      <c r="F1098" s="474"/>
      <c r="G1098" s="696"/>
      <c r="H1098" s="474"/>
      <c r="I1098" s="696"/>
    </row>
    <row r="1099" spans="1:9" ht="12.75">
      <c r="A1099" s="998"/>
      <c r="B1099" s="999"/>
      <c r="C1099" s="474"/>
      <c r="D1099" s="474"/>
      <c r="E1099" s="474"/>
      <c r="F1099" s="474"/>
      <c r="G1099" s="696"/>
      <c r="H1099" s="474"/>
      <c r="I1099" s="696"/>
    </row>
    <row r="1100" spans="1:9" ht="12.75">
      <c r="A1100" s="998"/>
      <c r="B1100" s="999"/>
      <c r="C1100" s="474"/>
      <c r="D1100" s="474"/>
      <c r="E1100" s="474"/>
      <c r="F1100" s="474"/>
      <c r="G1100" s="696"/>
      <c r="H1100" s="474"/>
      <c r="I1100" s="696"/>
    </row>
    <row r="1101" spans="1:9" ht="12.75">
      <c r="A1101" s="998"/>
      <c r="B1101" s="999"/>
      <c r="C1101" s="474"/>
      <c r="D1101" s="474"/>
      <c r="E1101" s="474"/>
      <c r="F1101" s="474"/>
      <c r="G1101" s="696"/>
      <c r="H1101" s="474"/>
      <c r="I1101" s="696"/>
    </row>
    <row r="1102" spans="1:9" ht="12.75">
      <c r="A1102" s="998"/>
      <c r="B1102" s="999"/>
      <c r="C1102" s="474"/>
      <c r="D1102" s="474"/>
      <c r="E1102" s="474"/>
      <c r="F1102" s="474"/>
      <c r="G1102" s="696"/>
      <c r="H1102" s="474"/>
      <c r="I1102" s="696"/>
    </row>
    <row r="1103" spans="1:9" ht="12.75">
      <c r="A1103" s="998"/>
      <c r="B1103" s="999"/>
      <c r="C1103" s="474"/>
      <c r="D1103" s="474"/>
      <c r="E1103" s="474"/>
      <c r="F1103" s="474"/>
      <c r="G1103" s="696"/>
      <c r="H1103" s="474"/>
      <c r="I1103" s="696"/>
    </row>
    <row r="1104" spans="1:9" ht="12.75">
      <c r="A1104" s="998"/>
      <c r="B1104" s="999"/>
      <c r="C1104" s="474"/>
      <c r="D1104" s="474"/>
      <c r="E1104" s="474"/>
      <c r="F1104" s="474"/>
      <c r="G1104" s="696"/>
      <c r="H1104" s="474"/>
      <c r="I1104" s="696"/>
    </row>
    <row r="1105" spans="1:9" ht="12.75">
      <c r="A1105" s="998"/>
      <c r="B1105" s="999"/>
      <c r="C1105" s="474"/>
      <c r="D1105" s="474"/>
      <c r="E1105" s="474"/>
      <c r="F1105" s="474"/>
      <c r="G1105" s="696"/>
      <c r="H1105" s="474"/>
      <c r="I1105" s="696"/>
    </row>
    <row r="1106" spans="1:9" ht="12.75">
      <c r="A1106" s="998"/>
      <c r="B1106" s="999"/>
      <c r="C1106" s="474"/>
      <c r="D1106" s="474"/>
      <c r="E1106" s="474"/>
      <c r="F1106" s="474"/>
      <c r="G1106" s="696"/>
      <c r="H1106" s="474"/>
      <c r="I1106" s="696"/>
    </row>
    <row r="1107" spans="1:9" ht="12.75">
      <c r="A1107" s="998"/>
      <c r="B1107" s="999"/>
      <c r="C1107" s="474"/>
      <c r="D1107" s="474"/>
      <c r="E1107" s="474"/>
      <c r="F1107" s="474"/>
      <c r="G1107" s="696"/>
      <c r="H1107" s="474"/>
      <c r="I1107" s="696"/>
    </row>
    <row r="1108" spans="1:9" ht="12.75">
      <c r="A1108" s="998"/>
      <c r="B1108" s="999"/>
      <c r="C1108" s="474"/>
      <c r="D1108" s="474"/>
      <c r="E1108" s="474"/>
      <c r="F1108" s="474"/>
      <c r="G1108" s="696"/>
      <c r="H1108" s="474"/>
      <c r="I1108" s="696"/>
    </row>
    <row r="1109" spans="1:9" ht="12.75">
      <c r="A1109" s="998"/>
      <c r="B1109" s="999"/>
      <c r="C1109" s="474"/>
      <c r="D1109" s="474"/>
      <c r="E1109" s="474"/>
      <c r="F1109" s="474"/>
      <c r="G1109" s="696"/>
      <c r="H1109" s="474"/>
      <c r="I1109" s="696"/>
    </row>
    <row r="1110" spans="1:9" ht="12.75">
      <c r="A1110" s="998"/>
      <c r="B1110" s="999"/>
      <c r="C1110" s="474"/>
      <c r="D1110" s="474"/>
      <c r="E1110" s="474"/>
      <c r="F1110" s="474"/>
      <c r="G1110" s="696"/>
      <c r="H1110" s="474"/>
      <c r="I1110" s="696"/>
    </row>
    <row r="1111" spans="1:9" ht="12.75">
      <c r="A1111" s="998"/>
      <c r="B1111" s="999"/>
      <c r="C1111" s="474"/>
      <c r="D1111" s="474"/>
      <c r="E1111" s="474"/>
      <c r="F1111" s="474"/>
      <c r="G1111" s="696"/>
      <c r="H1111" s="474"/>
      <c r="I1111" s="696"/>
    </row>
    <row r="1112" spans="1:9" ht="12.75">
      <c r="A1112" s="998"/>
      <c r="B1112" s="999"/>
      <c r="C1112" s="474"/>
      <c r="D1112" s="474"/>
      <c r="E1112" s="474"/>
      <c r="F1112" s="474"/>
      <c r="G1112" s="696"/>
      <c r="H1112" s="474"/>
      <c r="I1112" s="696"/>
    </row>
    <row r="1113" spans="1:9" ht="12.75">
      <c r="A1113" s="998"/>
      <c r="B1113" s="999"/>
      <c r="C1113" s="474"/>
      <c r="D1113" s="474"/>
      <c r="E1113" s="474"/>
      <c r="F1113" s="474"/>
      <c r="G1113" s="696"/>
      <c r="H1113" s="474"/>
      <c r="I1113" s="696"/>
    </row>
    <row r="1114" spans="1:9" ht="12.75">
      <c r="A1114" s="998"/>
      <c r="B1114" s="999"/>
      <c r="C1114" s="474"/>
      <c r="D1114" s="474"/>
      <c r="E1114" s="474"/>
      <c r="F1114" s="474"/>
      <c r="G1114" s="696"/>
      <c r="H1114" s="474"/>
      <c r="I1114" s="696"/>
    </row>
    <row r="1115" spans="1:9" ht="12.75">
      <c r="A1115" s="998"/>
      <c r="B1115" s="999"/>
      <c r="C1115" s="474"/>
      <c r="D1115" s="474"/>
      <c r="E1115" s="474"/>
      <c r="F1115" s="474"/>
      <c r="G1115" s="696"/>
      <c r="H1115" s="474"/>
      <c r="I1115" s="696"/>
    </row>
    <row r="1116" spans="1:9" ht="12.75">
      <c r="A1116" s="998"/>
      <c r="B1116" s="999"/>
      <c r="C1116" s="474"/>
      <c r="D1116" s="474"/>
      <c r="E1116" s="474"/>
      <c r="F1116" s="474"/>
      <c r="G1116" s="696"/>
      <c r="H1116" s="474"/>
      <c r="I1116" s="696"/>
    </row>
    <row r="1117" spans="1:9" ht="12.75">
      <c r="A1117" s="998"/>
      <c r="B1117" s="999"/>
      <c r="C1117" s="474"/>
      <c r="D1117" s="474"/>
      <c r="E1117" s="474"/>
      <c r="F1117" s="474"/>
      <c r="G1117" s="696"/>
      <c r="H1117" s="474"/>
      <c r="I1117" s="696"/>
    </row>
    <row r="1118" spans="1:9" ht="12.75">
      <c r="A1118" s="998"/>
      <c r="B1118" s="999"/>
      <c r="C1118" s="474"/>
      <c r="D1118" s="474"/>
      <c r="E1118" s="474"/>
      <c r="F1118" s="474"/>
      <c r="G1118" s="696"/>
      <c r="H1118" s="474"/>
      <c r="I1118" s="696"/>
    </row>
    <row r="1119" spans="1:9" ht="12.75">
      <c r="A1119" s="998"/>
      <c r="B1119" s="999"/>
      <c r="C1119" s="474"/>
      <c r="D1119" s="474"/>
      <c r="E1119" s="474"/>
      <c r="F1119" s="474"/>
      <c r="G1119" s="696"/>
      <c r="H1119" s="474"/>
      <c r="I1119" s="696"/>
    </row>
    <row r="1120" spans="1:9" ht="12.75">
      <c r="A1120" s="998"/>
      <c r="B1120" s="999"/>
      <c r="C1120" s="474"/>
      <c r="D1120" s="474"/>
      <c r="E1120" s="474"/>
      <c r="F1120" s="474"/>
      <c r="G1120" s="696"/>
      <c r="H1120" s="474"/>
      <c r="I1120" s="696"/>
    </row>
    <row r="1121" spans="1:9" ht="12.75">
      <c r="A1121" s="998"/>
      <c r="B1121" s="999"/>
      <c r="C1121" s="474"/>
      <c r="D1121" s="474"/>
      <c r="E1121" s="474"/>
      <c r="F1121" s="474"/>
      <c r="G1121" s="696"/>
      <c r="H1121" s="474"/>
      <c r="I1121" s="696"/>
    </row>
    <row r="1122" spans="1:9" ht="12.75">
      <c r="A1122" s="998"/>
      <c r="B1122" s="999"/>
      <c r="C1122" s="474"/>
      <c r="D1122" s="474"/>
      <c r="E1122" s="474"/>
      <c r="F1122" s="474"/>
      <c r="G1122" s="696"/>
      <c r="H1122" s="474"/>
      <c r="I1122" s="696"/>
    </row>
    <row r="1123" spans="1:9" ht="12.75">
      <c r="A1123" s="998"/>
      <c r="B1123" s="999"/>
      <c r="C1123" s="474"/>
      <c r="D1123" s="474"/>
      <c r="E1123" s="474"/>
      <c r="F1123" s="474"/>
      <c r="G1123" s="696"/>
      <c r="H1123" s="474"/>
      <c r="I1123" s="696"/>
    </row>
    <row r="1124" spans="1:9" ht="12.75">
      <c r="A1124" s="998"/>
      <c r="B1124" s="999"/>
      <c r="C1124" s="474"/>
      <c r="D1124" s="474"/>
      <c r="E1124" s="474"/>
      <c r="F1124" s="474"/>
      <c r="G1124" s="696"/>
      <c r="H1124" s="474"/>
      <c r="I1124" s="696"/>
    </row>
    <row r="1125" spans="1:9" ht="12.75">
      <c r="A1125" s="998"/>
      <c r="B1125" s="999"/>
      <c r="C1125" s="474"/>
      <c r="D1125" s="474"/>
      <c r="E1125" s="474"/>
      <c r="F1125" s="474"/>
      <c r="G1125" s="696"/>
      <c r="H1125" s="474"/>
      <c r="I1125" s="696"/>
    </row>
    <row r="1126" spans="1:9" ht="12.75">
      <c r="A1126" s="998"/>
      <c r="B1126" s="999"/>
      <c r="C1126" s="474"/>
      <c r="D1126" s="474"/>
      <c r="E1126" s="474"/>
      <c r="F1126" s="474"/>
      <c r="G1126" s="696"/>
      <c r="H1126" s="474"/>
      <c r="I1126" s="696"/>
    </row>
    <row r="1127" spans="1:9" ht="12.75">
      <c r="A1127" s="998"/>
      <c r="B1127" s="999"/>
      <c r="C1127" s="474"/>
      <c r="D1127" s="474"/>
      <c r="E1127" s="474"/>
      <c r="F1127" s="474"/>
      <c r="G1127" s="696"/>
      <c r="H1127" s="474"/>
      <c r="I1127" s="696"/>
    </row>
    <row r="1128" spans="1:9" ht="12.75">
      <c r="A1128" s="998"/>
      <c r="B1128" s="999"/>
      <c r="C1128" s="474"/>
      <c r="D1128" s="474"/>
      <c r="E1128" s="474"/>
      <c r="F1128" s="474"/>
      <c r="G1128" s="696"/>
      <c r="H1128" s="474"/>
      <c r="I1128" s="696"/>
    </row>
    <row r="1129" spans="1:9" ht="12.75">
      <c r="A1129" s="998"/>
      <c r="B1129" s="999"/>
      <c r="C1129" s="474"/>
      <c r="D1129" s="474"/>
      <c r="E1129" s="474"/>
      <c r="F1129" s="474"/>
      <c r="G1129" s="696"/>
      <c r="H1129" s="474"/>
      <c r="I1129" s="696"/>
    </row>
    <row r="1130" spans="1:9" ht="12.75">
      <c r="A1130" s="998"/>
      <c r="B1130" s="999"/>
      <c r="C1130" s="474"/>
      <c r="D1130" s="474"/>
      <c r="E1130" s="474"/>
      <c r="F1130" s="474"/>
      <c r="G1130" s="696"/>
      <c r="H1130" s="474"/>
      <c r="I1130" s="696"/>
    </row>
    <row r="1131" spans="1:9" ht="12.75">
      <c r="A1131" s="998"/>
      <c r="B1131" s="999"/>
      <c r="C1131" s="474"/>
      <c r="D1131" s="474"/>
      <c r="E1131" s="474"/>
      <c r="F1131" s="474"/>
      <c r="G1131" s="696"/>
      <c r="H1131" s="474"/>
      <c r="I1131" s="696"/>
    </row>
    <row r="1132" spans="1:9" ht="12.75">
      <c r="A1132" s="998"/>
      <c r="B1132" s="999"/>
      <c r="C1132" s="474"/>
      <c r="D1132" s="474"/>
      <c r="E1132" s="474"/>
      <c r="F1132" s="474"/>
      <c r="G1132" s="696"/>
      <c r="H1132" s="474"/>
      <c r="I1132" s="696"/>
    </row>
    <row r="1133" spans="1:9" ht="12.75">
      <c r="A1133" s="998"/>
      <c r="B1133" s="999"/>
      <c r="C1133" s="474"/>
      <c r="D1133" s="474"/>
      <c r="E1133" s="474"/>
      <c r="F1133" s="474"/>
      <c r="G1133" s="696"/>
      <c r="H1133" s="474"/>
      <c r="I1133" s="696"/>
    </row>
    <row r="1134" spans="1:9" ht="12.75">
      <c r="A1134" s="998"/>
      <c r="B1134" s="999"/>
      <c r="C1134" s="474"/>
      <c r="D1134" s="474"/>
      <c r="E1134" s="474"/>
      <c r="F1134" s="474"/>
      <c r="G1134" s="696"/>
      <c r="H1134" s="474"/>
      <c r="I1134" s="696"/>
    </row>
    <row r="1135" spans="1:9" ht="12.75">
      <c r="A1135" s="998"/>
      <c r="B1135" s="999"/>
      <c r="C1135" s="474"/>
      <c r="D1135" s="474"/>
      <c r="E1135" s="474"/>
      <c r="F1135" s="474"/>
      <c r="G1135" s="696"/>
      <c r="H1135" s="474"/>
      <c r="I1135" s="696"/>
    </row>
    <row r="1136" spans="1:9" ht="12.75">
      <c r="A1136" s="998"/>
      <c r="B1136" s="999"/>
      <c r="C1136" s="474"/>
      <c r="D1136" s="474"/>
      <c r="E1136" s="474"/>
      <c r="F1136" s="474"/>
      <c r="G1136" s="696"/>
      <c r="H1136" s="474"/>
      <c r="I1136" s="696"/>
    </row>
    <row r="1137" spans="1:9" ht="12.75">
      <c r="A1137" s="998"/>
      <c r="B1137" s="999"/>
      <c r="C1137" s="474"/>
      <c r="D1137" s="474"/>
      <c r="E1137" s="474"/>
      <c r="F1137" s="474"/>
      <c r="G1137" s="696"/>
      <c r="H1137" s="474"/>
      <c r="I1137" s="696"/>
    </row>
    <row r="1138" spans="1:9" ht="12.75">
      <c r="A1138" s="998"/>
      <c r="B1138" s="999"/>
      <c r="C1138" s="474"/>
      <c r="D1138" s="474"/>
      <c r="E1138" s="474"/>
      <c r="F1138" s="474"/>
      <c r="G1138" s="696"/>
      <c r="H1138" s="474"/>
      <c r="I1138" s="696"/>
    </row>
    <row r="1139" spans="1:9" ht="12.75">
      <c r="A1139" s="998"/>
      <c r="B1139" s="999"/>
      <c r="C1139" s="474"/>
      <c r="D1139" s="474"/>
      <c r="E1139" s="474"/>
      <c r="F1139" s="474"/>
      <c r="G1139" s="696"/>
      <c r="H1139" s="474"/>
      <c r="I1139" s="696"/>
    </row>
    <row r="1140" spans="1:9" ht="12.75">
      <c r="A1140" s="998"/>
      <c r="B1140" s="999"/>
      <c r="C1140" s="474"/>
      <c r="D1140" s="474"/>
      <c r="E1140" s="474"/>
      <c r="F1140" s="474"/>
      <c r="G1140" s="696"/>
      <c r="H1140" s="474"/>
      <c r="I1140" s="696"/>
    </row>
    <row r="1141" spans="1:9" ht="12.75">
      <c r="A1141" s="998"/>
      <c r="B1141" s="999"/>
      <c r="C1141" s="474"/>
      <c r="D1141" s="474"/>
      <c r="E1141" s="474"/>
      <c r="F1141" s="474"/>
      <c r="G1141" s="696"/>
      <c r="H1141" s="474"/>
      <c r="I1141" s="696"/>
    </row>
    <row r="1142" spans="1:9" ht="12.75">
      <c r="A1142" s="998"/>
      <c r="B1142" s="999"/>
      <c r="C1142" s="474"/>
      <c r="D1142" s="474"/>
      <c r="E1142" s="474"/>
      <c r="F1142" s="474"/>
      <c r="G1142" s="696"/>
      <c r="H1142" s="474"/>
      <c r="I1142" s="696"/>
    </row>
    <row r="1143" spans="1:9" ht="12.75">
      <c r="A1143" s="998"/>
      <c r="B1143" s="999"/>
      <c r="C1143" s="474"/>
      <c r="D1143" s="474"/>
      <c r="E1143" s="474"/>
      <c r="F1143" s="474"/>
      <c r="G1143" s="696"/>
      <c r="H1143" s="474"/>
      <c r="I1143" s="696"/>
    </row>
    <row r="1144" spans="1:9" ht="12.75">
      <c r="A1144" s="998"/>
      <c r="B1144" s="999"/>
      <c r="C1144" s="474"/>
      <c r="D1144" s="474"/>
      <c r="E1144" s="474"/>
      <c r="F1144" s="474"/>
      <c r="G1144" s="696"/>
      <c r="H1144" s="474"/>
      <c r="I1144" s="696"/>
    </row>
    <row r="1145" spans="1:9" ht="12.75">
      <c r="A1145" s="998"/>
      <c r="B1145" s="999"/>
      <c r="C1145" s="474"/>
      <c r="D1145" s="474"/>
      <c r="E1145" s="474"/>
      <c r="F1145" s="474"/>
      <c r="G1145" s="696"/>
      <c r="H1145" s="474"/>
      <c r="I1145" s="696"/>
    </row>
    <row r="1146" spans="1:9" ht="12.75">
      <c r="A1146" s="998"/>
      <c r="B1146" s="999"/>
      <c r="C1146" s="474"/>
      <c r="D1146" s="474"/>
      <c r="E1146" s="474"/>
      <c r="F1146" s="474"/>
      <c r="G1146" s="696"/>
      <c r="H1146" s="474"/>
      <c r="I1146" s="696"/>
    </row>
    <row r="1147" spans="1:9" ht="12.75">
      <c r="A1147" s="998"/>
      <c r="B1147" s="999"/>
      <c r="C1147" s="474"/>
      <c r="D1147" s="474"/>
      <c r="E1147" s="474"/>
      <c r="F1147" s="474"/>
      <c r="G1147" s="696"/>
      <c r="H1147" s="474"/>
      <c r="I1147" s="696"/>
    </row>
    <row r="1148" spans="1:9" ht="12.75">
      <c r="A1148" s="998"/>
      <c r="B1148" s="999"/>
      <c r="C1148" s="474"/>
      <c r="D1148" s="474"/>
      <c r="E1148" s="474"/>
      <c r="F1148" s="474"/>
      <c r="G1148" s="696"/>
      <c r="H1148" s="474"/>
      <c r="I1148" s="696"/>
    </row>
    <row r="1149" spans="1:9" ht="12.75">
      <c r="A1149" s="998"/>
      <c r="B1149" s="999"/>
      <c r="C1149" s="474"/>
      <c r="D1149" s="474"/>
      <c r="E1149" s="474"/>
      <c r="F1149" s="474"/>
      <c r="G1149" s="696"/>
      <c r="H1149" s="474"/>
      <c r="I1149" s="696"/>
    </row>
    <row r="1150" spans="1:9" ht="12.75">
      <c r="A1150" s="998"/>
      <c r="B1150" s="999"/>
      <c r="C1150" s="474"/>
      <c r="D1150" s="474"/>
      <c r="E1150" s="474"/>
      <c r="F1150" s="474"/>
      <c r="G1150" s="696"/>
      <c r="H1150" s="474"/>
      <c r="I1150" s="696"/>
    </row>
    <row r="1151" spans="1:9" ht="12.75">
      <c r="A1151" s="998"/>
      <c r="B1151" s="999"/>
      <c r="C1151" s="474"/>
      <c r="D1151" s="474"/>
      <c r="E1151" s="474"/>
      <c r="F1151" s="474"/>
      <c r="G1151" s="696"/>
      <c r="H1151" s="474"/>
      <c r="I1151" s="696"/>
    </row>
    <row r="1152" spans="1:9" ht="12.75">
      <c r="A1152" s="998"/>
      <c r="B1152" s="999"/>
      <c r="C1152" s="474"/>
      <c r="D1152" s="474"/>
      <c r="E1152" s="474"/>
      <c r="F1152" s="474"/>
      <c r="G1152" s="696"/>
      <c r="H1152" s="474"/>
      <c r="I1152" s="696"/>
    </row>
    <row r="1153" spans="1:9" ht="12.75">
      <c r="A1153" s="998"/>
      <c r="B1153" s="999"/>
      <c r="C1153" s="474"/>
      <c r="D1153" s="474"/>
      <c r="E1153" s="474"/>
      <c r="F1153" s="474"/>
      <c r="G1153" s="696"/>
      <c r="H1153" s="474"/>
      <c r="I1153" s="696"/>
    </row>
    <row r="1154" spans="1:9" ht="12.75">
      <c r="A1154" s="998"/>
      <c r="B1154" s="999"/>
      <c r="C1154" s="474"/>
      <c r="D1154" s="474"/>
      <c r="E1154" s="474"/>
      <c r="F1154" s="474"/>
      <c r="G1154" s="696"/>
      <c r="H1154" s="474"/>
      <c r="I1154" s="696"/>
    </row>
    <row r="1155" spans="1:9" ht="12.75">
      <c r="A1155" s="998"/>
      <c r="B1155" s="999"/>
      <c r="C1155" s="474"/>
      <c r="D1155" s="474"/>
      <c r="E1155" s="474"/>
      <c r="F1155" s="474"/>
      <c r="G1155" s="696"/>
      <c r="H1155" s="474"/>
      <c r="I1155" s="696"/>
    </row>
    <row r="1156" spans="1:9" ht="12.75">
      <c r="A1156" s="998"/>
      <c r="B1156" s="999"/>
      <c r="C1156" s="474"/>
      <c r="D1156" s="474"/>
      <c r="E1156" s="474"/>
      <c r="F1156" s="474"/>
      <c r="G1156" s="696"/>
      <c r="H1156" s="474"/>
      <c r="I1156" s="696"/>
    </row>
    <row r="1157" spans="1:9" ht="12.75">
      <c r="A1157" s="998"/>
      <c r="B1157" s="999"/>
      <c r="C1157" s="474"/>
      <c r="D1157" s="474"/>
      <c r="E1157" s="474"/>
      <c r="F1157" s="474"/>
      <c r="G1157" s="696"/>
      <c r="H1157" s="474"/>
      <c r="I1157" s="696"/>
    </row>
    <row r="1158" spans="1:9" ht="12.75">
      <c r="A1158" s="998"/>
      <c r="B1158" s="999"/>
      <c r="C1158" s="474"/>
      <c r="D1158" s="474"/>
      <c r="E1158" s="474"/>
      <c r="F1158" s="474"/>
      <c r="G1158" s="696"/>
      <c r="H1158" s="474"/>
      <c r="I1158" s="696"/>
    </row>
    <row r="1159" spans="1:9" ht="12.75">
      <c r="A1159" s="998"/>
      <c r="B1159" s="999"/>
      <c r="C1159" s="474"/>
      <c r="D1159" s="474"/>
      <c r="E1159" s="474"/>
      <c r="F1159" s="474"/>
      <c r="G1159" s="696"/>
      <c r="H1159" s="474"/>
      <c r="I1159" s="696"/>
    </row>
    <row r="1160" spans="1:9" ht="12.75">
      <c r="A1160" s="998"/>
      <c r="B1160" s="999"/>
      <c r="C1160" s="474"/>
      <c r="D1160" s="474"/>
      <c r="E1160" s="474"/>
      <c r="F1160" s="474"/>
      <c r="G1160" s="696"/>
      <c r="H1160" s="474"/>
      <c r="I1160" s="696"/>
    </row>
    <row r="1161" spans="1:9" ht="12.75">
      <c r="A1161" s="998"/>
      <c r="B1161" s="999"/>
      <c r="C1161" s="474"/>
      <c r="D1161" s="474"/>
      <c r="E1161" s="474"/>
      <c r="F1161" s="474"/>
      <c r="G1161" s="696"/>
      <c r="H1161" s="474"/>
      <c r="I1161" s="696"/>
    </row>
    <row r="1162" spans="1:9" ht="12.75">
      <c r="A1162" s="998"/>
      <c r="B1162" s="999"/>
      <c r="C1162" s="474"/>
      <c r="D1162" s="474"/>
      <c r="E1162" s="474"/>
      <c r="F1162" s="474"/>
      <c r="G1162" s="696"/>
      <c r="H1162" s="474"/>
      <c r="I1162" s="696"/>
    </row>
    <row r="1163" spans="1:9" ht="12.75">
      <c r="A1163" s="998"/>
      <c r="B1163" s="999"/>
      <c r="C1163" s="474"/>
      <c r="D1163" s="474"/>
      <c r="E1163" s="474"/>
      <c r="F1163" s="474"/>
      <c r="G1163" s="696"/>
      <c r="H1163" s="474"/>
      <c r="I1163" s="696"/>
    </row>
    <row r="1164" spans="1:9" ht="12.75">
      <c r="A1164" s="998"/>
      <c r="B1164" s="999"/>
      <c r="C1164" s="474"/>
      <c r="D1164" s="474"/>
      <c r="E1164" s="474"/>
      <c r="F1164" s="474"/>
      <c r="G1164" s="696"/>
      <c r="H1164" s="474"/>
      <c r="I1164" s="696"/>
    </row>
    <row r="1165" spans="1:9" ht="12.75">
      <c r="A1165" s="998"/>
      <c r="B1165" s="999"/>
      <c r="C1165" s="474"/>
      <c r="D1165" s="474"/>
      <c r="E1165" s="474"/>
      <c r="F1165" s="474"/>
      <c r="G1165" s="696"/>
      <c r="H1165" s="474"/>
      <c r="I1165" s="696"/>
    </row>
    <row r="1166" spans="1:9" ht="12.75">
      <c r="A1166" s="998"/>
      <c r="B1166" s="999"/>
      <c r="C1166" s="474"/>
      <c r="D1166" s="474"/>
      <c r="E1166" s="474"/>
      <c r="F1166" s="474"/>
      <c r="G1166" s="696"/>
      <c r="H1166" s="474"/>
      <c r="I1166" s="696"/>
    </row>
    <row r="1167" spans="1:9" ht="12.75">
      <c r="A1167" s="998"/>
      <c r="B1167" s="999"/>
      <c r="C1167" s="474"/>
      <c r="D1167" s="474"/>
      <c r="E1167" s="474"/>
      <c r="F1167" s="474"/>
      <c r="G1167" s="696"/>
      <c r="H1167" s="474"/>
      <c r="I1167" s="696"/>
    </row>
    <row r="1168" spans="1:9" ht="12.75">
      <c r="A1168" s="998"/>
      <c r="B1168" s="999"/>
      <c r="C1168" s="474"/>
      <c r="D1168" s="474"/>
      <c r="E1168" s="474"/>
      <c r="F1168" s="474"/>
      <c r="G1168" s="696"/>
      <c r="H1168" s="474"/>
      <c r="I1168" s="696"/>
    </row>
    <row r="1169" spans="1:9" ht="12.75">
      <c r="A1169" s="998"/>
      <c r="B1169" s="999"/>
      <c r="C1169" s="474"/>
      <c r="D1169" s="474"/>
      <c r="E1169" s="474"/>
      <c r="F1169" s="474"/>
      <c r="G1169" s="696"/>
      <c r="H1169" s="474"/>
      <c r="I1169" s="696"/>
    </row>
    <row r="1170" spans="1:9" ht="12.75">
      <c r="A1170" s="998"/>
      <c r="B1170" s="999"/>
      <c r="C1170" s="474"/>
      <c r="D1170" s="474"/>
      <c r="E1170" s="474"/>
      <c r="F1170" s="474"/>
      <c r="G1170" s="696"/>
      <c r="H1170" s="474"/>
      <c r="I1170" s="696"/>
    </row>
    <row r="1171" spans="1:9" ht="12.75">
      <c r="A1171" s="998"/>
      <c r="B1171" s="999"/>
      <c r="C1171" s="474"/>
      <c r="D1171" s="474"/>
      <c r="E1171" s="474"/>
      <c r="F1171" s="474"/>
      <c r="G1171" s="696"/>
      <c r="H1171" s="474"/>
      <c r="I1171" s="696"/>
    </row>
    <row r="1172" spans="1:9" ht="12.75">
      <c r="A1172" s="998"/>
      <c r="B1172" s="999"/>
      <c r="C1172" s="474"/>
      <c r="D1172" s="474"/>
      <c r="E1172" s="474"/>
      <c r="F1172" s="474"/>
      <c r="G1172" s="696"/>
      <c r="H1172" s="474"/>
      <c r="I1172" s="696"/>
    </row>
    <row r="1173" spans="1:9" ht="12.75">
      <c r="A1173" s="998"/>
      <c r="B1173" s="999"/>
      <c r="C1173" s="474"/>
      <c r="D1173" s="474"/>
      <c r="E1173" s="474"/>
      <c r="F1173" s="474"/>
      <c r="G1173" s="696"/>
      <c r="H1173" s="474"/>
      <c r="I1173" s="696"/>
    </row>
    <row r="1174" spans="1:9" ht="12.75">
      <c r="A1174" s="998"/>
      <c r="B1174" s="999"/>
      <c r="C1174" s="474"/>
      <c r="D1174" s="474"/>
      <c r="E1174" s="474"/>
      <c r="F1174" s="474"/>
      <c r="G1174" s="696"/>
      <c r="H1174" s="474"/>
      <c r="I1174" s="696"/>
    </row>
    <row r="1175" spans="1:9" ht="12.75">
      <c r="A1175" s="998"/>
      <c r="B1175" s="999"/>
      <c r="C1175" s="474"/>
      <c r="D1175" s="474"/>
      <c r="E1175" s="474"/>
      <c r="F1175" s="474"/>
      <c r="G1175" s="696"/>
      <c r="H1175" s="474"/>
      <c r="I1175" s="696"/>
    </row>
    <row r="1176" spans="1:9" ht="12.75">
      <c r="A1176" s="998"/>
      <c r="B1176" s="999"/>
      <c r="C1176" s="474"/>
      <c r="D1176" s="474"/>
      <c r="E1176" s="474"/>
      <c r="F1176" s="474"/>
      <c r="G1176" s="696"/>
      <c r="H1176" s="474"/>
      <c r="I1176" s="696"/>
    </row>
    <row r="1177" spans="1:9" ht="12.75">
      <c r="A1177" s="998"/>
      <c r="B1177" s="999"/>
      <c r="C1177" s="474"/>
      <c r="D1177" s="474"/>
      <c r="E1177" s="474"/>
      <c r="F1177" s="474"/>
      <c r="G1177" s="696"/>
      <c r="H1177" s="474"/>
      <c r="I1177" s="696"/>
    </row>
    <row r="1178" spans="1:9" ht="12.75">
      <c r="A1178" s="998"/>
      <c r="B1178" s="999"/>
      <c r="C1178" s="474"/>
      <c r="D1178" s="474"/>
      <c r="E1178" s="474"/>
      <c r="F1178" s="474"/>
      <c r="G1178" s="696"/>
      <c r="H1178" s="474"/>
      <c r="I1178" s="696"/>
    </row>
    <row r="1179" spans="1:9" ht="12.75">
      <c r="A1179" s="998"/>
      <c r="B1179" s="999"/>
      <c r="C1179" s="474"/>
      <c r="D1179" s="474"/>
      <c r="E1179" s="474"/>
      <c r="F1179" s="474"/>
      <c r="G1179" s="696"/>
      <c r="H1179" s="474"/>
      <c r="I1179" s="696"/>
    </row>
    <row r="1180" spans="1:9" ht="12.75">
      <c r="A1180" s="998"/>
      <c r="B1180" s="999"/>
      <c r="C1180" s="474"/>
      <c r="D1180" s="474"/>
      <c r="E1180" s="474"/>
      <c r="F1180" s="474"/>
      <c r="G1180" s="696"/>
      <c r="H1180" s="474"/>
      <c r="I1180" s="696"/>
    </row>
    <row r="1181" spans="1:9" ht="12.75">
      <c r="A1181" s="998"/>
      <c r="B1181" s="999"/>
      <c r="C1181" s="474"/>
      <c r="D1181" s="474"/>
      <c r="E1181" s="474"/>
      <c r="F1181" s="474"/>
      <c r="G1181" s="696"/>
      <c r="H1181" s="474"/>
      <c r="I1181" s="696"/>
    </row>
    <row r="1182" spans="1:9" ht="12.75">
      <c r="A1182" s="998"/>
      <c r="B1182" s="999"/>
      <c r="C1182" s="474"/>
      <c r="D1182" s="474"/>
      <c r="E1182" s="474"/>
      <c r="F1182" s="474"/>
      <c r="G1182" s="696"/>
      <c r="H1182" s="474"/>
      <c r="I1182" s="696"/>
    </row>
    <row r="1183" spans="1:9" ht="12.75">
      <c r="A1183" s="998"/>
      <c r="B1183" s="999"/>
      <c r="C1183" s="474"/>
      <c r="D1183" s="474"/>
      <c r="E1183" s="474"/>
      <c r="F1183" s="474"/>
      <c r="G1183" s="696"/>
      <c r="H1183" s="474"/>
      <c r="I1183" s="696"/>
    </row>
    <row r="1184" spans="1:9" ht="12.75">
      <c r="A1184" s="998"/>
      <c r="B1184" s="999"/>
      <c r="C1184" s="474"/>
      <c r="D1184" s="474"/>
      <c r="E1184" s="474"/>
      <c r="F1184" s="474"/>
      <c r="G1184" s="696"/>
      <c r="H1184" s="474"/>
      <c r="I1184" s="696"/>
    </row>
    <row r="1185" spans="1:9" ht="12.75">
      <c r="A1185" s="998"/>
      <c r="B1185" s="999"/>
      <c r="C1185" s="474"/>
      <c r="D1185" s="474"/>
      <c r="E1185" s="474"/>
      <c r="F1185" s="474"/>
      <c r="G1185" s="696"/>
      <c r="H1185" s="474"/>
      <c r="I1185" s="696"/>
    </row>
    <row r="1186" spans="1:9" ht="12.75">
      <c r="A1186" s="998"/>
      <c r="B1186" s="999"/>
      <c r="C1186" s="474"/>
      <c r="D1186" s="474"/>
      <c r="E1186" s="474"/>
      <c r="F1186" s="474"/>
      <c r="G1186" s="696"/>
      <c r="H1186" s="474"/>
      <c r="I1186" s="696"/>
    </row>
    <row r="1187" spans="1:9" ht="12.75">
      <c r="A1187" s="998"/>
      <c r="B1187" s="999"/>
      <c r="C1187" s="474"/>
      <c r="D1187" s="474"/>
      <c r="E1187" s="474"/>
      <c r="F1187" s="474"/>
      <c r="G1187" s="696"/>
      <c r="H1187" s="474"/>
      <c r="I1187" s="696"/>
    </row>
    <row r="1188" spans="1:9" ht="12.75">
      <c r="A1188" s="998"/>
      <c r="B1188" s="999"/>
      <c r="C1188" s="474"/>
      <c r="D1188" s="474"/>
      <c r="E1188" s="474"/>
      <c r="F1188" s="474"/>
      <c r="G1188" s="696"/>
      <c r="H1188" s="474"/>
      <c r="I1188" s="696"/>
    </row>
    <row r="1189" spans="1:9" ht="12.75">
      <c r="A1189" s="998"/>
      <c r="B1189" s="999"/>
      <c r="C1189" s="474"/>
      <c r="D1189" s="474"/>
      <c r="E1189" s="474"/>
      <c r="F1189" s="474"/>
      <c r="G1189" s="696"/>
      <c r="H1189" s="474"/>
      <c r="I1189" s="696"/>
    </row>
    <row r="1190" spans="1:9" ht="12.75">
      <c r="A1190" s="998"/>
      <c r="B1190" s="999"/>
      <c r="C1190" s="474"/>
      <c r="D1190" s="474"/>
      <c r="E1190" s="474"/>
      <c r="F1190" s="474"/>
      <c r="G1190" s="696"/>
      <c r="H1190" s="474"/>
      <c r="I1190" s="696"/>
    </row>
    <row r="1191" spans="1:9" ht="12.75">
      <c r="A1191" s="998"/>
      <c r="B1191" s="999"/>
      <c r="C1191" s="474"/>
      <c r="D1191" s="474"/>
      <c r="E1191" s="474"/>
      <c r="F1191" s="474"/>
      <c r="G1191" s="696"/>
      <c r="H1191" s="474"/>
      <c r="I1191" s="696"/>
    </row>
    <row r="1192" spans="1:9" ht="12.75">
      <c r="A1192" s="998"/>
      <c r="B1192" s="999"/>
      <c r="C1192" s="474"/>
      <c r="D1192" s="474"/>
      <c r="E1192" s="474"/>
      <c r="F1192" s="474"/>
      <c r="G1192" s="696"/>
      <c r="H1192" s="474"/>
      <c r="I1192" s="696"/>
    </row>
    <row r="1193" spans="1:9" ht="12.75">
      <c r="A1193" s="998"/>
      <c r="B1193" s="999"/>
      <c r="C1193" s="474"/>
      <c r="D1193" s="474"/>
      <c r="E1193" s="474"/>
      <c r="F1193" s="474"/>
      <c r="G1193" s="696"/>
      <c r="H1193" s="474"/>
      <c r="I1193" s="696"/>
    </row>
    <row r="1194" spans="1:9" ht="12.75">
      <c r="A1194" s="998"/>
      <c r="B1194" s="999"/>
      <c r="C1194" s="474"/>
      <c r="D1194" s="474"/>
      <c r="E1194" s="474"/>
      <c r="F1194" s="474"/>
      <c r="G1194" s="696"/>
      <c r="H1194" s="474"/>
      <c r="I1194" s="696"/>
    </row>
    <row r="1195" spans="1:9" ht="12.75">
      <c r="A1195" s="998"/>
      <c r="B1195" s="999"/>
      <c r="C1195" s="474"/>
      <c r="D1195" s="474"/>
      <c r="E1195" s="474"/>
      <c r="F1195" s="474"/>
      <c r="G1195" s="696"/>
      <c r="H1195" s="474"/>
      <c r="I1195" s="696"/>
    </row>
    <row r="1196" spans="1:9" ht="12.75">
      <c r="A1196" s="998"/>
      <c r="B1196" s="999"/>
      <c r="C1196" s="474"/>
      <c r="D1196" s="474"/>
      <c r="E1196" s="474"/>
      <c r="F1196" s="474"/>
      <c r="G1196" s="696"/>
      <c r="H1196" s="474"/>
      <c r="I1196" s="696"/>
    </row>
    <row r="1197" spans="1:9" ht="12.75">
      <c r="A1197" s="998"/>
      <c r="B1197" s="999"/>
      <c r="C1197" s="474"/>
      <c r="D1197" s="474"/>
      <c r="E1197" s="474"/>
      <c r="F1197" s="474"/>
      <c r="G1197" s="696"/>
      <c r="H1197" s="474"/>
      <c r="I1197" s="696"/>
    </row>
    <row r="1198" spans="1:9" ht="12.75">
      <c r="A1198" s="998"/>
      <c r="B1198" s="999"/>
      <c r="C1198" s="474"/>
      <c r="D1198" s="474"/>
      <c r="E1198" s="474"/>
      <c r="F1198" s="474"/>
      <c r="G1198" s="696"/>
      <c r="H1198" s="474"/>
      <c r="I1198" s="696"/>
    </row>
    <row r="1199" spans="1:9" ht="12.75">
      <c r="A1199" s="998"/>
      <c r="B1199" s="999"/>
      <c r="C1199" s="474"/>
      <c r="D1199" s="474"/>
      <c r="E1199" s="474"/>
      <c r="F1199" s="474"/>
      <c r="G1199" s="696"/>
      <c r="H1199" s="474"/>
      <c r="I1199" s="696"/>
    </row>
    <row r="1200" spans="1:9" ht="12.75">
      <c r="A1200" s="998"/>
      <c r="B1200" s="999"/>
      <c r="C1200" s="474"/>
      <c r="D1200" s="474"/>
      <c r="E1200" s="474"/>
      <c r="F1200" s="474"/>
      <c r="G1200" s="696"/>
      <c r="H1200" s="474"/>
      <c r="I1200" s="696"/>
    </row>
    <row r="1201" spans="1:9" ht="12.75">
      <c r="A1201" s="998"/>
      <c r="B1201" s="999"/>
      <c r="C1201" s="474"/>
      <c r="D1201" s="474"/>
      <c r="E1201" s="474"/>
      <c r="F1201" s="474"/>
      <c r="G1201" s="696"/>
      <c r="H1201" s="474"/>
      <c r="I1201" s="696"/>
    </row>
    <row r="1202" spans="1:9" ht="12.75">
      <c r="A1202" s="998"/>
      <c r="B1202" s="999"/>
      <c r="C1202" s="474"/>
      <c r="D1202" s="474"/>
      <c r="E1202" s="474"/>
      <c r="F1202" s="474"/>
      <c r="G1202" s="696"/>
      <c r="H1202" s="474"/>
      <c r="I1202" s="696"/>
    </row>
    <row r="1203" spans="1:9" ht="12.75">
      <c r="A1203" s="998"/>
      <c r="B1203" s="999"/>
      <c r="C1203" s="474"/>
      <c r="D1203" s="474"/>
      <c r="E1203" s="474"/>
      <c r="F1203" s="474"/>
      <c r="G1203" s="696"/>
      <c r="H1203" s="474"/>
      <c r="I1203" s="696"/>
    </row>
    <row r="1204" spans="1:9" ht="12.75">
      <c r="A1204" s="998"/>
      <c r="B1204" s="999"/>
      <c r="C1204" s="474"/>
      <c r="D1204" s="474"/>
      <c r="E1204" s="474"/>
      <c r="F1204" s="474"/>
      <c r="G1204" s="696"/>
      <c r="H1204" s="474"/>
      <c r="I1204" s="696"/>
    </row>
    <row r="1205" spans="1:9" ht="12.75">
      <c r="A1205" s="998"/>
      <c r="B1205" s="999"/>
      <c r="C1205" s="474"/>
      <c r="D1205" s="474"/>
      <c r="E1205" s="474"/>
      <c r="F1205" s="474"/>
      <c r="G1205" s="696"/>
      <c r="H1205" s="474"/>
      <c r="I1205" s="696"/>
    </row>
    <row r="1206" spans="1:9" ht="12.75">
      <c r="A1206" s="998"/>
      <c r="B1206" s="999"/>
      <c r="C1206" s="474"/>
      <c r="D1206" s="474"/>
      <c r="E1206" s="474"/>
      <c r="F1206" s="474"/>
      <c r="G1206" s="696"/>
      <c r="H1206" s="474"/>
      <c r="I1206" s="696"/>
    </row>
    <row r="1207" spans="1:9" ht="12.75">
      <c r="A1207" s="998"/>
      <c r="B1207" s="999"/>
      <c r="C1207" s="474"/>
      <c r="D1207" s="474"/>
      <c r="E1207" s="474"/>
      <c r="F1207" s="474"/>
      <c r="G1207" s="696"/>
      <c r="H1207" s="474"/>
      <c r="I1207" s="696"/>
    </row>
    <row r="1208" spans="1:9" ht="12.75">
      <c r="A1208" s="998"/>
      <c r="B1208" s="999"/>
      <c r="C1208" s="474"/>
      <c r="D1208" s="474"/>
      <c r="E1208" s="474"/>
      <c r="F1208" s="474"/>
      <c r="G1208" s="696"/>
      <c r="H1208" s="474"/>
      <c r="I1208" s="696"/>
    </row>
    <row r="1209" spans="1:9" ht="12.75">
      <c r="A1209" s="998"/>
      <c r="B1209" s="999"/>
      <c r="C1209" s="474"/>
      <c r="D1209" s="474"/>
      <c r="E1209" s="474"/>
      <c r="F1209" s="474"/>
      <c r="G1209" s="696"/>
      <c r="H1209" s="474"/>
      <c r="I1209" s="696"/>
    </row>
    <row r="1210" spans="1:9" ht="12.75">
      <c r="A1210" s="998"/>
      <c r="B1210" s="999"/>
      <c r="C1210" s="474"/>
      <c r="D1210" s="474"/>
      <c r="E1210" s="474"/>
      <c r="F1210" s="474"/>
      <c r="G1210" s="696"/>
      <c r="H1210" s="474"/>
      <c r="I1210" s="696"/>
    </row>
    <row r="1211" spans="1:9" ht="12.75">
      <c r="A1211" s="998"/>
      <c r="B1211" s="999"/>
      <c r="C1211" s="474"/>
      <c r="D1211" s="474"/>
      <c r="E1211" s="474"/>
      <c r="F1211" s="474"/>
      <c r="G1211" s="696"/>
      <c r="H1211" s="474"/>
      <c r="I1211" s="696"/>
    </row>
    <row r="1212" spans="1:9" ht="12.75">
      <c r="A1212" s="998"/>
      <c r="B1212" s="999"/>
      <c r="C1212" s="474"/>
      <c r="D1212" s="474"/>
      <c r="E1212" s="474"/>
      <c r="F1212" s="474"/>
      <c r="G1212" s="696"/>
      <c r="H1212" s="474"/>
      <c r="I1212" s="696"/>
    </row>
    <row r="1213" spans="1:9" ht="12.75">
      <c r="A1213" s="998"/>
      <c r="B1213" s="999"/>
      <c r="C1213" s="474"/>
      <c r="D1213" s="474"/>
      <c r="E1213" s="474"/>
      <c r="F1213" s="474"/>
      <c r="G1213" s="696"/>
      <c r="H1213" s="474"/>
      <c r="I1213" s="696"/>
    </row>
    <row r="1214" spans="1:9" ht="12.75">
      <c r="A1214" s="998"/>
      <c r="B1214" s="999"/>
      <c r="C1214" s="474"/>
      <c r="D1214" s="474"/>
      <c r="E1214" s="474"/>
      <c r="F1214" s="474"/>
      <c r="G1214" s="696"/>
      <c r="H1214" s="474"/>
      <c r="I1214" s="696"/>
    </row>
    <row r="1215" spans="1:9" ht="12.75">
      <c r="A1215" s="998"/>
      <c r="B1215" s="999"/>
      <c r="C1215" s="474"/>
      <c r="D1215" s="474"/>
      <c r="E1215" s="474"/>
      <c r="F1215" s="474"/>
      <c r="G1215" s="696"/>
      <c r="H1215" s="474"/>
      <c r="I1215" s="696"/>
    </row>
    <row r="1216" spans="1:9" ht="12.75">
      <c r="A1216" s="998"/>
      <c r="B1216" s="999"/>
      <c r="C1216" s="474"/>
      <c r="D1216" s="474"/>
      <c r="E1216" s="474"/>
      <c r="F1216" s="474"/>
      <c r="G1216" s="696"/>
      <c r="H1216" s="474"/>
      <c r="I1216" s="696"/>
    </row>
    <row r="1217" spans="1:9" ht="12.75">
      <c r="A1217" s="998"/>
      <c r="B1217" s="999"/>
      <c r="C1217" s="474"/>
      <c r="D1217" s="474"/>
      <c r="E1217" s="474"/>
      <c r="F1217" s="474"/>
      <c r="G1217" s="696"/>
      <c r="H1217" s="474"/>
      <c r="I1217" s="696"/>
    </row>
    <row r="1218" spans="1:9" ht="12.75">
      <c r="A1218" s="998"/>
      <c r="B1218" s="999"/>
      <c r="C1218" s="474"/>
      <c r="D1218" s="474"/>
      <c r="E1218" s="474"/>
      <c r="F1218" s="474"/>
      <c r="G1218" s="696"/>
      <c r="H1218" s="474"/>
      <c r="I1218" s="696"/>
    </row>
    <row r="1219" spans="1:9" ht="12.75">
      <c r="A1219" s="998"/>
      <c r="B1219" s="999"/>
      <c r="C1219" s="474"/>
      <c r="D1219" s="474"/>
      <c r="E1219" s="474"/>
      <c r="F1219" s="474"/>
      <c r="G1219" s="696"/>
      <c r="H1219" s="474"/>
      <c r="I1219" s="696"/>
    </row>
    <row r="1220" spans="1:9" ht="12.75">
      <c r="A1220" s="998"/>
      <c r="B1220" s="999"/>
      <c r="C1220" s="474"/>
      <c r="D1220" s="474"/>
      <c r="E1220" s="474"/>
      <c r="F1220" s="474"/>
      <c r="G1220" s="696"/>
      <c r="H1220" s="474"/>
      <c r="I1220" s="696"/>
    </row>
    <row r="1221" spans="1:9" ht="12.75">
      <c r="A1221" s="998"/>
      <c r="B1221" s="999"/>
      <c r="C1221" s="474"/>
      <c r="D1221" s="474"/>
      <c r="E1221" s="474"/>
      <c r="F1221" s="474"/>
      <c r="G1221" s="696"/>
      <c r="H1221" s="474"/>
      <c r="I1221" s="696"/>
    </row>
    <row r="1222" spans="1:9" ht="12.75">
      <c r="A1222" s="998"/>
      <c r="B1222" s="999"/>
      <c r="C1222" s="474"/>
      <c r="D1222" s="474"/>
      <c r="E1222" s="474"/>
      <c r="F1222" s="474"/>
      <c r="G1222" s="696"/>
      <c r="H1222" s="474"/>
      <c r="I1222" s="696"/>
    </row>
    <row r="1223" spans="1:9" ht="12.75">
      <c r="A1223" s="998"/>
      <c r="B1223" s="999"/>
      <c r="C1223" s="474"/>
      <c r="D1223" s="474"/>
      <c r="E1223" s="474"/>
      <c r="F1223" s="474"/>
      <c r="G1223" s="696"/>
      <c r="H1223" s="474"/>
      <c r="I1223" s="696"/>
    </row>
    <row r="1224" spans="1:9" ht="12.75">
      <c r="A1224" s="998"/>
      <c r="B1224" s="999"/>
      <c r="C1224" s="474"/>
      <c r="D1224" s="474"/>
      <c r="E1224" s="474"/>
      <c r="F1224" s="474"/>
      <c r="G1224" s="696"/>
      <c r="H1224" s="474"/>
      <c r="I1224" s="696"/>
    </row>
    <row r="1225" spans="1:9" ht="12.75">
      <c r="A1225" s="998"/>
      <c r="B1225" s="999"/>
      <c r="C1225" s="474"/>
      <c r="D1225" s="474"/>
      <c r="E1225" s="474"/>
      <c r="F1225" s="474"/>
      <c r="G1225" s="696"/>
      <c r="H1225" s="474"/>
      <c r="I1225" s="696"/>
    </row>
    <row r="1226" spans="1:9" ht="12.75">
      <c r="A1226" s="998"/>
      <c r="B1226" s="999"/>
      <c r="C1226" s="474"/>
      <c r="D1226" s="474"/>
      <c r="E1226" s="474"/>
      <c r="F1226" s="474"/>
      <c r="G1226" s="696"/>
      <c r="H1226" s="474"/>
      <c r="I1226" s="696"/>
    </row>
    <row r="1227" spans="1:9" ht="12.75">
      <c r="A1227" s="998"/>
      <c r="B1227" s="999"/>
      <c r="C1227" s="474"/>
      <c r="D1227" s="474"/>
      <c r="E1227" s="474"/>
      <c r="F1227" s="474"/>
      <c r="G1227" s="696"/>
      <c r="H1227" s="474"/>
      <c r="I1227" s="696"/>
    </row>
    <row r="1228" spans="1:9" ht="12.75">
      <c r="A1228" s="998"/>
      <c r="B1228" s="999"/>
      <c r="C1228" s="474"/>
      <c r="D1228" s="474"/>
      <c r="E1228" s="474"/>
      <c r="F1228" s="474"/>
      <c r="G1228" s="696"/>
      <c r="H1228" s="474"/>
      <c r="I1228" s="696"/>
    </row>
    <row r="1229" spans="1:9" ht="12.75">
      <c r="A1229" s="998"/>
      <c r="B1229" s="999"/>
      <c r="C1229" s="474"/>
      <c r="D1229" s="474"/>
      <c r="E1229" s="474"/>
      <c r="F1229" s="474"/>
      <c r="G1229" s="696"/>
      <c r="H1229" s="474"/>
      <c r="I1229" s="696"/>
    </row>
    <row r="1230" spans="1:9" ht="12.75">
      <c r="A1230" s="998"/>
      <c r="B1230" s="999"/>
      <c r="C1230" s="474"/>
      <c r="D1230" s="474"/>
      <c r="E1230" s="474"/>
      <c r="F1230" s="474"/>
      <c r="G1230" s="696"/>
      <c r="H1230" s="474"/>
      <c r="I1230" s="696"/>
    </row>
    <row r="1231" spans="1:9" ht="12.75">
      <c r="A1231" s="998"/>
      <c r="B1231" s="999"/>
      <c r="C1231" s="474"/>
      <c r="D1231" s="474"/>
      <c r="E1231" s="474"/>
      <c r="F1231" s="474"/>
      <c r="G1231" s="696"/>
      <c r="H1231" s="474"/>
      <c r="I1231" s="696"/>
    </row>
    <row r="1232" spans="1:9" ht="12.75">
      <c r="A1232" s="998"/>
      <c r="B1232" s="999"/>
      <c r="C1232" s="474"/>
      <c r="D1232" s="474"/>
      <c r="E1232" s="474"/>
      <c r="F1232" s="474"/>
      <c r="G1232" s="696"/>
      <c r="H1232" s="474"/>
      <c r="I1232" s="696"/>
    </row>
    <row r="1233" spans="1:9" ht="12.75">
      <c r="A1233" s="998"/>
      <c r="B1233" s="999"/>
      <c r="C1233" s="474"/>
      <c r="D1233" s="474"/>
      <c r="E1233" s="474"/>
      <c r="F1233" s="474"/>
      <c r="G1233" s="696"/>
      <c r="H1233" s="474"/>
      <c r="I1233" s="696"/>
    </row>
    <row r="1234" spans="1:9" ht="12.75">
      <c r="A1234" s="998"/>
      <c r="B1234" s="999"/>
      <c r="C1234" s="474"/>
      <c r="D1234" s="474"/>
      <c r="E1234" s="474"/>
      <c r="F1234" s="474"/>
      <c r="G1234" s="696"/>
      <c r="H1234" s="474"/>
      <c r="I1234" s="696"/>
    </row>
    <row r="1235" spans="1:9" ht="12.75">
      <c r="A1235" s="998"/>
      <c r="B1235" s="999"/>
      <c r="C1235" s="474"/>
      <c r="D1235" s="474"/>
      <c r="E1235" s="474"/>
      <c r="F1235" s="474"/>
      <c r="G1235" s="696"/>
      <c r="H1235" s="474"/>
      <c r="I1235" s="696"/>
    </row>
    <row r="1236" spans="1:9" ht="12.75">
      <c r="A1236" s="998"/>
      <c r="B1236" s="999"/>
      <c r="C1236" s="474"/>
      <c r="D1236" s="474"/>
      <c r="E1236" s="474"/>
      <c r="F1236" s="474"/>
      <c r="G1236" s="696"/>
      <c r="H1236" s="474"/>
      <c r="I1236" s="696"/>
    </row>
    <row r="1237" spans="1:9" ht="12.75">
      <c r="A1237" s="998"/>
      <c r="B1237" s="999"/>
      <c r="C1237" s="474"/>
      <c r="D1237" s="474"/>
      <c r="E1237" s="474"/>
      <c r="F1237" s="474"/>
      <c r="G1237" s="696"/>
      <c r="H1237" s="474"/>
      <c r="I1237" s="696"/>
    </row>
    <row r="1238" spans="1:9" ht="12.75">
      <c r="A1238" s="998"/>
      <c r="B1238" s="999"/>
      <c r="C1238" s="474"/>
      <c r="D1238" s="474"/>
      <c r="E1238" s="474"/>
      <c r="F1238" s="474"/>
      <c r="G1238" s="696"/>
      <c r="H1238" s="474"/>
      <c r="I1238" s="696"/>
    </row>
    <row r="1239" spans="1:9" ht="12.75">
      <c r="A1239" s="998"/>
      <c r="B1239" s="999"/>
      <c r="C1239" s="474"/>
      <c r="D1239" s="474"/>
      <c r="E1239" s="474"/>
      <c r="F1239" s="474"/>
      <c r="G1239" s="696"/>
      <c r="H1239" s="474"/>
      <c r="I1239" s="696"/>
    </row>
    <row r="1240" spans="1:9" ht="12.75">
      <c r="A1240" s="998"/>
      <c r="B1240" s="999"/>
      <c r="C1240" s="474"/>
      <c r="D1240" s="474"/>
      <c r="E1240" s="474"/>
      <c r="F1240" s="474"/>
      <c r="G1240" s="696"/>
      <c r="H1240" s="474"/>
      <c r="I1240" s="696"/>
    </row>
    <row r="1241" spans="1:9" ht="12.75">
      <c r="A1241" s="998"/>
      <c r="B1241" s="999"/>
      <c r="C1241" s="474"/>
      <c r="D1241" s="474"/>
      <c r="E1241" s="474"/>
      <c r="F1241" s="474"/>
      <c r="G1241" s="696"/>
      <c r="H1241" s="474"/>
      <c r="I1241" s="696"/>
    </row>
    <row r="1242" spans="1:9" ht="12.75">
      <c r="A1242" s="998"/>
      <c r="B1242" s="999"/>
      <c r="C1242" s="474"/>
      <c r="D1242" s="474"/>
      <c r="E1242" s="474"/>
      <c r="F1242" s="474"/>
      <c r="G1242" s="696"/>
      <c r="H1242" s="474"/>
      <c r="I1242" s="696"/>
    </row>
    <row r="1243" spans="1:9" ht="12.75">
      <c r="A1243" s="998"/>
      <c r="B1243" s="999"/>
      <c r="C1243" s="474"/>
      <c r="D1243" s="474"/>
      <c r="E1243" s="474"/>
      <c r="F1243" s="474"/>
      <c r="G1243" s="696"/>
      <c r="H1243" s="474"/>
      <c r="I1243" s="696"/>
    </row>
    <row r="1244" spans="1:9" ht="12.75">
      <c r="A1244" s="998"/>
      <c r="B1244" s="999"/>
      <c r="C1244" s="474"/>
      <c r="D1244" s="474"/>
      <c r="E1244" s="474"/>
      <c r="F1244" s="474"/>
      <c r="G1244" s="696"/>
      <c r="H1244" s="474"/>
      <c r="I1244" s="696"/>
    </row>
    <row r="1245" spans="1:9" ht="12.75">
      <c r="A1245" s="998"/>
      <c r="B1245" s="999"/>
      <c r="C1245" s="474"/>
      <c r="D1245" s="474"/>
      <c r="E1245" s="474"/>
      <c r="F1245" s="474"/>
      <c r="G1245" s="696"/>
      <c r="H1245" s="474"/>
      <c r="I1245" s="696"/>
    </row>
    <row r="1246" spans="1:9" ht="12.75">
      <c r="A1246" s="998"/>
      <c r="B1246" s="999"/>
      <c r="C1246" s="474"/>
      <c r="D1246" s="474"/>
      <c r="E1246" s="474"/>
      <c r="F1246" s="474"/>
      <c r="G1246" s="696"/>
      <c r="H1246" s="474"/>
      <c r="I1246" s="696"/>
    </row>
    <row r="1247" spans="1:9" ht="12.75">
      <c r="A1247" s="998"/>
      <c r="B1247" s="999"/>
      <c r="C1247" s="474"/>
      <c r="D1247" s="474"/>
      <c r="E1247" s="474"/>
      <c r="F1247" s="474"/>
      <c r="G1247" s="696"/>
      <c r="H1247" s="474"/>
      <c r="I1247" s="696"/>
    </row>
    <row r="1248" spans="1:9" ht="12.75">
      <c r="A1248" s="998"/>
      <c r="B1248" s="999"/>
      <c r="C1248" s="474"/>
      <c r="D1248" s="474"/>
      <c r="E1248" s="474"/>
      <c r="F1248" s="474"/>
      <c r="G1248" s="696"/>
      <c r="H1248" s="474"/>
      <c r="I1248" s="696"/>
    </row>
    <row r="1249" spans="1:9" ht="12.75">
      <c r="A1249" s="998"/>
      <c r="B1249" s="999"/>
      <c r="C1249" s="474"/>
      <c r="D1249" s="474"/>
      <c r="E1249" s="474"/>
      <c r="F1249" s="474"/>
      <c r="G1249" s="696"/>
      <c r="H1249" s="474"/>
      <c r="I1249" s="696"/>
    </row>
    <row r="1250" spans="1:9" ht="12.75">
      <c r="A1250" s="998"/>
      <c r="B1250" s="999"/>
      <c r="C1250" s="474"/>
      <c r="D1250" s="474"/>
      <c r="E1250" s="474"/>
      <c r="F1250" s="474"/>
      <c r="G1250" s="696"/>
      <c r="H1250" s="474"/>
      <c r="I1250" s="696"/>
    </row>
    <row r="1251" spans="1:9" ht="12.75">
      <c r="A1251" s="998"/>
      <c r="B1251" s="999"/>
      <c r="C1251" s="474"/>
      <c r="D1251" s="474"/>
      <c r="E1251" s="474"/>
      <c r="F1251" s="474"/>
      <c r="G1251" s="696"/>
      <c r="H1251" s="474"/>
      <c r="I1251" s="696"/>
    </row>
    <row r="1252" spans="1:9" ht="12.75">
      <c r="A1252" s="998"/>
      <c r="B1252" s="999"/>
      <c r="C1252" s="474"/>
      <c r="D1252" s="474"/>
      <c r="E1252" s="474"/>
      <c r="F1252" s="474"/>
      <c r="G1252" s="696"/>
      <c r="H1252" s="474"/>
      <c r="I1252" s="696"/>
    </row>
    <row r="1253" spans="1:9" ht="12.75">
      <c r="A1253" s="998"/>
      <c r="B1253" s="999"/>
      <c r="C1253" s="474"/>
      <c r="D1253" s="474"/>
      <c r="E1253" s="474"/>
      <c r="F1253" s="474"/>
      <c r="G1253" s="696"/>
      <c r="H1253" s="474"/>
      <c r="I1253" s="696"/>
    </row>
    <row r="1254" spans="1:9" ht="12.75">
      <c r="A1254" s="998"/>
      <c r="B1254" s="999"/>
      <c r="C1254" s="474"/>
      <c r="D1254" s="474"/>
      <c r="E1254" s="474"/>
      <c r="F1254" s="474"/>
      <c r="G1254" s="696"/>
      <c r="H1254" s="474"/>
      <c r="I1254" s="696"/>
    </row>
    <row r="1255" spans="1:9" ht="12.75">
      <c r="A1255" s="998"/>
      <c r="B1255" s="999"/>
      <c r="C1255" s="474"/>
      <c r="D1255" s="474"/>
      <c r="E1255" s="474"/>
      <c r="F1255" s="474"/>
      <c r="G1255" s="696"/>
      <c r="H1255" s="474"/>
      <c r="I1255" s="696"/>
    </row>
    <row r="1256" spans="1:9" ht="12.75">
      <c r="A1256" s="998"/>
      <c r="B1256" s="999"/>
      <c r="C1256" s="474"/>
      <c r="D1256" s="474"/>
      <c r="E1256" s="474"/>
      <c r="F1256" s="474"/>
      <c r="G1256" s="696"/>
      <c r="H1256" s="474"/>
      <c r="I1256" s="696"/>
    </row>
    <row r="1257" spans="1:9" ht="12.75">
      <c r="A1257" s="998"/>
      <c r="B1257" s="999"/>
      <c r="C1257" s="474"/>
      <c r="D1257" s="474"/>
      <c r="E1257" s="474"/>
      <c r="F1257" s="474"/>
      <c r="G1257" s="696"/>
      <c r="H1257" s="474"/>
      <c r="I1257" s="696"/>
    </row>
    <row r="1258" spans="1:9" ht="12.75">
      <c r="A1258" s="998"/>
      <c r="B1258" s="999"/>
      <c r="C1258" s="474"/>
      <c r="D1258" s="474"/>
      <c r="E1258" s="474"/>
      <c r="F1258" s="474"/>
      <c r="G1258" s="696"/>
      <c r="H1258" s="474"/>
      <c r="I1258" s="696"/>
    </row>
    <row r="1259" spans="1:9" ht="12.75">
      <c r="A1259" s="998"/>
      <c r="B1259" s="999"/>
      <c r="C1259" s="474"/>
      <c r="D1259" s="474"/>
      <c r="E1259" s="474"/>
      <c r="F1259" s="474"/>
      <c r="G1259" s="696"/>
      <c r="H1259" s="474"/>
      <c r="I1259" s="696"/>
    </row>
    <row r="1260" spans="1:9" ht="12.75">
      <c r="A1260" s="998"/>
      <c r="B1260" s="999"/>
      <c r="C1260" s="474"/>
      <c r="D1260" s="474"/>
      <c r="E1260" s="474"/>
      <c r="F1260" s="474"/>
      <c r="G1260" s="696"/>
      <c r="H1260" s="474"/>
      <c r="I1260" s="696"/>
    </row>
    <row r="1261" spans="1:9" ht="12.75">
      <c r="A1261" s="998"/>
      <c r="B1261" s="999"/>
      <c r="C1261" s="474"/>
      <c r="D1261" s="474"/>
      <c r="E1261" s="474"/>
      <c r="F1261" s="474"/>
      <c r="G1261" s="696"/>
      <c r="H1261" s="474"/>
      <c r="I1261" s="696"/>
    </row>
    <row r="1262" spans="1:9" ht="12.75">
      <c r="A1262" s="998"/>
      <c r="B1262" s="999"/>
      <c r="C1262" s="474"/>
      <c r="D1262" s="474"/>
      <c r="E1262" s="474"/>
      <c r="F1262" s="474"/>
      <c r="G1262" s="696"/>
      <c r="H1262" s="474"/>
      <c r="I1262" s="696"/>
    </row>
    <row r="1263" spans="1:9" ht="12.75">
      <c r="A1263" s="998"/>
      <c r="B1263" s="999"/>
      <c r="C1263" s="474"/>
      <c r="D1263" s="474"/>
      <c r="E1263" s="474"/>
      <c r="F1263" s="474"/>
      <c r="G1263" s="696"/>
      <c r="H1263" s="474"/>
      <c r="I1263" s="696"/>
    </row>
    <row r="1264" spans="1:9" ht="12.75">
      <c r="A1264" s="998"/>
      <c r="B1264" s="999"/>
      <c r="C1264" s="474"/>
      <c r="D1264" s="474"/>
      <c r="E1264" s="474"/>
      <c r="F1264" s="474"/>
      <c r="G1264" s="696"/>
      <c r="H1264" s="474"/>
      <c r="I1264" s="696"/>
    </row>
    <row r="1265" spans="1:9" ht="12.75">
      <c r="A1265" s="998"/>
      <c r="B1265" s="999"/>
      <c r="C1265" s="474"/>
      <c r="D1265" s="474"/>
      <c r="E1265" s="474"/>
      <c r="F1265" s="474"/>
      <c r="G1265" s="696"/>
      <c r="H1265" s="474"/>
      <c r="I1265" s="696"/>
    </row>
    <row r="1266" spans="1:9" ht="12.75">
      <c r="A1266" s="998"/>
      <c r="B1266" s="999"/>
      <c r="C1266" s="474"/>
      <c r="D1266" s="474"/>
      <c r="E1266" s="474"/>
      <c r="F1266" s="474"/>
      <c r="G1266" s="696"/>
      <c r="H1266" s="474"/>
      <c r="I1266" s="696"/>
    </row>
    <row r="1267" spans="1:9" ht="12.75">
      <c r="A1267" s="998"/>
      <c r="B1267" s="999"/>
      <c r="C1267" s="474"/>
      <c r="D1267" s="474"/>
      <c r="E1267" s="474"/>
      <c r="F1267" s="474"/>
      <c r="G1267" s="696"/>
      <c r="H1267" s="474"/>
      <c r="I1267" s="696"/>
    </row>
    <row r="1268" spans="1:9" ht="12.75">
      <c r="A1268" s="998"/>
      <c r="B1268" s="999"/>
      <c r="C1268" s="474"/>
      <c r="D1268" s="474"/>
      <c r="E1268" s="474"/>
      <c r="F1268" s="474"/>
      <c r="G1268" s="696"/>
      <c r="H1268" s="474"/>
      <c r="I1268" s="696"/>
    </row>
    <row r="1269" spans="1:9" ht="12.75">
      <c r="A1269" s="998"/>
      <c r="B1269" s="999"/>
      <c r="C1269" s="474"/>
      <c r="D1269" s="474"/>
      <c r="E1269" s="474"/>
      <c r="F1269" s="474"/>
      <c r="G1269" s="696"/>
      <c r="H1269" s="474"/>
      <c r="I1269" s="696"/>
    </row>
    <row r="1270" spans="1:9" ht="12.75">
      <c r="A1270" s="998"/>
      <c r="B1270" s="999"/>
      <c r="C1270" s="474"/>
      <c r="D1270" s="474"/>
      <c r="E1270" s="474"/>
      <c r="F1270" s="474"/>
      <c r="G1270" s="696"/>
      <c r="H1270" s="474"/>
      <c r="I1270" s="696"/>
    </row>
    <row r="1271" spans="1:9" ht="12.75">
      <c r="A1271" s="998"/>
      <c r="B1271" s="999"/>
      <c r="C1271" s="474"/>
      <c r="D1271" s="474"/>
      <c r="E1271" s="474"/>
      <c r="F1271" s="474"/>
      <c r="G1271" s="696"/>
      <c r="H1271" s="474"/>
      <c r="I1271" s="696"/>
    </row>
    <row r="1272" spans="1:9" ht="12.75">
      <c r="A1272" s="998"/>
      <c r="B1272" s="999"/>
      <c r="C1272" s="474"/>
      <c r="D1272" s="474"/>
      <c r="E1272" s="474"/>
      <c r="F1272" s="474"/>
      <c r="G1272" s="696"/>
      <c r="H1272" s="474"/>
      <c r="I1272" s="696"/>
    </row>
    <row r="1273" spans="1:9" ht="12.75">
      <c r="A1273" s="998"/>
      <c r="B1273" s="999"/>
      <c r="C1273" s="474"/>
      <c r="D1273" s="474"/>
      <c r="E1273" s="474"/>
      <c r="F1273" s="474"/>
      <c r="G1273" s="696"/>
      <c r="H1273" s="474"/>
      <c r="I1273" s="696"/>
    </row>
    <row r="1274" spans="1:9" ht="12.75">
      <c r="A1274" s="998"/>
      <c r="B1274" s="999"/>
      <c r="C1274" s="474"/>
      <c r="D1274" s="474"/>
      <c r="E1274" s="474"/>
      <c r="F1274" s="474"/>
      <c r="G1274" s="696"/>
      <c r="H1274" s="474"/>
      <c r="I1274" s="696"/>
    </row>
    <row r="1275" spans="1:9" ht="12.75">
      <c r="A1275" s="998"/>
      <c r="B1275" s="999"/>
      <c r="C1275" s="474"/>
      <c r="D1275" s="474"/>
      <c r="E1275" s="474"/>
      <c r="F1275" s="474"/>
      <c r="G1275" s="696"/>
      <c r="H1275" s="474"/>
      <c r="I1275" s="696"/>
    </row>
    <row r="1276" spans="1:9" ht="12.75">
      <c r="A1276" s="998"/>
      <c r="B1276" s="999"/>
      <c r="C1276" s="474"/>
      <c r="D1276" s="474"/>
      <c r="E1276" s="474"/>
      <c r="F1276" s="474"/>
      <c r="G1276" s="696"/>
      <c r="H1276" s="474"/>
      <c r="I1276" s="696"/>
    </row>
    <row r="1277" spans="1:9" ht="12.75">
      <c r="A1277" s="998"/>
      <c r="B1277" s="999"/>
      <c r="C1277" s="474"/>
      <c r="D1277" s="474"/>
      <c r="E1277" s="474"/>
      <c r="F1277" s="474"/>
      <c r="G1277" s="696"/>
      <c r="H1277" s="474"/>
      <c r="I1277" s="696"/>
    </row>
    <row r="1278" spans="1:9" ht="12.75">
      <c r="A1278" s="998"/>
      <c r="B1278" s="999"/>
      <c r="C1278" s="474"/>
      <c r="D1278" s="474"/>
      <c r="E1278" s="474"/>
      <c r="F1278" s="474"/>
      <c r="G1278" s="696"/>
      <c r="H1278" s="474"/>
      <c r="I1278" s="696"/>
    </row>
    <row r="1279" spans="1:9" ht="12.75">
      <c r="A1279" s="998"/>
      <c r="B1279" s="999"/>
      <c r="C1279" s="474"/>
      <c r="D1279" s="474"/>
      <c r="E1279" s="474"/>
      <c r="F1279" s="474"/>
      <c r="G1279" s="696"/>
      <c r="H1279" s="474"/>
      <c r="I1279" s="696"/>
    </row>
    <row r="1280" spans="1:9" ht="12.75">
      <c r="A1280" s="998"/>
      <c r="B1280" s="999"/>
      <c r="C1280" s="474"/>
      <c r="D1280" s="474"/>
      <c r="E1280" s="474"/>
      <c r="F1280" s="474"/>
      <c r="G1280" s="696"/>
      <c r="H1280" s="474"/>
      <c r="I1280" s="696"/>
    </row>
    <row r="1281" spans="1:9" ht="12.75">
      <c r="A1281" s="998"/>
      <c r="B1281" s="999"/>
      <c r="C1281" s="474"/>
      <c r="D1281" s="474"/>
      <c r="E1281" s="474"/>
      <c r="F1281" s="474"/>
      <c r="G1281" s="696"/>
      <c r="H1281" s="474"/>
      <c r="I1281" s="696"/>
    </row>
    <row r="1282" spans="1:9" ht="12.75">
      <c r="A1282" s="998"/>
      <c r="B1282" s="999"/>
      <c r="C1282" s="474"/>
      <c r="D1282" s="474"/>
      <c r="E1282" s="474"/>
      <c r="F1282" s="474"/>
      <c r="G1282" s="696"/>
      <c r="H1282" s="474"/>
      <c r="I1282" s="696"/>
    </row>
    <row r="1283" spans="1:9" ht="12.75">
      <c r="A1283" s="998"/>
      <c r="B1283" s="999"/>
      <c r="C1283" s="474"/>
      <c r="D1283" s="474"/>
      <c r="E1283" s="474"/>
      <c r="F1283" s="474"/>
      <c r="G1283" s="696"/>
      <c r="H1283" s="474"/>
      <c r="I1283" s="696"/>
    </row>
    <row r="1284" spans="1:9" ht="12.75">
      <c r="A1284" s="998"/>
      <c r="B1284" s="999"/>
      <c r="C1284" s="474"/>
      <c r="D1284" s="474"/>
      <c r="E1284" s="474"/>
      <c r="F1284" s="474"/>
      <c r="G1284" s="696"/>
      <c r="H1284" s="474"/>
      <c r="I1284" s="696"/>
    </row>
    <row r="1285" spans="1:9" ht="12.75">
      <c r="A1285" s="998"/>
      <c r="B1285" s="999"/>
      <c r="C1285" s="474"/>
      <c r="D1285" s="474"/>
      <c r="E1285" s="474"/>
      <c r="F1285" s="474"/>
      <c r="G1285" s="696"/>
      <c r="H1285" s="474"/>
      <c r="I1285" s="696"/>
    </row>
    <row r="1286" spans="1:9" ht="12.75">
      <c r="A1286" s="998"/>
      <c r="B1286" s="999"/>
      <c r="C1286" s="474"/>
      <c r="D1286" s="474"/>
      <c r="E1286" s="474"/>
      <c r="F1286" s="474"/>
      <c r="G1286" s="696"/>
      <c r="H1286" s="474"/>
      <c r="I1286" s="696"/>
    </row>
    <row r="1287" spans="1:9" ht="12.75">
      <c r="A1287" s="998"/>
      <c r="B1287" s="999"/>
      <c r="C1287" s="474"/>
      <c r="D1287" s="474"/>
      <c r="E1287" s="474"/>
      <c r="F1287" s="474"/>
      <c r="G1287" s="696"/>
      <c r="H1287" s="474"/>
      <c r="I1287" s="696"/>
    </row>
    <row r="1288" spans="1:9" ht="12.75">
      <c r="A1288" s="998"/>
      <c r="B1288" s="999"/>
      <c r="C1288" s="474"/>
      <c r="D1288" s="474"/>
      <c r="E1288" s="474"/>
      <c r="F1288" s="474"/>
      <c r="G1288" s="696"/>
      <c r="H1288" s="474"/>
      <c r="I1288" s="696"/>
    </row>
    <row r="1289" spans="1:9" ht="12.75">
      <c r="A1289" s="998"/>
      <c r="B1289" s="999"/>
      <c r="C1289" s="474"/>
      <c r="D1289" s="474"/>
      <c r="E1289" s="474"/>
      <c r="F1289" s="474"/>
      <c r="G1289" s="696"/>
      <c r="H1289" s="474"/>
      <c r="I1289" s="696"/>
    </row>
    <row r="1290" spans="1:9" ht="12.75">
      <c r="A1290" s="998"/>
      <c r="B1290" s="999"/>
      <c r="C1290" s="474"/>
      <c r="D1290" s="474"/>
      <c r="E1290" s="474"/>
      <c r="F1290" s="474"/>
      <c r="G1290" s="696"/>
      <c r="H1290" s="474"/>
      <c r="I1290" s="696"/>
    </row>
    <row r="1291" spans="1:9" ht="12.75">
      <c r="A1291" s="998"/>
      <c r="B1291" s="999"/>
      <c r="C1291" s="474"/>
      <c r="D1291" s="474"/>
      <c r="E1291" s="474"/>
      <c r="F1291" s="474"/>
      <c r="G1291" s="696"/>
      <c r="H1291" s="474"/>
      <c r="I1291" s="696"/>
    </row>
    <row r="1292" spans="1:9" ht="12.75">
      <c r="A1292" s="998"/>
      <c r="B1292" s="999"/>
      <c r="C1292" s="474"/>
      <c r="D1292" s="474"/>
      <c r="E1292" s="474"/>
      <c r="F1292" s="474"/>
      <c r="G1292" s="696"/>
      <c r="H1292" s="474"/>
      <c r="I1292" s="696"/>
    </row>
    <row r="1293" spans="1:9" ht="12.75">
      <c r="A1293" s="998"/>
      <c r="B1293" s="999"/>
      <c r="C1293" s="474"/>
      <c r="D1293" s="474"/>
      <c r="E1293" s="474"/>
      <c r="F1293" s="474"/>
      <c r="G1293" s="696"/>
      <c r="H1293" s="474"/>
      <c r="I1293" s="696"/>
    </row>
    <row r="1294" spans="1:9" ht="12.75">
      <c r="A1294" s="998"/>
      <c r="B1294" s="999"/>
      <c r="C1294" s="474"/>
      <c r="D1294" s="474"/>
      <c r="E1294" s="474"/>
      <c r="F1294" s="474"/>
      <c r="G1294" s="696"/>
      <c r="H1294" s="474"/>
      <c r="I1294" s="696"/>
    </row>
    <row r="1295" spans="1:9" ht="12.75">
      <c r="A1295" s="998"/>
      <c r="B1295" s="999"/>
      <c r="C1295" s="474"/>
      <c r="D1295" s="474"/>
      <c r="E1295" s="474"/>
      <c r="F1295" s="474"/>
      <c r="G1295" s="696"/>
      <c r="H1295" s="474"/>
      <c r="I1295" s="696"/>
    </row>
    <row r="1296" spans="1:9" ht="12.75">
      <c r="A1296" s="998"/>
      <c r="B1296" s="999"/>
      <c r="C1296" s="474"/>
      <c r="D1296" s="474"/>
      <c r="E1296" s="474"/>
      <c r="F1296" s="474"/>
      <c r="G1296" s="696"/>
      <c r="H1296" s="474"/>
      <c r="I1296" s="696"/>
    </row>
    <row r="1297" spans="1:9" ht="12.75">
      <c r="A1297" s="998"/>
      <c r="B1297" s="999"/>
      <c r="C1297" s="474"/>
      <c r="D1297" s="474"/>
      <c r="E1297" s="474"/>
      <c r="F1297" s="474"/>
      <c r="G1297" s="696"/>
      <c r="H1297" s="474"/>
      <c r="I1297" s="696"/>
    </row>
    <row r="1298" spans="1:9" ht="12.75">
      <c r="A1298" s="998"/>
      <c r="B1298" s="999"/>
      <c r="C1298" s="474"/>
      <c r="D1298" s="474"/>
      <c r="E1298" s="474"/>
      <c r="F1298" s="474"/>
      <c r="G1298" s="696"/>
      <c r="H1298" s="474"/>
      <c r="I1298" s="696"/>
    </row>
    <row r="1299" spans="1:9" ht="12.75">
      <c r="A1299" s="998"/>
      <c r="B1299" s="999"/>
      <c r="C1299" s="474"/>
      <c r="D1299" s="474"/>
      <c r="E1299" s="474"/>
      <c r="F1299" s="474"/>
      <c r="G1299" s="696"/>
      <c r="H1299" s="474"/>
      <c r="I1299" s="696"/>
    </row>
    <row r="1300" spans="1:9" ht="12.75">
      <c r="A1300" s="998"/>
      <c r="B1300" s="999"/>
      <c r="C1300" s="474"/>
      <c r="D1300" s="474"/>
      <c r="E1300" s="474"/>
      <c r="F1300" s="474"/>
      <c r="G1300" s="696"/>
      <c r="H1300" s="474"/>
      <c r="I1300" s="696"/>
    </row>
    <row r="1301" spans="1:9" ht="12.75">
      <c r="A1301" s="998"/>
      <c r="B1301" s="999"/>
      <c r="C1301" s="474"/>
      <c r="D1301" s="474"/>
      <c r="E1301" s="474"/>
      <c r="F1301" s="474"/>
      <c r="G1301" s="696"/>
      <c r="H1301" s="474"/>
      <c r="I1301" s="696"/>
    </row>
    <row r="1302" spans="1:9" ht="12.75">
      <c r="A1302" s="998"/>
      <c r="B1302" s="999"/>
      <c r="C1302" s="474"/>
      <c r="D1302" s="474"/>
      <c r="E1302" s="474"/>
      <c r="F1302" s="474"/>
      <c r="G1302" s="696"/>
      <c r="H1302" s="474"/>
      <c r="I1302" s="696"/>
    </row>
    <row r="1303" spans="1:9" ht="12.75">
      <c r="A1303" s="998"/>
      <c r="B1303" s="999"/>
      <c r="C1303" s="474"/>
      <c r="D1303" s="474"/>
      <c r="E1303" s="474"/>
      <c r="F1303" s="474"/>
      <c r="G1303" s="696"/>
      <c r="H1303" s="474"/>
      <c r="I1303" s="696"/>
    </row>
    <row r="1304" spans="1:9" ht="12.75">
      <c r="A1304" s="998"/>
      <c r="B1304" s="999"/>
      <c r="C1304" s="474"/>
      <c r="D1304" s="474"/>
      <c r="E1304" s="474"/>
      <c r="F1304" s="474"/>
      <c r="G1304" s="696"/>
      <c r="H1304" s="474"/>
      <c r="I1304" s="696"/>
    </row>
    <row r="1305" spans="1:9" ht="12.75">
      <c r="A1305" s="998"/>
      <c r="B1305" s="999"/>
      <c r="C1305" s="474"/>
      <c r="D1305" s="474"/>
      <c r="E1305" s="474"/>
      <c r="F1305" s="474"/>
      <c r="G1305" s="696"/>
      <c r="H1305" s="474"/>
      <c r="I1305" s="696"/>
    </row>
    <row r="1306" spans="1:9" ht="12.75">
      <c r="A1306" s="998"/>
      <c r="B1306" s="999"/>
      <c r="C1306" s="474"/>
      <c r="D1306" s="474"/>
      <c r="E1306" s="474"/>
      <c r="F1306" s="474"/>
      <c r="G1306" s="696"/>
      <c r="H1306" s="474"/>
      <c r="I1306" s="696"/>
    </row>
    <row r="1307" spans="1:9" ht="12.75">
      <c r="A1307" s="998"/>
      <c r="B1307" s="999"/>
      <c r="C1307" s="474"/>
      <c r="D1307" s="474"/>
      <c r="E1307" s="474"/>
      <c r="F1307" s="474"/>
      <c r="G1307" s="696"/>
      <c r="H1307" s="474"/>
      <c r="I1307" s="696"/>
    </row>
    <row r="1308" spans="1:9" ht="12.75">
      <c r="A1308" s="998"/>
      <c r="B1308" s="999"/>
      <c r="C1308" s="474"/>
      <c r="D1308" s="474"/>
      <c r="E1308" s="474"/>
      <c r="F1308" s="474"/>
      <c r="G1308" s="696"/>
      <c r="H1308" s="474"/>
      <c r="I1308" s="696"/>
    </row>
    <row r="1309" spans="1:9" ht="12.75">
      <c r="A1309" s="998"/>
      <c r="B1309" s="999"/>
      <c r="C1309" s="474"/>
      <c r="D1309" s="474"/>
      <c r="E1309" s="474"/>
      <c r="F1309" s="474"/>
      <c r="G1309" s="696"/>
      <c r="H1309" s="474"/>
      <c r="I1309" s="696"/>
    </row>
    <row r="1310" spans="1:9" ht="12.75">
      <c r="A1310" s="998"/>
      <c r="B1310" s="999"/>
      <c r="C1310" s="474"/>
      <c r="D1310" s="474"/>
      <c r="E1310" s="474"/>
      <c r="F1310" s="474"/>
      <c r="G1310" s="696"/>
      <c r="H1310" s="474"/>
      <c r="I1310" s="696"/>
    </row>
    <row r="1311" spans="1:9" ht="12.75">
      <c r="A1311" s="998"/>
      <c r="B1311" s="999"/>
      <c r="C1311" s="474"/>
      <c r="D1311" s="474"/>
      <c r="E1311" s="474"/>
      <c r="F1311" s="474"/>
      <c r="G1311" s="696"/>
      <c r="H1311" s="474"/>
      <c r="I1311" s="696"/>
    </row>
    <row r="1312" spans="1:9" ht="12.75">
      <c r="A1312" s="998"/>
      <c r="B1312" s="999"/>
      <c r="C1312" s="474"/>
      <c r="D1312" s="474"/>
      <c r="E1312" s="474"/>
      <c r="F1312" s="474"/>
      <c r="G1312" s="696"/>
      <c r="H1312" s="474"/>
      <c r="I1312" s="696"/>
    </row>
    <row r="1313" spans="1:9" ht="12.75">
      <c r="A1313" s="998"/>
      <c r="B1313" s="999"/>
      <c r="C1313" s="474"/>
      <c r="D1313" s="474"/>
      <c r="E1313" s="474"/>
      <c r="F1313" s="474"/>
      <c r="G1313" s="696"/>
      <c r="H1313" s="474"/>
      <c r="I1313" s="696"/>
    </row>
    <row r="1314" spans="1:9" ht="12.75">
      <c r="A1314" s="998"/>
      <c r="B1314" s="999"/>
      <c r="C1314" s="474"/>
      <c r="D1314" s="474"/>
      <c r="E1314" s="474"/>
      <c r="F1314" s="474"/>
      <c r="G1314" s="696"/>
      <c r="H1314" s="474"/>
      <c r="I1314" s="696"/>
    </row>
    <row r="1315" spans="1:9" ht="12.75">
      <c r="A1315" s="998"/>
      <c r="B1315" s="999"/>
      <c r="C1315" s="474"/>
      <c r="D1315" s="474"/>
      <c r="E1315" s="474"/>
      <c r="F1315" s="474"/>
      <c r="G1315" s="696"/>
      <c r="H1315" s="474"/>
      <c r="I1315" s="696"/>
    </row>
    <row r="1316" spans="1:9" ht="12.75">
      <c r="A1316" s="998"/>
      <c r="B1316" s="999"/>
      <c r="C1316" s="474"/>
      <c r="D1316" s="474"/>
      <c r="E1316" s="474"/>
      <c r="F1316" s="474"/>
      <c r="G1316" s="696"/>
      <c r="H1316" s="474"/>
      <c r="I1316" s="696"/>
    </row>
    <row r="1317" spans="1:9" ht="12.75">
      <c r="A1317" s="998"/>
      <c r="B1317" s="999"/>
      <c r="C1317" s="474"/>
      <c r="D1317" s="474"/>
      <c r="E1317" s="474"/>
      <c r="F1317" s="474"/>
      <c r="G1317" s="696"/>
      <c r="H1317" s="474"/>
      <c r="I1317" s="696"/>
    </row>
    <row r="1318" spans="1:9" ht="12.75">
      <c r="A1318" s="998"/>
      <c r="B1318" s="999"/>
      <c r="C1318" s="474"/>
      <c r="D1318" s="474"/>
      <c r="E1318" s="474"/>
      <c r="F1318" s="474"/>
      <c r="G1318" s="696"/>
      <c r="H1318" s="474"/>
      <c r="I1318" s="696"/>
    </row>
    <row r="1319" spans="1:9" ht="12.75">
      <c r="A1319" s="998"/>
      <c r="B1319" s="999"/>
      <c r="C1319" s="474"/>
      <c r="D1319" s="474"/>
      <c r="E1319" s="474"/>
      <c r="F1319" s="474"/>
      <c r="G1319" s="696"/>
      <c r="H1319" s="474"/>
      <c r="I1319" s="696"/>
    </row>
    <row r="1320" spans="1:9" ht="12.75">
      <c r="A1320" s="998"/>
      <c r="B1320" s="999"/>
      <c r="C1320" s="474"/>
      <c r="D1320" s="474"/>
      <c r="E1320" s="474"/>
      <c r="F1320" s="474"/>
      <c r="G1320" s="696"/>
      <c r="H1320" s="474"/>
      <c r="I1320" s="696"/>
    </row>
    <row r="1321" spans="1:9" ht="12.75">
      <c r="A1321" s="998"/>
      <c r="B1321" s="999"/>
      <c r="C1321" s="474"/>
      <c r="D1321" s="474"/>
      <c r="E1321" s="474"/>
      <c r="F1321" s="474"/>
      <c r="G1321" s="696"/>
      <c r="H1321" s="474"/>
      <c r="I1321" s="696"/>
    </row>
    <row r="1322" spans="1:9" ht="12.75">
      <c r="A1322" s="998"/>
      <c r="B1322" s="999"/>
      <c r="C1322" s="474"/>
      <c r="D1322" s="474"/>
      <c r="E1322" s="474"/>
      <c r="F1322" s="474"/>
      <c r="G1322" s="696"/>
      <c r="H1322" s="474"/>
      <c r="I1322" s="696"/>
    </row>
    <row r="1323" spans="1:9" ht="12.75">
      <c r="A1323" s="998"/>
      <c r="B1323" s="999"/>
      <c r="C1323" s="474"/>
      <c r="D1323" s="474"/>
      <c r="E1323" s="474"/>
      <c r="F1323" s="474"/>
      <c r="G1323" s="696"/>
      <c r="H1323" s="474"/>
      <c r="I1323" s="696"/>
    </row>
    <row r="1324" spans="1:9" ht="12.75">
      <c r="A1324" s="998"/>
      <c r="B1324" s="999"/>
      <c r="C1324" s="474"/>
      <c r="D1324" s="474"/>
      <c r="E1324" s="474"/>
      <c r="F1324" s="474"/>
      <c r="G1324" s="696"/>
      <c r="H1324" s="474"/>
      <c r="I1324" s="696"/>
    </row>
    <row r="1325" spans="1:9" ht="12.75">
      <c r="A1325" s="998"/>
      <c r="B1325" s="999"/>
      <c r="C1325" s="474"/>
      <c r="D1325" s="474"/>
      <c r="E1325" s="474"/>
      <c r="F1325" s="474"/>
      <c r="G1325" s="696"/>
      <c r="H1325" s="474"/>
      <c r="I1325" s="696"/>
    </row>
    <row r="1326" spans="1:9" ht="12.75">
      <c r="A1326" s="998"/>
      <c r="B1326" s="999"/>
      <c r="C1326" s="474"/>
      <c r="D1326" s="474"/>
      <c r="E1326" s="474"/>
      <c r="F1326" s="474"/>
      <c r="G1326" s="696"/>
      <c r="H1326" s="474"/>
      <c r="I1326" s="696"/>
    </row>
    <row r="1327" spans="1:9" ht="12.75">
      <c r="A1327" s="998"/>
      <c r="B1327" s="999"/>
      <c r="C1327" s="474"/>
      <c r="D1327" s="474"/>
      <c r="E1327" s="474"/>
      <c r="F1327" s="474"/>
      <c r="G1327" s="696"/>
      <c r="H1327" s="474"/>
      <c r="I1327" s="696"/>
    </row>
    <row r="1328" spans="1:9" ht="12.75">
      <c r="A1328" s="998"/>
      <c r="B1328" s="999"/>
      <c r="C1328" s="474"/>
      <c r="D1328" s="474"/>
      <c r="E1328" s="474"/>
      <c r="F1328" s="474"/>
      <c r="G1328" s="696"/>
      <c r="H1328" s="474"/>
      <c r="I1328" s="696"/>
    </row>
    <row r="1329" spans="1:9" ht="12.75">
      <c r="A1329" s="998"/>
      <c r="B1329" s="999"/>
      <c r="C1329" s="474"/>
      <c r="D1329" s="474"/>
      <c r="E1329" s="474"/>
      <c r="F1329" s="474"/>
      <c r="G1329" s="696"/>
      <c r="H1329" s="474"/>
      <c r="I1329" s="696"/>
    </row>
    <row r="1330" spans="1:9" ht="12.75">
      <c r="A1330" s="998"/>
      <c r="B1330" s="999"/>
      <c r="C1330" s="474"/>
      <c r="D1330" s="474"/>
      <c r="E1330" s="474"/>
      <c r="F1330" s="474"/>
      <c r="G1330" s="696"/>
      <c r="H1330" s="474"/>
      <c r="I1330" s="696"/>
    </row>
    <row r="1331" spans="1:9" ht="12.75">
      <c r="A1331" s="998"/>
      <c r="B1331" s="999"/>
      <c r="C1331" s="474"/>
      <c r="D1331" s="474"/>
      <c r="E1331" s="474"/>
      <c r="F1331" s="474"/>
      <c r="G1331" s="696"/>
      <c r="H1331" s="474"/>
      <c r="I1331" s="696"/>
    </row>
    <row r="1332" spans="1:9" ht="12.75">
      <c r="A1332" s="998"/>
      <c r="B1332" s="999"/>
      <c r="C1332" s="474"/>
      <c r="D1332" s="474"/>
      <c r="E1332" s="474"/>
      <c r="F1332" s="474"/>
      <c r="G1332" s="696"/>
      <c r="H1332" s="474"/>
      <c r="I1332" s="696"/>
    </row>
    <row r="1333" spans="1:9" ht="12.75">
      <c r="A1333" s="998"/>
      <c r="B1333" s="999"/>
      <c r="C1333" s="474"/>
      <c r="D1333" s="474"/>
      <c r="E1333" s="474"/>
      <c r="F1333" s="474"/>
      <c r="G1333" s="696"/>
      <c r="H1333" s="474"/>
      <c r="I1333" s="696"/>
    </row>
    <row r="1334" spans="1:9" ht="12.75">
      <c r="A1334" s="998"/>
      <c r="B1334" s="999"/>
      <c r="C1334" s="474"/>
      <c r="D1334" s="474"/>
      <c r="E1334" s="474"/>
      <c r="F1334" s="474"/>
      <c r="G1334" s="696"/>
      <c r="H1334" s="474"/>
      <c r="I1334" s="696"/>
    </row>
    <row r="1335" spans="1:9" ht="12.75">
      <c r="A1335" s="998"/>
      <c r="B1335" s="999"/>
      <c r="C1335" s="474"/>
      <c r="D1335" s="474"/>
      <c r="E1335" s="474"/>
      <c r="F1335" s="474"/>
      <c r="G1335" s="696"/>
      <c r="H1335" s="474"/>
      <c r="I1335" s="696"/>
    </row>
    <row r="1336" spans="1:9" ht="12.75">
      <c r="A1336" s="998"/>
      <c r="B1336" s="999"/>
      <c r="C1336" s="474"/>
      <c r="D1336" s="474"/>
      <c r="E1336" s="474"/>
      <c r="F1336" s="474"/>
      <c r="G1336" s="696"/>
      <c r="H1336" s="474"/>
      <c r="I1336" s="696"/>
    </row>
    <row r="1337" spans="1:9" ht="12.75">
      <c r="A1337" s="998"/>
      <c r="B1337" s="999"/>
      <c r="C1337" s="474"/>
      <c r="D1337" s="474"/>
      <c r="E1337" s="474"/>
      <c r="F1337" s="474"/>
      <c r="G1337" s="696"/>
      <c r="H1337" s="474"/>
      <c r="I1337" s="696"/>
    </row>
    <row r="1338" spans="1:9" ht="12.75">
      <c r="A1338" s="998"/>
      <c r="B1338" s="999"/>
      <c r="C1338" s="474"/>
      <c r="D1338" s="474"/>
      <c r="E1338" s="474"/>
      <c r="F1338" s="474"/>
      <c r="G1338" s="696"/>
      <c r="H1338" s="474"/>
      <c r="I1338" s="696"/>
    </row>
    <row r="1339" spans="1:9" ht="12.75">
      <c r="A1339" s="998"/>
      <c r="B1339" s="999"/>
      <c r="C1339" s="474"/>
      <c r="D1339" s="474"/>
      <c r="E1339" s="474"/>
      <c r="F1339" s="474"/>
      <c r="G1339" s="696"/>
      <c r="H1339" s="474"/>
      <c r="I1339" s="696"/>
    </row>
    <row r="1340" spans="1:9" ht="12.75">
      <c r="A1340" s="998"/>
      <c r="B1340" s="999"/>
      <c r="C1340" s="474"/>
      <c r="D1340" s="474"/>
      <c r="E1340" s="474"/>
      <c r="F1340" s="474"/>
      <c r="G1340" s="696"/>
      <c r="H1340" s="474"/>
      <c r="I1340" s="696"/>
    </row>
    <row r="1341" spans="1:9" ht="12.75">
      <c r="A1341" s="998"/>
      <c r="B1341" s="999"/>
      <c r="C1341" s="474"/>
      <c r="D1341" s="474"/>
      <c r="E1341" s="474"/>
      <c r="F1341" s="474"/>
      <c r="G1341" s="696"/>
      <c r="H1341" s="474"/>
      <c r="I1341" s="696"/>
    </row>
    <row r="1342" spans="1:9" ht="12.75">
      <c r="A1342" s="998"/>
      <c r="B1342" s="999"/>
      <c r="C1342" s="474"/>
      <c r="D1342" s="474"/>
      <c r="E1342" s="474"/>
      <c r="F1342" s="474"/>
      <c r="G1342" s="696"/>
      <c r="H1342" s="474"/>
      <c r="I1342" s="696"/>
    </row>
    <row r="1343" spans="1:9" ht="12.75">
      <c r="A1343" s="998"/>
      <c r="B1343" s="999"/>
      <c r="C1343" s="474"/>
      <c r="D1343" s="474"/>
      <c r="E1343" s="474"/>
      <c r="F1343" s="474"/>
      <c r="G1343" s="696"/>
      <c r="H1343" s="474"/>
      <c r="I1343" s="696"/>
    </row>
    <row r="1344" spans="1:9" ht="12.75">
      <c r="A1344" s="998"/>
      <c r="B1344" s="999"/>
      <c r="C1344" s="474"/>
      <c r="D1344" s="474"/>
      <c r="E1344" s="474"/>
      <c r="F1344" s="474"/>
      <c r="G1344" s="696"/>
      <c r="H1344" s="474"/>
      <c r="I1344" s="696"/>
    </row>
    <row r="1345" spans="1:9" ht="12.75">
      <c r="A1345" s="998"/>
      <c r="B1345" s="999"/>
      <c r="C1345" s="474"/>
      <c r="D1345" s="474"/>
      <c r="E1345" s="474"/>
      <c r="F1345" s="474"/>
      <c r="G1345" s="696"/>
      <c r="H1345" s="474"/>
      <c r="I1345" s="696"/>
    </row>
    <row r="1346" spans="1:9" ht="12.75">
      <c r="A1346" s="998"/>
      <c r="B1346" s="999"/>
      <c r="C1346" s="474"/>
      <c r="D1346" s="474"/>
      <c r="E1346" s="474"/>
      <c r="F1346" s="474"/>
      <c r="G1346" s="696"/>
      <c r="H1346" s="474"/>
      <c r="I1346" s="696"/>
    </row>
    <row r="1347" spans="1:9" ht="12.75">
      <c r="A1347" s="998"/>
      <c r="B1347" s="999"/>
      <c r="C1347" s="474"/>
      <c r="D1347" s="474"/>
      <c r="E1347" s="474"/>
      <c r="F1347" s="474"/>
      <c r="G1347" s="696"/>
      <c r="H1347" s="474"/>
      <c r="I1347" s="696"/>
    </row>
    <row r="1348" spans="1:9" ht="12.75">
      <c r="A1348" s="998"/>
      <c r="B1348" s="999"/>
      <c r="C1348" s="474"/>
      <c r="D1348" s="474"/>
      <c r="E1348" s="474"/>
      <c r="F1348" s="474"/>
      <c r="G1348" s="696"/>
      <c r="H1348" s="474"/>
      <c r="I1348" s="696"/>
    </row>
    <row r="1349" spans="1:9" ht="12.75">
      <c r="A1349" s="998"/>
      <c r="B1349" s="999"/>
      <c r="C1349" s="474"/>
      <c r="D1349" s="474"/>
      <c r="E1349" s="474"/>
      <c r="F1349" s="474"/>
      <c r="G1349" s="696"/>
      <c r="H1349" s="474"/>
      <c r="I1349" s="696"/>
    </row>
    <row r="1350" spans="1:9" ht="12.75">
      <c r="A1350" s="998"/>
      <c r="B1350" s="999"/>
      <c r="C1350" s="474"/>
      <c r="D1350" s="474"/>
      <c r="E1350" s="474"/>
      <c r="F1350" s="474"/>
      <c r="G1350" s="696"/>
      <c r="H1350" s="474"/>
      <c r="I1350" s="696"/>
    </row>
    <row r="1351" spans="1:9" ht="12.75">
      <c r="A1351" s="998"/>
      <c r="B1351" s="999"/>
      <c r="C1351" s="474"/>
      <c r="D1351" s="474"/>
      <c r="E1351" s="474"/>
      <c r="F1351" s="474"/>
      <c r="G1351" s="696"/>
      <c r="H1351" s="474"/>
      <c r="I1351" s="696"/>
    </row>
    <row r="1352" spans="1:9" ht="12.75">
      <c r="A1352" s="998"/>
      <c r="B1352" s="999"/>
      <c r="C1352" s="474"/>
      <c r="D1352" s="474"/>
      <c r="E1352" s="474"/>
      <c r="F1352" s="474"/>
      <c r="G1352" s="696"/>
      <c r="H1352" s="474"/>
      <c r="I1352" s="696"/>
    </row>
    <row r="1353" spans="1:9" ht="12.75">
      <c r="A1353" s="998"/>
      <c r="B1353" s="999"/>
      <c r="C1353" s="474"/>
      <c r="D1353" s="474"/>
      <c r="E1353" s="474"/>
      <c r="F1353" s="474"/>
      <c r="G1353" s="696"/>
      <c r="H1353" s="474"/>
      <c r="I1353" s="696"/>
    </row>
    <row r="1354" spans="1:9" ht="12.75">
      <c r="A1354" s="998"/>
      <c r="B1354" s="999"/>
      <c r="C1354" s="474"/>
      <c r="D1354" s="474"/>
      <c r="E1354" s="474"/>
      <c r="F1354" s="474"/>
      <c r="G1354" s="696"/>
      <c r="H1354" s="474"/>
      <c r="I1354" s="696"/>
    </row>
    <row r="1355" spans="1:9" ht="12.75">
      <c r="A1355" s="998"/>
      <c r="B1355" s="999"/>
      <c r="C1355" s="474"/>
      <c r="D1355" s="474"/>
      <c r="E1355" s="474"/>
      <c r="F1355" s="474"/>
      <c r="G1355" s="696"/>
      <c r="H1355" s="474"/>
      <c r="I1355" s="696"/>
    </row>
    <row r="1356" spans="1:9" ht="12.75">
      <c r="A1356" s="998"/>
      <c r="B1356" s="999"/>
      <c r="C1356" s="474"/>
      <c r="D1356" s="474"/>
      <c r="E1356" s="474"/>
      <c r="F1356" s="474"/>
      <c r="G1356" s="696"/>
      <c r="H1356" s="474"/>
      <c r="I1356" s="696"/>
    </row>
    <row r="1357" spans="1:9" ht="12.75">
      <c r="A1357" s="998"/>
      <c r="B1357" s="999"/>
      <c r="C1357" s="474"/>
      <c r="D1357" s="474"/>
      <c r="E1357" s="474"/>
      <c r="F1357" s="474"/>
      <c r="G1357" s="696"/>
      <c r="H1357" s="474"/>
      <c r="I1357" s="696"/>
    </row>
    <row r="1358" spans="1:9" ht="12.75">
      <c r="A1358" s="998"/>
      <c r="B1358" s="999"/>
      <c r="C1358" s="474"/>
      <c r="D1358" s="474"/>
      <c r="E1358" s="474"/>
      <c r="F1358" s="474"/>
      <c r="G1358" s="696"/>
      <c r="H1358" s="474"/>
      <c r="I1358" s="696"/>
    </row>
    <row r="1359" spans="1:9" ht="12.75">
      <c r="A1359" s="998"/>
      <c r="B1359" s="999"/>
      <c r="C1359" s="474"/>
      <c r="D1359" s="474"/>
      <c r="E1359" s="474"/>
      <c r="F1359" s="474"/>
      <c r="G1359" s="696"/>
      <c r="H1359" s="474"/>
      <c r="I1359" s="696"/>
    </row>
    <row r="1360" spans="1:9" ht="12.75">
      <c r="A1360" s="998"/>
      <c r="B1360" s="999"/>
      <c r="C1360" s="474"/>
      <c r="D1360" s="474"/>
      <c r="E1360" s="474"/>
      <c r="F1360" s="474"/>
      <c r="G1360" s="696"/>
      <c r="H1360" s="474"/>
      <c r="I1360" s="696"/>
    </row>
    <row r="1361" spans="1:9" ht="12.75">
      <c r="A1361" s="998"/>
      <c r="B1361" s="999"/>
      <c r="C1361" s="474"/>
      <c r="D1361" s="474"/>
      <c r="E1361" s="474"/>
      <c r="F1361" s="474"/>
      <c r="G1361" s="696"/>
      <c r="H1361" s="474"/>
      <c r="I1361" s="696"/>
    </row>
    <row r="1362" spans="1:9" ht="12.75">
      <c r="A1362" s="998"/>
      <c r="B1362" s="999"/>
      <c r="C1362" s="474"/>
      <c r="D1362" s="474"/>
      <c r="E1362" s="474"/>
      <c r="F1362" s="474"/>
      <c r="G1362" s="696"/>
      <c r="H1362" s="474"/>
      <c r="I1362" s="696"/>
    </row>
    <row r="1363" spans="1:9" ht="12.75">
      <c r="A1363" s="998"/>
      <c r="B1363" s="999"/>
      <c r="C1363" s="474"/>
      <c r="D1363" s="474"/>
      <c r="E1363" s="474"/>
      <c r="F1363" s="474"/>
      <c r="G1363" s="696"/>
      <c r="H1363" s="474"/>
      <c r="I1363" s="696"/>
    </row>
    <row r="1364" spans="1:9" ht="12.75">
      <c r="A1364" s="998"/>
      <c r="B1364" s="999"/>
      <c r="C1364" s="474"/>
      <c r="D1364" s="474"/>
      <c r="E1364" s="474"/>
      <c r="F1364" s="474"/>
      <c r="G1364" s="696"/>
      <c r="H1364" s="474"/>
      <c r="I1364" s="696"/>
    </row>
    <row r="1365" spans="1:9" ht="12.75">
      <c r="A1365" s="998"/>
      <c r="B1365" s="999"/>
      <c r="C1365" s="474"/>
      <c r="D1365" s="474"/>
      <c r="E1365" s="474"/>
      <c r="F1365" s="474"/>
      <c r="G1365" s="696"/>
      <c r="H1365" s="474"/>
      <c r="I1365" s="696"/>
    </row>
    <row r="1366" spans="1:9" ht="12.75">
      <c r="A1366" s="998"/>
      <c r="B1366" s="999"/>
      <c r="C1366" s="474"/>
      <c r="D1366" s="474"/>
      <c r="E1366" s="474"/>
      <c r="F1366" s="474"/>
      <c r="G1366" s="696"/>
      <c r="H1366" s="474"/>
      <c r="I1366" s="696"/>
    </row>
    <row r="1367" spans="1:9" ht="12.75">
      <c r="A1367" s="998"/>
      <c r="B1367" s="999"/>
      <c r="C1367" s="474"/>
      <c r="D1367" s="474"/>
      <c r="E1367" s="474"/>
      <c r="F1367" s="474"/>
      <c r="G1367" s="696"/>
      <c r="H1367" s="474"/>
      <c r="I1367" s="696"/>
    </row>
    <row r="1368" spans="1:9" ht="12.75">
      <c r="A1368" s="998"/>
      <c r="B1368" s="999"/>
      <c r="C1368" s="474"/>
      <c r="D1368" s="474"/>
      <c r="E1368" s="474"/>
      <c r="F1368" s="474"/>
      <c r="G1368" s="696"/>
      <c r="H1368" s="474"/>
      <c r="I1368" s="696"/>
    </row>
    <row r="1369" spans="1:9" ht="12.75">
      <c r="A1369" s="998"/>
      <c r="B1369" s="999"/>
      <c r="C1369" s="474"/>
      <c r="D1369" s="474"/>
      <c r="E1369" s="474"/>
      <c r="F1369" s="474"/>
      <c r="G1369" s="696"/>
      <c r="H1369" s="474"/>
      <c r="I1369" s="696"/>
    </row>
    <row r="1370" spans="1:9" ht="12.75">
      <c r="A1370" s="998"/>
      <c r="B1370" s="999"/>
      <c r="C1370" s="474"/>
      <c r="D1370" s="474"/>
      <c r="E1370" s="474"/>
      <c r="F1370" s="474"/>
      <c r="G1370" s="696"/>
      <c r="H1370" s="474"/>
      <c r="I1370" s="696"/>
    </row>
    <row r="1371" spans="1:9" ht="12.75">
      <c r="A1371" s="998"/>
      <c r="B1371" s="999"/>
      <c r="C1371" s="474"/>
      <c r="D1371" s="474"/>
      <c r="E1371" s="474"/>
      <c r="F1371" s="474"/>
      <c r="G1371" s="696"/>
      <c r="H1371" s="474"/>
      <c r="I1371" s="696"/>
    </row>
    <row r="1372" spans="1:9" ht="12.75">
      <c r="A1372" s="998"/>
      <c r="B1372" s="999"/>
      <c r="C1372" s="474"/>
      <c r="D1372" s="474"/>
      <c r="E1372" s="474"/>
      <c r="F1372" s="474"/>
      <c r="G1372" s="696"/>
      <c r="H1372" s="474"/>
      <c r="I1372" s="696"/>
    </row>
    <row r="1373" spans="1:9" ht="12.75">
      <c r="A1373" s="998"/>
      <c r="B1373" s="999"/>
      <c r="C1373" s="474"/>
      <c r="D1373" s="474"/>
      <c r="E1373" s="474"/>
      <c r="F1373" s="474"/>
      <c r="G1373" s="696"/>
      <c r="H1373" s="474"/>
      <c r="I1373" s="696"/>
    </row>
    <row r="1374" spans="1:9" ht="12.75">
      <c r="A1374" s="998"/>
      <c r="B1374" s="999"/>
      <c r="C1374" s="474"/>
      <c r="D1374" s="474"/>
      <c r="E1374" s="474"/>
      <c r="F1374" s="474"/>
      <c r="G1374" s="696"/>
      <c r="H1374" s="474"/>
      <c r="I1374" s="696"/>
    </row>
    <row r="1375" spans="1:9" ht="12.75">
      <c r="A1375" s="998"/>
      <c r="B1375" s="999"/>
      <c r="C1375" s="474"/>
      <c r="D1375" s="474"/>
      <c r="E1375" s="474"/>
      <c r="F1375" s="474"/>
      <c r="G1375" s="696"/>
      <c r="H1375" s="474"/>
      <c r="I1375" s="696"/>
    </row>
    <row r="1376" spans="1:9" ht="12.75">
      <c r="A1376" s="998"/>
      <c r="B1376" s="999"/>
      <c r="C1376" s="474"/>
      <c r="D1376" s="474"/>
      <c r="E1376" s="474"/>
      <c r="F1376" s="474"/>
      <c r="G1376" s="696"/>
      <c r="H1376" s="474"/>
      <c r="I1376" s="696"/>
    </row>
    <row r="1377" spans="1:9" ht="12.75">
      <c r="A1377" s="998"/>
      <c r="B1377" s="999"/>
      <c r="C1377" s="474"/>
      <c r="D1377" s="474"/>
      <c r="E1377" s="474"/>
      <c r="F1377" s="474"/>
      <c r="G1377" s="696"/>
      <c r="H1377" s="474"/>
      <c r="I1377" s="696"/>
    </row>
    <row r="1378" spans="1:9" ht="12.75">
      <c r="A1378" s="998"/>
      <c r="B1378" s="999"/>
      <c r="C1378" s="474"/>
      <c r="D1378" s="474"/>
      <c r="E1378" s="474"/>
      <c r="F1378" s="474"/>
      <c r="G1378" s="696"/>
      <c r="H1378" s="474"/>
      <c r="I1378" s="696"/>
    </row>
    <row r="1379" spans="1:9" ht="12.75">
      <c r="A1379" s="998"/>
      <c r="B1379" s="999"/>
      <c r="C1379" s="474"/>
      <c r="D1379" s="474"/>
      <c r="E1379" s="474"/>
      <c r="F1379" s="474"/>
      <c r="G1379" s="696"/>
      <c r="H1379" s="474"/>
      <c r="I1379" s="696"/>
    </row>
    <row r="1380" spans="1:9" ht="12.75">
      <c r="A1380" s="998"/>
      <c r="B1380" s="999"/>
      <c r="C1380" s="474"/>
      <c r="D1380" s="474"/>
      <c r="E1380" s="474"/>
      <c r="F1380" s="474"/>
      <c r="G1380" s="696"/>
      <c r="H1380" s="474"/>
      <c r="I1380" s="696"/>
    </row>
    <row r="1381" spans="1:9" ht="12.75">
      <c r="A1381" s="998"/>
      <c r="B1381" s="999"/>
      <c r="C1381" s="474"/>
      <c r="D1381" s="474"/>
      <c r="E1381" s="474"/>
      <c r="F1381" s="474"/>
      <c r="G1381" s="696"/>
      <c r="H1381" s="474"/>
      <c r="I1381" s="696"/>
    </row>
    <row r="1382" spans="1:9" ht="12.75">
      <c r="A1382" s="998"/>
      <c r="B1382" s="999"/>
      <c r="C1382" s="474"/>
      <c r="D1382" s="474"/>
      <c r="E1382" s="474"/>
      <c r="F1382" s="474"/>
      <c r="G1382" s="696"/>
      <c r="H1382" s="474"/>
      <c r="I1382" s="696"/>
    </row>
    <row r="1383" spans="1:9" ht="12.75">
      <c r="A1383" s="998"/>
      <c r="B1383" s="999"/>
      <c r="C1383" s="474"/>
      <c r="D1383" s="474"/>
      <c r="E1383" s="474"/>
      <c r="F1383" s="474"/>
      <c r="G1383" s="696"/>
      <c r="H1383" s="474"/>
      <c r="I1383" s="696"/>
    </row>
    <row r="1384" spans="1:9" ht="12.75">
      <c r="A1384" s="998"/>
      <c r="B1384" s="999"/>
      <c r="C1384" s="474"/>
      <c r="D1384" s="474"/>
      <c r="E1384" s="474"/>
      <c r="F1384" s="474"/>
      <c r="G1384" s="696"/>
      <c r="H1384" s="474"/>
      <c r="I1384" s="696"/>
    </row>
    <row r="1385" spans="1:9" ht="12.75">
      <c r="A1385" s="998"/>
      <c r="B1385" s="999"/>
      <c r="C1385" s="474"/>
      <c r="D1385" s="474"/>
      <c r="E1385" s="474"/>
      <c r="F1385" s="474"/>
      <c r="G1385" s="696"/>
      <c r="H1385" s="474"/>
      <c r="I1385" s="696"/>
    </row>
    <row r="1386" spans="1:9" ht="12.75">
      <c r="A1386" s="998"/>
      <c r="B1386" s="999"/>
      <c r="C1386" s="474"/>
      <c r="D1386" s="474"/>
      <c r="E1386" s="474"/>
      <c r="F1386" s="474"/>
      <c r="G1386" s="696"/>
      <c r="H1386" s="474"/>
      <c r="I1386" s="696"/>
    </row>
    <row r="1387" spans="1:9" ht="12.75">
      <c r="A1387" s="998"/>
      <c r="B1387" s="999"/>
      <c r="C1387" s="474"/>
      <c r="D1387" s="474"/>
      <c r="E1387" s="474"/>
      <c r="F1387" s="474"/>
      <c r="G1387" s="696"/>
      <c r="H1387" s="474"/>
      <c r="I1387" s="696"/>
    </row>
    <row r="1388" spans="1:9" ht="12.75">
      <c r="A1388" s="998"/>
      <c r="B1388" s="999"/>
      <c r="C1388" s="474"/>
      <c r="D1388" s="474"/>
      <c r="E1388" s="474"/>
      <c r="F1388" s="474"/>
      <c r="G1388" s="696"/>
      <c r="H1388" s="474"/>
      <c r="I1388" s="696"/>
    </row>
    <row r="1389" spans="1:9" ht="12.75">
      <c r="A1389" s="998"/>
      <c r="B1389" s="999"/>
      <c r="C1389" s="474"/>
      <c r="D1389" s="474"/>
      <c r="E1389" s="474"/>
      <c r="F1389" s="474"/>
      <c r="G1389" s="696"/>
      <c r="H1389" s="474"/>
      <c r="I1389" s="696"/>
    </row>
    <row r="1390" spans="1:9" ht="12.75">
      <c r="A1390" s="998"/>
      <c r="B1390" s="999"/>
      <c r="C1390" s="474"/>
      <c r="D1390" s="474"/>
      <c r="E1390" s="474"/>
      <c r="F1390" s="474"/>
      <c r="G1390" s="696"/>
      <c r="H1390" s="474"/>
      <c r="I1390" s="696"/>
    </row>
    <row r="1391" spans="1:9" ht="12.75">
      <c r="A1391" s="998"/>
      <c r="B1391" s="999"/>
      <c r="C1391" s="474"/>
      <c r="D1391" s="474"/>
      <c r="E1391" s="474"/>
      <c r="F1391" s="474"/>
      <c r="G1391" s="696"/>
      <c r="H1391" s="474"/>
      <c r="I1391" s="696"/>
    </row>
    <row r="1392" spans="1:9" ht="12.75">
      <c r="A1392" s="998"/>
      <c r="B1392" s="999"/>
      <c r="C1392" s="474"/>
      <c r="D1392" s="474"/>
      <c r="E1392" s="474"/>
      <c r="F1392" s="474"/>
      <c r="G1392" s="696"/>
      <c r="H1392" s="474"/>
      <c r="I1392" s="696"/>
    </row>
    <row r="1393" spans="1:9" ht="12.75">
      <c r="A1393" s="998"/>
      <c r="B1393" s="999"/>
      <c r="C1393" s="474"/>
      <c r="D1393" s="474"/>
      <c r="E1393" s="474"/>
      <c r="F1393" s="474"/>
      <c r="G1393" s="696"/>
      <c r="H1393" s="474"/>
      <c r="I1393" s="696"/>
    </row>
    <row r="1394" spans="1:9" ht="12.75">
      <c r="A1394" s="998"/>
      <c r="B1394" s="999"/>
      <c r="C1394" s="474"/>
      <c r="D1394" s="474"/>
      <c r="E1394" s="474"/>
      <c r="F1394" s="474"/>
      <c r="G1394" s="696"/>
      <c r="H1394" s="474"/>
      <c r="I1394" s="696"/>
    </row>
    <row r="1395" spans="1:9" ht="12.75">
      <c r="A1395" s="998"/>
      <c r="B1395" s="999"/>
      <c r="C1395" s="474"/>
      <c r="D1395" s="474"/>
      <c r="E1395" s="474"/>
      <c r="F1395" s="474"/>
      <c r="G1395" s="696"/>
      <c r="H1395" s="474"/>
      <c r="I1395" s="696"/>
    </row>
    <row r="1396" spans="1:9" ht="12.75">
      <c r="A1396" s="998"/>
      <c r="B1396" s="999"/>
      <c r="C1396" s="474"/>
      <c r="D1396" s="474"/>
      <c r="E1396" s="474"/>
      <c r="F1396" s="474"/>
      <c r="G1396" s="696"/>
      <c r="H1396" s="474"/>
      <c r="I1396" s="696"/>
    </row>
    <row r="1397" spans="1:9" ht="12.75">
      <c r="A1397" s="998"/>
      <c r="B1397" s="999"/>
      <c r="C1397" s="474"/>
      <c r="D1397" s="474"/>
      <c r="E1397" s="474"/>
      <c r="F1397" s="474"/>
      <c r="G1397" s="696"/>
      <c r="H1397" s="474"/>
      <c r="I1397" s="696"/>
    </row>
    <row r="1398" spans="1:9" ht="12.75">
      <c r="A1398" s="998"/>
      <c r="B1398" s="999"/>
      <c r="C1398" s="474"/>
      <c r="D1398" s="474"/>
      <c r="E1398" s="474"/>
      <c r="F1398" s="474"/>
      <c r="G1398" s="696"/>
      <c r="H1398" s="474"/>
      <c r="I1398" s="696"/>
    </row>
    <row r="1399" spans="1:9" ht="12.75">
      <c r="A1399" s="998"/>
      <c r="B1399" s="999"/>
      <c r="C1399" s="474"/>
      <c r="D1399" s="474"/>
      <c r="E1399" s="474"/>
      <c r="F1399" s="474"/>
      <c r="G1399" s="696"/>
      <c r="H1399" s="474"/>
      <c r="I1399" s="696"/>
    </row>
    <row r="1400" spans="1:9" ht="12.75">
      <c r="A1400" s="998"/>
      <c r="B1400" s="999"/>
      <c r="C1400" s="474"/>
      <c r="D1400" s="474"/>
      <c r="E1400" s="474"/>
      <c r="F1400" s="474"/>
      <c r="G1400" s="696"/>
      <c r="H1400" s="474"/>
      <c r="I1400" s="696"/>
    </row>
    <row r="1401" spans="1:9" ht="12.75">
      <c r="A1401" s="998"/>
      <c r="B1401" s="999"/>
      <c r="C1401" s="474"/>
      <c r="D1401" s="474"/>
      <c r="E1401" s="474"/>
      <c r="F1401" s="474"/>
      <c r="G1401" s="696"/>
      <c r="H1401" s="474"/>
      <c r="I1401" s="696"/>
    </row>
    <row r="1402" spans="1:9" ht="12.75">
      <c r="A1402" s="998"/>
      <c r="B1402" s="999"/>
      <c r="C1402" s="474"/>
      <c r="D1402" s="474"/>
      <c r="E1402" s="474"/>
      <c r="F1402" s="474"/>
      <c r="G1402" s="696"/>
      <c r="H1402" s="474"/>
      <c r="I1402" s="696"/>
    </row>
    <row r="1403" spans="1:9" ht="12.75">
      <c r="A1403" s="998"/>
      <c r="B1403" s="999"/>
      <c r="C1403" s="474"/>
      <c r="D1403" s="474"/>
      <c r="E1403" s="474"/>
      <c r="F1403" s="474"/>
      <c r="G1403" s="696"/>
      <c r="H1403" s="474"/>
      <c r="I1403" s="696"/>
    </row>
    <row r="1404" spans="1:9" ht="12.75">
      <c r="A1404" s="998"/>
      <c r="B1404" s="999"/>
      <c r="C1404" s="474"/>
      <c r="D1404" s="474"/>
      <c r="E1404" s="474"/>
      <c r="F1404" s="474"/>
      <c r="G1404" s="696"/>
      <c r="H1404" s="474"/>
      <c r="I1404" s="696"/>
    </row>
    <row r="1405" spans="1:9" ht="12.75">
      <c r="A1405" s="998"/>
      <c r="B1405" s="999"/>
      <c r="C1405" s="474"/>
      <c r="D1405" s="474"/>
      <c r="E1405" s="474"/>
      <c r="F1405" s="474"/>
      <c r="G1405" s="696"/>
      <c r="H1405" s="474"/>
      <c r="I1405" s="696"/>
    </row>
    <row r="1406" spans="1:9" ht="12.75">
      <c r="A1406" s="998"/>
      <c r="B1406" s="999"/>
      <c r="C1406" s="474"/>
      <c r="D1406" s="474"/>
      <c r="E1406" s="474"/>
      <c r="F1406" s="474"/>
      <c r="G1406" s="696"/>
      <c r="H1406" s="474"/>
      <c r="I1406" s="696"/>
    </row>
    <row r="1407" spans="1:9" ht="12.75">
      <c r="A1407" s="998"/>
      <c r="B1407" s="999"/>
      <c r="C1407" s="474"/>
      <c r="D1407" s="474"/>
      <c r="E1407" s="474"/>
      <c r="F1407" s="474"/>
      <c r="G1407" s="696"/>
      <c r="H1407" s="474"/>
      <c r="I1407" s="696"/>
    </row>
    <row r="1408" spans="1:9" ht="12.75">
      <c r="A1408" s="998"/>
      <c r="B1408" s="999"/>
      <c r="C1408" s="474"/>
      <c r="D1408" s="474"/>
      <c r="E1408" s="474"/>
      <c r="F1408" s="474"/>
      <c r="G1408" s="696"/>
      <c r="H1408" s="474"/>
      <c r="I1408" s="696"/>
    </row>
    <row r="1409" spans="1:9" ht="12.75">
      <c r="A1409" s="998"/>
      <c r="B1409" s="999"/>
      <c r="C1409" s="474"/>
      <c r="D1409" s="474"/>
      <c r="E1409" s="474"/>
      <c r="F1409" s="474"/>
      <c r="G1409" s="696"/>
      <c r="H1409" s="474"/>
      <c r="I1409" s="696"/>
    </row>
    <row r="1410" spans="1:9" ht="12.75">
      <c r="A1410" s="998"/>
      <c r="B1410" s="999"/>
      <c r="C1410" s="474"/>
      <c r="D1410" s="474"/>
      <c r="E1410" s="474"/>
      <c r="F1410" s="474"/>
      <c r="G1410" s="696"/>
      <c r="H1410" s="474"/>
      <c r="I1410" s="696"/>
    </row>
    <row r="1411" spans="1:9" ht="12.75">
      <c r="A1411" s="998"/>
      <c r="B1411" s="999"/>
      <c r="C1411" s="474"/>
      <c r="D1411" s="474"/>
      <c r="E1411" s="474"/>
      <c r="F1411" s="474"/>
      <c r="G1411" s="696"/>
      <c r="H1411" s="474"/>
      <c r="I1411" s="696"/>
    </row>
    <row r="1412" spans="1:9" ht="12.75">
      <c r="A1412" s="998"/>
      <c r="B1412" s="999"/>
      <c r="C1412" s="474"/>
      <c r="D1412" s="474"/>
      <c r="E1412" s="474"/>
      <c r="F1412" s="474"/>
      <c r="G1412" s="696"/>
      <c r="H1412" s="474"/>
      <c r="I1412" s="696"/>
    </row>
    <row r="1413" spans="1:9" ht="12.75">
      <c r="A1413" s="998"/>
      <c r="B1413" s="999"/>
      <c r="C1413" s="474"/>
      <c r="D1413" s="474"/>
      <c r="E1413" s="474"/>
      <c r="F1413" s="474"/>
      <c r="G1413" s="696"/>
      <c r="H1413" s="474"/>
      <c r="I1413" s="696"/>
    </row>
    <row r="1414" spans="1:9" ht="12.75">
      <c r="A1414" s="998"/>
      <c r="B1414" s="999"/>
      <c r="C1414" s="474"/>
      <c r="D1414" s="474"/>
      <c r="E1414" s="474"/>
      <c r="F1414" s="474"/>
      <c r="G1414" s="696"/>
      <c r="H1414" s="474"/>
      <c r="I1414" s="696"/>
    </row>
    <row r="1415" spans="1:9" ht="12.75">
      <c r="A1415" s="998"/>
      <c r="B1415" s="999"/>
      <c r="C1415" s="474"/>
      <c r="D1415" s="474"/>
      <c r="E1415" s="474"/>
      <c r="F1415" s="474"/>
      <c r="G1415" s="696"/>
      <c r="H1415" s="474"/>
      <c r="I1415" s="696"/>
    </row>
    <row r="1416" spans="1:9" ht="12.75">
      <c r="A1416" s="998"/>
      <c r="B1416" s="999"/>
      <c r="C1416" s="474"/>
      <c r="D1416" s="474"/>
      <c r="E1416" s="474"/>
      <c r="F1416" s="474"/>
      <c r="G1416" s="696"/>
      <c r="H1416" s="474"/>
      <c r="I1416" s="696"/>
    </row>
    <row r="1417" spans="1:9" ht="12.75">
      <c r="A1417" s="998"/>
      <c r="B1417" s="999"/>
      <c r="C1417" s="474"/>
      <c r="D1417" s="474"/>
      <c r="E1417" s="474"/>
      <c r="F1417" s="474"/>
      <c r="G1417" s="696"/>
      <c r="H1417" s="474"/>
      <c r="I1417" s="696"/>
    </row>
    <row r="1418" spans="1:9" ht="12.75">
      <c r="A1418" s="998"/>
      <c r="B1418" s="999"/>
      <c r="C1418" s="474"/>
      <c r="D1418" s="474"/>
      <c r="E1418" s="474"/>
      <c r="F1418" s="474"/>
      <c r="G1418" s="696"/>
      <c r="H1418" s="474"/>
      <c r="I1418" s="696"/>
    </row>
    <row r="1419" spans="1:9" ht="12.75">
      <c r="A1419" s="998"/>
      <c r="B1419" s="999"/>
      <c r="C1419" s="474"/>
      <c r="D1419" s="474"/>
      <c r="E1419" s="474"/>
      <c r="F1419" s="474"/>
      <c r="G1419" s="696"/>
      <c r="H1419" s="474"/>
      <c r="I1419" s="696"/>
    </row>
    <row r="1420" spans="1:9" ht="12.75">
      <c r="A1420" s="998"/>
      <c r="B1420" s="999"/>
      <c r="C1420" s="474"/>
      <c r="D1420" s="474"/>
      <c r="E1420" s="474"/>
      <c r="F1420" s="474"/>
      <c r="G1420" s="696"/>
      <c r="H1420" s="474"/>
      <c r="I1420" s="696"/>
    </row>
    <row r="1421" spans="1:9" ht="12.75">
      <c r="A1421" s="998"/>
      <c r="B1421" s="999"/>
      <c r="C1421" s="474"/>
      <c r="D1421" s="474"/>
      <c r="E1421" s="474"/>
      <c r="F1421" s="474"/>
      <c r="G1421" s="696"/>
      <c r="H1421" s="474"/>
      <c r="I1421" s="696"/>
    </row>
    <row r="1422" spans="1:9" ht="12.75">
      <c r="A1422" s="998"/>
      <c r="B1422" s="999"/>
      <c r="C1422" s="474"/>
      <c r="D1422" s="474"/>
      <c r="E1422" s="474"/>
      <c r="F1422" s="474"/>
      <c r="G1422" s="696"/>
      <c r="H1422" s="474"/>
      <c r="I1422" s="696"/>
    </row>
    <row r="1423" spans="1:9" ht="12.75">
      <c r="A1423" s="998"/>
      <c r="B1423" s="999"/>
      <c r="C1423" s="474"/>
      <c r="D1423" s="474"/>
      <c r="E1423" s="474"/>
      <c r="F1423" s="474"/>
      <c r="G1423" s="696"/>
      <c r="H1423" s="474"/>
      <c r="I1423" s="696"/>
    </row>
    <row r="1424" spans="1:9" ht="12.75">
      <c r="A1424" s="998"/>
      <c r="B1424" s="999"/>
      <c r="C1424" s="474"/>
      <c r="D1424" s="474"/>
      <c r="E1424" s="474"/>
      <c r="F1424" s="474"/>
      <c r="G1424" s="696"/>
      <c r="H1424" s="474"/>
      <c r="I1424" s="696"/>
    </row>
    <row r="1425" spans="1:9" ht="12.75">
      <c r="A1425" s="998"/>
      <c r="B1425" s="999"/>
      <c r="C1425" s="474"/>
      <c r="D1425" s="474"/>
      <c r="E1425" s="474"/>
      <c r="F1425" s="474"/>
      <c r="G1425" s="696"/>
      <c r="H1425" s="474"/>
      <c r="I1425" s="696"/>
    </row>
    <row r="1426" spans="1:9" ht="12.75">
      <c r="A1426" s="998"/>
      <c r="B1426" s="999"/>
      <c r="C1426" s="474"/>
      <c r="D1426" s="474"/>
      <c r="E1426" s="474"/>
      <c r="F1426" s="474"/>
      <c r="G1426" s="696"/>
      <c r="H1426" s="474"/>
      <c r="I1426" s="696"/>
    </row>
    <row r="1427" spans="1:9" ht="12.75">
      <c r="A1427" s="998"/>
      <c r="B1427" s="999"/>
      <c r="C1427" s="474"/>
      <c r="D1427" s="474"/>
      <c r="E1427" s="474"/>
      <c r="F1427" s="474"/>
      <c r="G1427" s="696"/>
      <c r="H1427" s="474"/>
      <c r="I1427" s="696"/>
    </row>
    <row r="1428" spans="1:9" ht="12.75">
      <c r="A1428" s="998"/>
      <c r="B1428" s="999"/>
      <c r="C1428" s="474"/>
      <c r="D1428" s="474"/>
      <c r="E1428" s="474"/>
      <c r="F1428" s="474"/>
      <c r="G1428" s="696"/>
      <c r="H1428" s="474"/>
      <c r="I1428" s="696"/>
    </row>
    <row r="1429" spans="1:9" ht="12.75">
      <c r="A1429" s="998"/>
      <c r="B1429" s="999"/>
      <c r="C1429" s="474"/>
      <c r="D1429" s="474"/>
      <c r="E1429" s="474"/>
      <c r="F1429" s="474"/>
      <c r="G1429" s="696"/>
      <c r="H1429" s="474"/>
      <c r="I1429" s="696"/>
    </row>
    <row r="1430" spans="1:9" ht="12.75">
      <c r="A1430" s="998"/>
      <c r="B1430" s="999"/>
      <c r="C1430" s="474"/>
      <c r="D1430" s="474"/>
      <c r="E1430" s="474"/>
      <c r="F1430" s="474"/>
      <c r="G1430" s="696"/>
      <c r="H1430" s="474"/>
      <c r="I1430" s="696"/>
    </row>
    <row r="1431" spans="1:9" ht="12.75">
      <c r="A1431" s="998"/>
      <c r="B1431" s="999"/>
      <c r="C1431" s="474"/>
      <c r="D1431" s="474"/>
      <c r="E1431" s="474"/>
      <c r="F1431" s="474"/>
      <c r="G1431" s="696"/>
      <c r="H1431" s="474"/>
      <c r="I1431" s="696"/>
    </row>
    <row r="1432" spans="1:9" ht="12.75">
      <c r="A1432" s="998"/>
      <c r="B1432" s="999"/>
      <c r="C1432" s="474"/>
      <c r="D1432" s="474"/>
      <c r="E1432" s="474"/>
      <c r="F1432" s="474"/>
      <c r="G1432" s="696"/>
      <c r="H1432" s="474"/>
      <c r="I1432" s="696"/>
    </row>
    <row r="1433" spans="1:9" ht="12.75">
      <c r="A1433" s="998"/>
      <c r="B1433" s="999"/>
      <c r="C1433" s="474"/>
      <c r="D1433" s="474"/>
      <c r="E1433" s="474"/>
      <c r="F1433" s="474"/>
      <c r="G1433" s="696"/>
      <c r="H1433" s="474"/>
      <c r="I1433" s="696"/>
    </row>
    <row r="1434" spans="1:9" ht="12.75">
      <c r="A1434" s="998"/>
      <c r="B1434" s="999"/>
      <c r="C1434" s="474"/>
      <c r="D1434" s="474"/>
      <c r="E1434" s="474"/>
      <c r="F1434" s="474"/>
      <c r="G1434" s="696"/>
      <c r="H1434" s="474"/>
      <c r="I1434" s="696"/>
    </row>
    <row r="1435" spans="1:9" ht="12.75">
      <c r="A1435" s="998"/>
      <c r="B1435" s="999"/>
      <c r="C1435" s="474"/>
      <c r="D1435" s="474"/>
      <c r="E1435" s="474"/>
      <c r="F1435" s="474"/>
      <c r="G1435" s="696"/>
      <c r="H1435" s="474"/>
      <c r="I1435" s="696"/>
    </row>
    <row r="1436" spans="1:9" ht="12.75">
      <c r="A1436" s="998"/>
      <c r="B1436" s="999"/>
      <c r="C1436" s="474"/>
      <c r="D1436" s="474"/>
      <c r="E1436" s="474"/>
      <c r="F1436" s="474"/>
      <c r="G1436" s="696"/>
      <c r="H1436" s="474"/>
      <c r="I1436" s="696"/>
    </row>
    <row r="1437" spans="1:9" ht="12.75">
      <c r="A1437" s="998"/>
      <c r="B1437" s="999"/>
      <c r="C1437" s="474"/>
      <c r="D1437" s="474"/>
      <c r="E1437" s="474"/>
      <c r="F1437" s="474"/>
      <c r="G1437" s="696"/>
      <c r="H1437" s="474"/>
      <c r="I1437" s="696"/>
    </row>
    <row r="1438" spans="1:9" ht="12.75">
      <c r="A1438" s="998"/>
      <c r="B1438" s="999"/>
      <c r="C1438" s="474"/>
      <c r="D1438" s="474"/>
      <c r="E1438" s="474"/>
      <c r="F1438" s="474"/>
      <c r="G1438" s="696"/>
      <c r="H1438" s="474"/>
      <c r="I1438" s="696"/>
    </row>
    <row r="1439" spans="1:9" ht="12.75">
      <c r="A1439" s="998"/>
      <c r="B1439" s="999"/>
      <c r="C1439" s="474"/>
      <c r="D1439" s="474"/>
      <c r="E1439" s="474"/>
      <c r="F1439" s="474"/>
      <c r="G1439" s="696"/>
      <c r="H1439" s="474"/>
      <c r="I1439" s="696"/>
    </row>
    <row r="1440" spans="1:9" ht="12.75">
      <c r="A1440" s="998"/>
      <c r="B1440" s="999"/>
      <c r="C1440" s="474"/>
      <c r="D1440" s="474"/>
      <c r="E1440" s="474"/>
      <c r="F1440" s="474"/>
      <c r="G1440" s="696"/>
      <c r="H1440" s="474"/>
      <c r="I1440" s="696"/>
    </row>
    <row r="1441" spans="1:9" ht="12.75">
      <c r="A1441" s="998"/>
      <c r="B1441" s="999"/>
      <c r="C1441" s="474"/>
      <c r="D1441" s="474"/>
      <c r="E1441" s="474"/>
      <c r="F1441" s="474"/>
      <c r="G1441" s="696"/>
      <c r="H1441" s="474"/>
      <c r="I1441" s="696"/>
    </row>
    <row r="1442" spans="1:9" ht="12.75">
      <c r="A1442" s="998"/>
      <c r="B1442" s="999"/>
      <c r="C1442" s="474"/>
      <c r="D1442" s="474"/>
      <c r="E1442" s="474"/>
      <c r="F1442" s="474"/>
      <c r="G1442" s="696"/>
      <c r="H1442" s="474"/>
      <c r="I1442" s="696"/>
    </row>
    <row r="1443" spans="1:9" ht="12.75">
      <c r="A1443" s="998"/>
      <c r="B1443" s="999"/>
      <c r="C1443" s="474"/>
      <c r="D1443" s="474"/>
      <c r="E1443" s="474"/>
      <c r="F1443" s="474"/>
      <c r="G1443" s="696"/>
      <c r="H1443" s="474"/>
      <c r="I1443" s="696"/>
    </row>
    <row r="1444" spans="1:9" ht="12.75">
      <c r="A1444" s="998"/>
      <c r="B1444" s="999"/>
      <c r="C1444" s="474"/>
      <c r="D1444" s="474"/>
      <c r="E1444" s="474"/>
      <c r="F1444" s="474"/>
      <c r="G1444" s="696"/>
      <c r="H1444" s="474"/>
      <c r="I1444" s="696"/>
    </row>
    <row r="1445" spans="1:9" ht="12.75">
      <c r="A1445" s="998"/>
      <c r="B1445" s="999"/>
      <c r="C1445" s="474"/>
      <c r="D1445" s="474"/>
      <c r="E1445" s="474"/>
      <c r="F1445" s="474"/>
      <c r="G1445" s="696"/>
      <c r="H1445" s="474"/>
      <c r="I1445" s="696"/>
    </row>
    <row r="1446" spans="1:9" ht="12.75">
      <c r="A1446" s="998"/>
      <c r="B1446" s="999"/>
      <c r="C1446" s="474"/>
      <c r="D1446" s="474"/>
      <c r="E1446" s="474"/>
      <c r="F1446" s="474"/>
      <c r="G1446" s="696"/>
      <c r="H1446" s="474"/>
      <c r="I1446" s="696"/>
    </row>
    <row r="1447" spans="1:9" ht="12.75">
      <c r="A1447" s="998"/>
      <c r="B1447" s="999"/>
      <c r="C1447" s="474"/>
      <c r="D1447" s="474"/>
      <c r="E1447" s="474"/>
      <c r="F1447" s="474"/>
      <c r="G1447" s="696"/>
      <c r="H1447" s="474"/>
      <c r="I1447" s="696"/>
    </row>
    <row r="1448" spans="1:9" ht="12.75">
      <c r="A1448" s="998"/>
      <c r="B1448" s="999"/>
      <c r="C1448" s="474"/>
      <c r="D1448" s="474"/>
      <c r="E1448" s="474"/>
      <c r="F1448" s="474"/>
      <c r="G1448" s="696"/>
      <c r="H1448" s="474"/>
      <c r="I1448" s="696"/>
    </row>
    <row r="1449" spans="1:9" ht="12.75">
      <c r="A1449" s="998"/>
      <c r="B1449" s="999"/>
      <c r="C1449" s="474"/>
      <c r="D1449" s="474"/>
      <c r="E1449" s="474"/>
      <c r="F1449" s="474"/>
      <c r="G1449" s="696"/>
      <c r="H1449" s="474"/>
      <c r="I1449" s="696"/>
    </row>
    <row r="1450" spans="1:9" ht="12.75">
      <c r="A1450" s="998"/>
      <c r="B1450" s="999"/>
      <c r="C1450" s="474"/>
      <c r="D1450" s="474"/>
      <c r="E1450" s="474"/>
      <c r="F1450" s="474"/>
      <c r="G1450" s="696"/>
      <c r="H1450" s="474"/>
      <c r="I1450" s="696"/>
    </row>
    <row r="1451" spans="1:9" ht="12.75">
      <c r="A1451" s="998"/>
      <c r="B1451" s="999"/>
      <c r="C1451" s="474"/>
      <c r="D1451" s="474"/>
      <c r="E1451" s="474"/>
      <c r="F1451" s="474"/>
      <c r="G1451" s="696"/>
      <c r="H1451" s="474"/>
      <c r="I1451" s="696"/>
    </row>
    <row r="1452" spans="1:9" ht="12.75">
      <c r="A1452" s="998"/>
      <c r="B1452" s="999"/>
      <c r="C1452" s="474"/>
      <c r="D1452" s="474"/>
      <c r="E1452" s="474"/>
      <c r="F1452" s="474"/>
      <c r="G1452" s="696"/>
      <c r="H1452" s="474"/>
      <c r="I1452" s="696"/>
    </row>
    <row r="1453" spans="1:9" ht="12.75">
      <c r="A1453" s="998"/>
      <c r="B1453" s="999"/>
      <c r="C1453" s="474"/>
      <c r="D1453" s="474"/>
      <c r="E1453" s="474"/>
      <c r="F1453" s="474"/>
      <c r="G1453" s="696"/>
      <c r="H1453" s="474"/>
      <c r="I1453" s="696"/>
    </row>
    <row r="1454" spans="1:9" ht="12.75">
      <c r="A1454" s="998"/>
      <c r="B1454" s="999"/>
      <c r="C1454" s="474"/>
      <c r="D1454" s="474"/>
      <c r="E1454" s="474"/>
      <c r="F1454" s="474"/>
      <c r="G1454" s="696"/>
      <c r="H1454" s="474"/>
      <c r="I1454" s="696"/>
    </row>
    <row r="1455" spans="1:9" ht="12.75">
      <c r="A1455" s="998"/>
      <c r="B1455" s="999"/>
      <c r="C1455" s="474"/>
      <c r="D1455" s="474"/>
      <c r="E1455" s="474"/>
      <c r="F1455" s="474"/>
      <c r="G1455" s="696"/>
      <c r="H1455" s="474"/>
      <c r="I1455" s="696"/>
    </row>
    <row r="1456" spans="1:9" ht="12.75">
      <c r="A1456" s="998"/>
      <c r="B1456" s="999"/>
      <c r="C1456" s="474"/>
      <c r="D1456" s="474"/>
      <c r="E1456" s="474"/>
      <c r="F1456" s="474"/>
      <c r="G1456" s="696"/>
      <c r="H1456" s="474"/>
      <c r="I1456" s="696"/>
    </row>
    <row r="1457" spans="1:9" ht="12.75">
      <c r="A1457" s="998"/>
      <c r="B1457" s="999"/>
      <c r="C1457" s="474"/>
      <c r="D1457" s="474"/>
      <c r="E1457" s="474"/>
      <c r="F1457" s="474"/>
      <c r="G1457" s="696"/>
      <c r="H1457" s="474"/>
      <c r="I1457" s="696"/>
    </row>
    <row r="1458" spans="1:9" ht="12.75">
      <c r="A1458" s="998"/>
      <c r="B1458" s="999"/>
      <c r="C1458" s="474"/>
      <c r="D1458" s="474"/>
      <c r="E1458" s="474"/>
      <c r="F1458" s="474"/>
      <c r="G1458" s="696"/>
      <c r="H1458" s="474"/>
      <c r="I1458" s="696"/>
    </row>
    <row r="1459" spans="1:9" ht="12.75">
      <c r="A1459" s="998"/>
      <c r="B1459" s="999"/>
      <c r="C1459" s="474"/>
      <c r="D1459" s="474"/>
      <c r="E1459" s="474"/>
      <c r="F1459" s="474"/>
      <c r="G1459" s="696"/>
      <c r="H1459" s="474"/>
      <c r="I1459" s="696"/>
    </row>
    <row r="1460" spans="1:9" ht="12.75">
      <c r="A1460" s="998"/>
      <c r="B1460" s="999"/>
      <c r="C1460" s="474"/>
      <c r="D1460" s="474"/>
      <c r="E1460" s="474"/>
      <c r="F1460" s="474"/>
      <c r="G1460" s="696"/>
      <c r="H1460" s="474"/>
      <c r="I1460" s="696"/>
    </row>
    <row r="1461" spans="1:9" ht="12.75">
      <c r="A1461" s="998"/>
      <c r="B1461" s="999"/>
      <c r="C1461" s="474"/>
      <c r="D1461" s="474"/>
      <c r="E1461" s="474"/>
      <c r="F1461" s="474"/>
      <c r="G1461" s="696"/>
      <c r="H1461" s="474"/>
      <c r="I1461" s="696"/>
    </row>
    <row r="1462" spans="1:9" ht="12.75">
      <c r="A1462" s="998"/>
      <c r="B1462" s="999"/>
      <c r="C1462" s="474"/>
      <c r="D1462" s="474"/>
      <c r="E1462" s="474"/>
      <c r="F1462" s="474"/>
      <c r="G1462" s="696"/>
      <c r="H1462" s="474"/>
      <c r="I1462" s="696"/>
    </row>
    <row r="1463" spans="1:9" ht="12.75">
      <c r="A1463" s="998"/>
      <c r="B1463" s="999"/>
      <c r="C1463" s="474"/>
      <c r="D1463" s="474"/>
      <c r="E1463" s="474"/>
      <c r="F1463" s="474"/>
      <c r="G1463" s="696"/>
      <c r="H1463" s="474"/>
      <c r="I1463" s="696"/>
    </row>
    <row r="1464" spans="1:9" ht="12.75">
      <c r="A1464" s="998"/>
      <c r="B1464" s="999"/>
      <c r="C1464" s="474"/>
      <c r="D1464" s="474"/>
      <c r="E1464" s="474"/>
      <c r="F1464" s="474"/>
      <c r="G1464" s="696"/>
      <c r="H1464" s="474"/>
      <c r="I1464" s="696"/>
    </row>
    <row r="1465" spans="1:9" ht="12.75">
      <c r="A1465" s="998"/>
      <c r="B1465" s="999"/>
      <c r="C1465" s="474"/>
      <c r="D1465" s="474"/>
      <c r="E1465" s="474"/>
      <c r="F1465" s="474"/>
      <c r="G1465" s="696"/>
      <c r="H1465" s="474"/>
      <c r="I1465" s="696"/>
    </row>
    <row r="1466" spans="1:9" ht="12.75">
      <c r="A1466" s="998"/>
      <c r="B1466" s="999"/>
      <c r="C1466" s="474"/>
      <c r="D1466" s="474"/>
      <c r="E1466" s="474"/>
      <c r="F1466" s="474"/>
      <c r="G1466" s="696"/>
      <c r="H1466" s="474"/>
      <c r="I1466" s="696"/>
    </row>
    <row r="1467" spans="1:9" ht="12.75">
      <c r="A1467" s="998"/>
      <c r="B1467" s="999"/>
      <c r="C1467" s="474"/>
      <c r="D1467" s="474"/>
      <c r="E1467" s="474"/>
      <c r="F1467" s="474"/>
      <c r="G1467" s="696"/>
      <c r="H1467" s="474"/>
      <c r="I1467" s="696"/>
    </row>
    <row r="1468" spans="1:9" ht="12.75">
      <c r="A1468" s="998"/>
      <c r="B1468" s="999"/>
      <c r="C1468" s="474"/>
      <c r="D1468" s="474"/>
      <c r="E1468" s="474"/>
      <c r="F1468" s="474"/>
      <c r="G1468" s="696"/>
      <c r="H1468" s="474"/>
      <c r="I1468" s="696"/>
    </row>
    <row r="1469" spans="1:9" ht="12.75">
      <c r="A1469" s="998"/>
      <c r="B1469" s="999"/>
      <c r="C1469" s="474"/>
      <c r="D1469" s="474"/>
      <c r="E1469" s="474"/>
      <c r="F1469" s="474"/>
      <c r="G1469" s="696"/>
      <c r="H1469" s="474"/>
      <c r="I1469" s="696"/>
    </row>
    <row r="1470" spans="1:9" ht="12.75">
      <c r="A1470" s="998"/>
      <c r="B1470" s="999"/>
      <c r="C1470" s="474"/>
      <c r="D1470" s="474"/>
      <c r="E1470" s="474"/>
      <c r="F1470" s="474"/>
      <c r="G1470" s="696"/>
      <c r="H1470" s="474"/>
      <c r="I1470" s="696"/>
    </row>
    <row r="1471" spans="1:9" ht="12.75">
      <c r="A1471" s="998"/>
      <c r="B1471" s="999"/>
      <c r="C1471" s="474"/>
      <c r="D1471" s="474"/>
      <c r="E1471" s="474"/>
      <c r="F1471" s="474"/>
      <c r="G1471" s="696"/>
      <c r="H1471" s="474"/>
      <c r="I1471" s="696"/>
    </row>
    <row r="1472" spans="1:9" ht="12.75">
      <c r="A1472" s="998"/>
      <c r="B1472" s="999"/>
      <c r="C1472" s="474"/>
      <c r="D1472" s="474"/>
      <c r="E1472" s="474"/>
      <c r="F1472" s="474"/>
      <c r="G1472" s="696"/>
      <c r="H1472" s="474"/>
      <c r="I1472" s="696"/>
    </row>
    <row r="1473" spans="1:9" ht="12.75">
      <c r="A1473" s="998"/>
      <c r="B1473" s="999"/>
      <c r="C1473" s="474"/>
      <c r="D1473" s="474"/>
      <c r="E1473" s="474"/>
      <c r="F1473" s="474"/>
      <c r="G1473" s="696"/>
      <c r="H1473" s="474"/>
      <c r="I1473" s="696"/>
    </row>
    <row r="1474" spans="1:9" ht="12.75">
      <c r="A1474" s="998"/>
      <c r="B1474" s="999"/>
      <c r="C1474" s="474"/>
      <c r="D1474" s="474"/>
      <c r="E1474" s="474"/>
      <c r="F1474" s="474"/>
      <c r="G1474" s="696"/>
      <c r="H1474" s="474"/>
      <c r="I1474" s="696"/>
    </row>
    <row r="1475" spans="1:9" ht="12.75">
      <c r="A1475" s="998"/>
      <c r="B1475" s="999"/>
      <c r="C1475" s="474"/>
      <c r="D1475" s="474"/>
      <c r="E1475" s="474"/>
      <c r="F1475" s="474"/>
      <c r="G1475" s="696"/>
      <c r="H1475" s="474"/>
      <c r="I1475" s="696"/>
    </row>
    <row r="1476" spans="1:9" ht="12.75">
      <c r="A1476" s="998"/>
      <c r="B1476" s="999"/>
      <c r="C1476" s="474"/>
      <c r="D1476" s="474"/>
      <c r="E1476" s="474"/>
      <c r="F1476" s="474"/>
      <c r="G1476" s="696"/>
      <c r="H1476" s="474"/>
      <c r="I1476" s="696"/>
    </row>
    <row r="1477" spans="1:9" ht="12.75">
      <c r="A1477" s="998"/>
      <c r="B1477" s="999"/>
      <c r="C1477" s="474"/>
      <c r="D1477" s="474"/>
      <c r="E1477" s="474"/>
      <c r="F1477" s="474"/>
      <c r="G1477" s="696"/>
      <c r="H1477" s="474"/>
      <c r="I1477" s="696"/>
    </row>
    <row r="1478" spans="1:9" ht="12.75">
      <c r="A1478" s="998"/>
      <c r="B1478" s="999"/>
      <c r="C1478" s="474"/>
      <c r="D1478" s="474"/>
      <c r="E1478" s="474"/>
      <c r="F1478" s="474"/>
      <c r="G1478" s="696"/>
      <c r="H1478" s="474"/>
      <c r="I1478" s="696"/>
    </row>
    <row r="1479" spans="1:9" ht="12.75">
      <c r="A1479" s="998"/>
      <c r="B1479" s="999"/>
      <c r="C1479" s="474"/>
      <c r="D1479" s="474"/>
      <c r="E1479" s="474"/>
      <c r="F1479" s="474"/>
      <c r="G1479" s="696"/>
      <c r="H1479" s="474"/>
      <c r="I1479" s="696"/>
    </row>
    <row r="1480" spans="1:9" ht="12.75">
      <c r="A1480" s="998"/>
      <c r="B1480" s="999"/>
      <c r="C1480" s="474"/>
      <c r="D1480" s="474"/>
      <c r="E1480" s="474"/>
      <c r="F1480" s="474"/>
      <c r="G1480" s="696"/>
      <c r="H1480" s="474"/>
      <c r="I1480" s="696"/>
    </row>
    <row r="1481" spans="1:9" ht="12.75">
      <c r="A1481" s="998"/>
      <c r="B1481" s="999"/>
      <c r="C1481" s="474"/>
      <c r="D1481" s="474"/>
      <c r="E1481" s="474"/>
      <c r="F1481" s="474"/>
      <c r="G1481" s="696"/>
      <c r="H1481" s="474"/>
      <c r="I1481" s="696"/>
    </row>
    <row r="1482" spans="1:9" ht="12.75">
      <c r="A1482" s="998"/>
      <c r="B1482" s="999"/>
      <c r="C1482" s="474"/>
      <c r="D1482" s="474"/>
      <c r="E1482" s="474"/>
      <c r="F1482" s="474"/>
      <c r="G1482" s="696"/>
      <c r="H1482" s="474"/>
      <c r="I1482" s="696"/>
    </row>
    <row r="1483" spans="1:9" ht="12.75">
      <c r="A1483" s="998"/>
      <c r="B1483" s="999"/>
      <c r="C1483" s="474"/>
      <c r="D1483" s="474"/>
      <c r="E1483" s="474"/>
      <c r="F1483" s="474"/>
      <c r="G1483" s="696"/>
      <c r="H1483" s="474"/>
      <c r="I1483" s="696"/>
    </row>
    <row r="1484" spans="1:9" ht="12.75">
      <c r="A1484" s="998"/>
      <c r="B1484" s="999"/>
      <c r="C1484" s="474"/>
      <c r="D1484" s="474"/>
      <c r="E1484" s="474"/>
      <c r="F1484" s="474"/>
      <c r="G1484" s="696"/>
      <c r="H1484" s="474"/>
      <c r="I1484" s="696"/>
    </row>
    <row r="1485" spans="1:9" ht="12.75">
      <c r="A1485" s="998"/>
      <c r="B1485" s="999"/>
      <c r="C1485" s="474"/>
      <c r="D1485" s="474"/>
      <c r="E1485" s="474"/>
      <c r="F1485" s="474"/>
      <c r="G1485" s="696"/>
      <c r="H1485" s="474"/>
      <c r="I1485" s="696"/>
    </row>
    <row r="1486" spans="1:9" ht="12.75">
      <c r="A1486" s="998"/>
      <c r="B1486" s="999"/>
      <c r="C1486" s="474"/>
      <c r="D1486" s="474"/>
      <c r="E1486" s="474"/>
      <c r="F1486" s="474"/>
      <c r="G1486" s="696"/>
      <c r="H1486" s="474"/>
      <c r="I1486" s="696"/>
    </row>
    <row r="1487" spans="1:9" ht="12.75">
      <c r="A1487" s="998"/>
      <c r="B1487" s="999"/>
      <c r="C1487" s="474"/>
      <c r="D1487" s="474"/>
      <c r="E1487" s="474"/>
      <c r="F1487" s="474"/>
      <c r="G1487" s="696"/>
      <c r="H1487" s="474"/>
      <c r="I1487" s="696"/>
    </row>
    <row r="1488" spans="1:9" ht="12.75">
      <c r="A1488" s="998"/>
      <c r="B1488" s="999"/>
      <c r="C1488" s="474"/>
      <c r="D1488" s="474"/>
      <c r="E1488" s="474"/>
      <c r="F1488" s="474"/>
      <c r="G1488" s="696"/>
      <c r="H1488" s="474"/>
      <c r="I1488" s="696"/>
    </row>
    <row r="1489" spans="1:9" ht="12.75">
      <c r="A1489" s="998"/>
      <c r="B1489" s="999"/>
      <c r="C1489" s="474"/>
      <c r="D1489" s="474"/>
      <c r="E1489" s="474"/>
      <c r="F1489" s="474"/>
      <c r="G1489" s="696"/>
      <c r="H1489" s="474"/>
      <c r="I1489" s="696"/>
    </row>
    <row r="1490" spans="1:9" ht="12.75">
      <c r="A1490" s="998"/>
      <c r="B1490" s="999"/>
      <c r="C1490" s="474"/>
      <c r="D1490" s="474"/>
      <c r="E1490" s="474"/>
      <c r="F1490" s="474"/>
      <c r="G1490" s="696"/>
      <c r="H1490" s="474"/>
      <c r="I1490" s="696"/>
    </row>
    <row r="1491" spans="1:9" ht="12.75">
      <c r="A1491" s="998"/>
      <c r="B1491" s="999"/>
      <c r="C1491" s="474"/>
      <c r="D1491" s="474"/>
      <c r="E1491" s="474"/>
      <c r="F1491" s="474"/>
      <c r="G1491" s="696"/>
      <c r="H1491" s="474"/>
      <c r="I1491" s="696"/>
    </row>
    <row r="1492" spans="1:9" ht="12.75">
      <c r="A1492" s="998"/>
      <c r="B1492" s="999"/>
      <c r="C1492" s="474"/>
      <c r="D1492" s="474"/>
      <c r="E1492" s="474"/>
      <c r="F1492" s="474"/>
      <c r="G1492" s="696"/>
      <c r="H1492" s="474"/>
      <c r="I1492" s="696"/>
    </row>
    <row r="1493" spans="1:9" ht="12.75">
      <c r="A1493" s="998"/>
      <c r="B1493" s="999"/>
      <c r="C1493" s="474"/>
      <c r="D1493" s="474"/>
      <c r="E1493" s="474"/>
      <c r="F1493" s="474"/>
      <c r="G1493" s="696"/>
      <c r="H1493" s="474"/>
      <c r="I1493" s="696"/>
    </row>
    <row r="1494" spans="1:9" ht="12.75">
      <c r="A1494" s="998"/>
      <c r="B1494" s="999"/>
      <c r="C1494" s="474"/>
      <c r="D1494" s="474"/>
      <c r="E1494" s="474"/>
      <c r="F1494" s="474"/>
      <c r="G1494" s="696"/>
      <c r="H1494" s="474"/>
      <c r="I1494" s="696"/>
    </row>
    <row r="1495" spans="1:9" ht="12.75">
      <c r="A1495" s="998"/>
      <c r="B1495" s="999"/>
      <c r="C1495" s="474"/>
      <c r="D1495" s="474"/>
      <c r="E1495" s="474"/>
      <c r="F1495" s="474"/>
      <c r="G1495" s="696"/>
      <c r="H1495" s="474"/>
      <c r="I1495" s="696"/>
    </row>
    <row r="1496" spans="1:9" ht="12.75">
      <c r="A1496" s="998"/>
      <c r="B1496" s="999"/>
      <c r="C1496" s="474"/>
      <c r="D1496" s="474"/>
      <c r="E1496" s="474"/>
      <c r="F1496" s="474"/>
      <c r="G1496" s="696"/>
      <c r="H1496" s="474"/>
      <c r="I1496" s="696"/>
    </row>
    <row r="1497" spans="1:9" ht="12.75">
      <c r="A1497" s="998"/>
      <c r="B1497" s="999"/>
      <c r="C1497" s="474"/>
      <c r="D1497" s="474"/>
      <c r="E1497" s="474"/>
      <c r="F1497" s="474"/>
      <c r="G1497" s="696"/>
      <c r="H1497" s="474"/>
      <c r="I1497" s="696"/>
    </row>
    <row r="1498" spans="1:9" ht="12.75">
      <c r="A1498" s="998"/>
      <c r="B1498" s="999"/>
      <c r="C1498" s="474"/>
      <c r="D1498" s="474"/>
      <c r="E1498" s="474"/>
      <c r="F1498" s="474"/>
      <c r="G1498" s="696"/>
      <c r="H1498" s="474"/>
      <c r="I1498" s="696"/>
    </row>
    <row r="1499" spans="1:9" ht="12.75">
      <c r="A1499" s="998"/>
      <c r="B1499" s="999"/>
      <c r="C1499" s="474"/>
      <c r="D1499" s="474"/>
      <c r="E1499" s="474"/>
      <c r="F1499" s="474"/>
      <c r="G1499" s="696"/>
      <c r="H1499" s="474"/>
      <c r="I1499" s="696"/>
    </row>
    <row r="1500" spans="1:9" ht="12.75">
      <c r="A1500" s="998"/>
      <c r="B1500" s="999"/>
      <c r="C1500" s="474"/>
      <c r="D1500" s="474"/>
      <c r="E1500" s="474"/>
      <c r="F1500" s="474"/>
      <c r="G1500" s="696"/>
      <c r="H1500" s="474"/>
      <c r="I1500" s="696"/>
    </row>
    <row r="1501" spans="1:9" ht="12.75">
      <c r="A1501" s="998"/>
      <c r="B1501" s="999"/>
      <c r="C1501" s="474"/>
      <c r="D1501" s="474"/>
      <c r="E1501" s="474"/>
      <c r="F1501" s="474"/>
      <c r="G1501" s="696"/>
      <c r="H1501" s="474"/>
      <c r="I1501" s="696"/>
    </row>
    <row r="1502" spans="1:9" ht="12.75">
      <c r="A1502" s="998"/>
      <c r="B1502" s="999"/>
      <c r="C1502" s="474"/>
      <c r="D1502" s="474"/>
      <c r="E1502" s="474"/>
      <c r="F1502" s="474"/>
      <c r="G1502" s="696"/>
      <c r="H1502" s="474"/>
      <c r="I1502" s="696"/>
    </row>
    <row r="1503" spans="1:9" ht="12.75">
      <c r="A1503" s="998"/>
      <c r="B1503" s="999"/>
      <c r="C1503" s="474"/>
      <c r="D1503" s="474"/>
      <c r="E1503" s="474"/>
      <c r="F1503" s="474"/>
      <c r="G1503" s="696"/>
      <c r="H1503" s="474"/>
      <c r="I1503" s="696"/>
    </row>
    <row r="1504" spans="1:9" ht="12.75">
      <c r="A1504" s="998"/>
      <c r="B1504" s="999"/>
      <c r="C1504" s="474"/>
      <c r="D1504" s="474"/>
      <c r="E1504" s="474"/>
      <c r="F1504" s="474"/>
      <c r="G1504" s="696"/>
      <c r="H1504" s="474"/>
      <c r="I1504" s="696"/>
    </row>
    <row r="1505" spans="1:9" ht="12.75">
      <c r="A1505" s="998"/>
      <c r="B1505" s="999"/>
      <c r="C1505" s="474"/>
      <c r="D1505" s="474"/>
      <c r="E1505" s="474"/>
      <c r="F1505" s="474"/>
      <c r="G1505" s="696"/>
      <c r="H1505" s="474"/>
      <c r="I1505" s="696"/>
    </row>
    <row r="1506" spans="1:9" ht="12.75">
      <c r="A1506" s="998"/>
      <c r="B1506" s="999"/>
      <c r="C1506" s="474"/>
      <c r="D1506" s="474"/>
      <c r="E1506" s="474"/>
      <c r="F1506" s="474"/>
      <c r="G1506" s="696"/>
      <c r="H1506" s="474"/>
      <c r="I1506" s="696"/>
    </row>
    <row r="1507" spans="1:9" ht="12.75">
      <c r="A1507" s="998"/>
      <c r="B1507" s="999"/>
      <c r="C1507" s="474"/>
      <c r="D1507" s="474"/>
      <c r="E1507" s="474"/>
      <c r="F1507" s="474"/>
      <c r="G1507" s="696"/>
      <c r="H1507" s="474"/>
      <c r="I1507" s="696"/>
    </row>
    <row r="1508" spans="1:9" ht="12.75">
      <c r="A1508" s="998"/>
      <c r="B1508" s="999"/>
      <c r="C1508" s="474"/>
      <c r="D1508" s="474"/>
      <c r="E1508" s="474"/>
      <c r="F1508" s="474"/>
      <c r="G1508" s="696"/>
      <c r="H1508" s="474"/>
      <c r="I1508" s="696"/>
    </row>
    <row r="1509" spans="1:9" ht="12.75">
      <c r="A1509" s="998"/>
      <c r="B1509" s="999"/>
      <c r="C1509" s="474"/>
      <c r="D1509" s="474"/>
      <c r="E1509" s="474"/>
      <c r="F1509" s="474"/>
      <c r="G1509" s="696"/>
      <c r="H1509" s="474"/>
      <c r="I1509" s="696"/>
    </row>
    <row r="1510" spans="1:9" ht="12.75">
      <c r="A1510" s="998"/>
      <c r="B1510" s="999"/>
      <c r="C1510" s="474"/>
      <c r="D1510" s="474"/>
      <c r="E1510" s="474"/>
      <c r="F1510" s="474"/>
      <c r="G1510" s="696"/>
      <c r="H1510" s="474"/>
      <c r="I1510" s="696"/>
    </row>
    <row r="1511" spans="1:9" ht="12.75">
      <c r="A1511" s="998"/>
      <c r="B1511" s="999"/>
      <c r="C1511" s="474"/>
      <c r="D1511" s="474"/>
      <c r="E1511" s="474"/>
      <c r="F1511" s="474"/>
      <c r="G1511" s="696"/>
      <c r="H1511" s="474"/>
      <c r="I1511" s="696"/>
    </row>
    <row r="1512" spans="1:9" ht="12.75">
      <c r="A1512" s="998"/>
      <c r="B1512" s="999"/>
      <c r="C1512" s="474"/>
      <c r="D1512" s="474"/>
      <c r="E1512" s="474"/>
      <c r="F1512" s="474"/>
      <c r="G1512" s="696"/>
      <c r="H1512" s="474"/>
      <c r="I1512" s="696"/>
    </row>
    <row r="1513" spans="1:9" ht="12.75">
      <c r="A1513" s="998"/>
      <c r="B1513" s="999"/>
      <c r="C1513" s="474"/>
      <c r="D1513" s="474"/>
      <c r="E1513" s="474"/>
      <c r="F1513" s="474"/>
      <c r="G1513" s="696"/>
      <c r="H1513" s="474"/>
      <c r="I1513" s="696"/>
    </row>
    <row r="1514" spans="1:9" ht="12.75">
      <c r="A1514" s="998"/>
      <c r="B1514" s="999"/>
      <c r="C1514" s="474"/>
      <c r="D1514" s="474"/>
      <c r="E1514" s="474"/>
      <c r="F1514" s="474"/>
      <c r="G1514" s="696"/>
      <c r="H1514" s="474"/>
      <c r="I1514" s="696"/>
    </row>
    <row r="1515" spans="1:9" ht="12.75">
      <c r="A1515" s="998"/>
      <c r="B1515" s="999"/>
      <c r="C1515" s="474"/>
      <c r="D1515" s="474"/>
      <c r="E1515" s="474"/>
      <c r="F1515" s="474"/>
      <c r="G1515" s="696"/>
      <c r="H1515" s="474"/>
      <c r="I1515" s="696"/>
    </row>
    <row r="1516" spans="1:9" ht="12.75">
      <c r="A1516" s="998"/>
      <c r="B1516" s="999"/>
      <c r="C1516" s="474"/>
      <c r="D1516" s="474"/>
      <c r="E1516" s="474"/>
      <c r="F1516" s="474"/>
      <c r="G1516" s="696"/>
      <c r="H1516" s="474"/>
      <c r="I1516" s="696"/>
    </row>
    <row r="1517" spans="1:9" ht="12.75">
      <c r="A1517" s="998"/>
      <c r="B1517" s="999"/>
      <c r="C1517" s="474"/>
      <c r="D1517" s="474"/>
      <c r="E1517" s="474"/>
      <c r="F1517" s="474"/>
      <c r="G1517" s="696"/>
      <c r="H1517" s="474"/>
      <c r="I1517" s="696"/>
    </row>
    <row r="1518" spans="1:9" ht="12.75">
      <c r="A1518" s="998"/>
      <c r="B1518" s="999"/>
      <c r="C1518" s="474"/>
      <c r="D1518" s="474"/>
      <c r="E1518" s="474"/>
      <c r="F1518" s="474"/>
      <c r="G1518" s="696"/>
      <c r="H1518" s="474"/>
      <c r="I1518" s="696"/>
    </row>
    <row r="1519" spans="1:9" ht="12.75">
      <c r="A1519" s="998"/>
      <c r="B1519" s="999"/>
      <c r="C1519" s="474"/>
      <c r="D1519" s="474"/>
      <c r="E1519" s="474"/>
      <c r="F1519" s="474"/>
      <c r="G1519" s="696"/>
      <c r="H1519" s="474"/>
      <c r="I1519" s="696"/>
    </row>
    <row r="1520" spans="1:9" ht="12.75">
      <c r="A1520" s="998"/>
      <c r="B1520" s="999"/>
      <c r="C1520" s="474"/>
      <c r="D1520" s="474"/>
      <c r="E1520" s="474"/>
      <c r="F1520" s="474"/>
      <c r="G1520" s="696"/>
      <c r="H1520" s="474"/>
      <c r="I1520" s="696"/>
    </row>
    <row r="1521" spans="1:9" ht="12.75">
      <c r="A1521" s="998"/>
      <c r="B1521" s="999"/>
      <c r="C1521" s="474"/>
      <c r="D1521" s="474"/>
      <c r="E1521" s="474"/>
      <c r="F1521" s="474"/>
      <c r="G1521" s="696"/>
      <c r="H1521" s="474"/>
      <c r="I1521" s="696"/>
    </row>
    <row r="1522" spans="1:9" ht="12.75">
      <c r="A1522" s="998"/>
      <c r="B1522" s="999"/>
      <c r="C1522" s="474"/>
      <c r="D1522" s="474"/>
      <c r="E1522" s="474"/>
      <c r="F1522" s="474"/>
      <c r="G1522" s="696"/>
      <c r="H1522" s="474"/>
      <c r="I1522" s="696"/>
    </row>
    <row r="1523" spans="1:9" ht="12.75">
      <c r="A1523" s="998"/>
      <c r="B1523" s="999"/>
      <c r="C1523" s="474"/>
      <c r="D1523" s="474"/>
      <c r="E1523" s="474"/>
      <c r="F1523" s="474"/>
      <c r="G1523" s="696"/>
      <c r="H1523" s="474"/>
      <c r="I1523" s="696"/>
    </row>
    <row r="1524" spans="1:9" ht="12.75">
      <c r="A1524" s="998"/>
      <c r="B1524" s="999"/>
      <c r="C1524" s="474"/>
      <c r="D1524" s="474"/>
      <c r="E1524" s="474"/>
      <c r="F1524" s="474"/>
      <c r="G1524" s="696"/>
      <c r="H1524" s="474"/>
      <c r="I1524" s="696"/>
    </row>
    <row r="1525" spans="1:9" ht="12.75">
      <c r="A1525" s="998"/>
      <c r="B1525" s="999"/>
      <c r="C1525" s="474"/>
      <c r="D1525" s="474"/>
      <c r="E1525" s="474"/>
      <c r="F1525" s="474"/>
      <c r="G1525" s="696"/>
      <c r="H1525" s="474"/>
      <c r="I1525" s="696"/>
    </row>
    <row r="1526" spans="1:9" ht="12.75">
      <c r="A1526" s="998"/>
      <c r="B1526" s="999"/>
      <c r="C1526" s="474"/>
      <c r="D1526" s="474"/>
      <c r="E1526" s="474"/>
      <c r="F1526" s="474"/>
      <c r="G1526" s="696"/>
      <c r="H1526" s="474"/>
      <c r="I1526" s="696"/>
    </row>
    <row r="1527" spans="1:9" ht="12.75">
      <c r="A1527" s="998"/>
      <c r="B1527" s="999"/>
      <c r="C1527" s="474"/>
      <c r="D1527" s="474"/>
      <c r="E1527" s="474"/>
      <c r="F1527" s="474"/>
      <c r="G1527" s="696"/>
      <c r="H1527" s="474"/>
      <c r="I1527" s="696"/>
    </row>
    <row r="1528" spans="1:9" ht="12.75">
      <c r="A1528" s="998"/>
      <c r="B1528" s="999"/>
      <c r="C1528" s="474"/>
      <c r="D1528" s="474"/>
      <c r="E1528" s="474"/>
      <c r="F1528" s="474"/>
      <c r="G1528" s="696"/>
      <c r="H1528" s="474"/>
      <c r="I1528" s="696"/>
    </row>
    <row r="1529" spans="1:9" ht="12.75">
      <c r="A1529" s="998"/>
      <c r="B1529" s="999"/>
      <c r="C1529" s="474"/>
      <c r="D1529" s="474"/>
      <c r="E1529" s="474"/>
      <c r="F1529" s="474"/>
      <c r="G1529" s="696"/>
      <c r="H1529" s="474"/>
      <c r="I1529" s="696"/>
    </row>
    <row r="1530" spans="1:9" ht="12.75">
      <c r="A1530" s="998"/>
      <c r="B1530" s="999"/>
      <c r="C1530" s="474"/>
      <c r="D1530" s="474"/>
      <c r="E1530" s="474"/>
      <c r="F1530" s="474"/>
      <c r="G1530" s="696"/>
      <c r="H1530" s="474"/>
      <c r="I1530" s="696"/>
    </row>
    <row r="1531" spans="1:9" ht="12.75">
      <c r="A1531" s="998"/>
      <c r="B1531" s="999"/>
      <c r="C1531" s="474"/>
      <c r="D1531" s="474"/>
      <c r="E1531" s="474"/>
      <c r="F1531" s="474"/>
      <c r="G1531" s="696"/>
      <c r="H1531" s="474"/>
      <c r="I1531" s="696"/>
    </row>
    <row r="1532" spans="1:9" ht="12.75">
      <c r="A1532" s="998"/>
      <c r="B1532" s="999"/>
      <c r="C1532" s="474"/>
      <c r="D1532" s="474"/>
      <c r="E1532" s="474"/>
      <c r="F1532" s="474"/>
      <c r="G1532" s="696"/>
      <c r="H1532" s="474"/>
      <c r="I1532" s="696"/>
    </row>
    <row r="1533" spans="1:9" ht="12.75">
      <c r="A1533" s="998"/>
      <c r="B1533" s="999"/>
      <c r="C1533" s="474"/>
      <c r="D1533" s="474"/>
      <c r="E1533" s="474"/>
      <c r="F1533" s="474"/>
      <c r="G1533" s="696"/>
      <c r="H1533" s="474"/>
      <c r="I1533" s="696"/>
    </row>
    <row r="1534" spans="1:9" ht="12.75">
      <c r="A1534" s="998"/>
      <c r="B1534" s="999"/>
      <c r="C1534" s="474"/>
      <c r="D1534" s="474"/>
      <c r="E1534" s="474"/>
      <c r="F1534" s="474"/>
      <c r="G1534" s="696"/>
      <c r="H1534" s="474"/>
      <c r="I1534" s="696"/>
    </row>
    <row r="1535" spans="1:9" ht="12.75">
      <c r="A1535" s="998"/>
      <c r="B1535" s="999"/>
      <c r="C1535" s="474"/>
      <c r="D1535" s="474"/>
      <c r="E1535" s="474"/>
      <c r="F1535" s="474"/>
      <c r="G1535" s="696"/>
      <c r="H1535" s="474"/>
      <c r="I1535" s="696"/>
    </row>
    <row r="1536" spans="1:9" ht="12.75">
      <c r="A1536" s="998"/>
      <c r="B1536" s="999"/>
      <c r="C1536" s="474"/>
      <c r="D1536" s="474"/>
      <c r="E1536" s="474"/>
      <c r="F1536" s="474"/>
      <c r="G1536" s="696"/>
      <c r="H1536" s="474"/>
      <c r="I1536" s="696"/>
    </row>
    <row r="1537" spans="1:9" ht="12.75">
      <c r="A1537" s="998"/>
      <c r="B1537" s="999"/>
      <c r="C1537" s="474"/>
      <c r="D1537" s="474"/>
      <c r="E1537" s="474"/>
      <c r="F1537" s="474"/>
      <c r="G1537" s="696"/>
      <c r="H1537" s="474"/>
      <c r="I1537" s="696"/>
    </row>
    <row r="1538" spans="1:9" ht="12.75">
      <c r="A1538" s="998"/>
      <c r="B1538" s="999"/>
      <c r="C1538" s="474"/>
      <c r="D1538" s="474"/>
      <c r="E1538" s="474"/>
      <c r="F1538" s="474"/>
      <c r="G1538" s="696"/>
      <c r="H1538" s="474"/>
      <c r="I1538" s="696"/>
    </row>
    <row r="1539" spans="1:9" ht="12.75">
      <c r="A1539" s="998"/>
      <c r="B1539" s="999"/>
      <c r="C1539" s="474"/>
      <c r="D1539" s="474"/>
      <c r="E1539" s="474"/>
      <c r="F1539" s="474"/>
      <c r="G1539" s="696"/>
      <c r="H1539" s="474"/>
      <c r="I1539" s="696"/>
    </row>
    <row r="1540" spans="1:9" ht="12.75">
      <c r="A1540" s="998"/>
      <c r="B1540" s="999"/>
      <c r="C1540" s="474"/>
      <c r="D1540" s="474"/>
      <c r="E1540" s="474"/>
      <c r="F1540" s="474"/>
      <c r="G1540" s="696"/>
      <c r="H1540" s="474"/>
      <c r="I1540" s="696"/>
    </row>
    <row r="1541" spans="1:9" ht="12.75">
      <c r="A1541" s="998"/>
      <c r="B1541" s="999"/>
      <c r="C1541" s="474"/>
      <c r="D1541" s="474"/>
      <c r="E1541" s="474"/>
      <c r="F1541" s="474"/>
      <c r="G1541" s="696"/>
      <c r="H1541" s="474"/>
      <c r="I1541" s="696"/>
    </row>
    <row r="1542" spans="1:9" ht="12.75">
      <c r="A1542" s="998"/>
      <c r="B1542" s="999"/>
      <c r="C1542" s="474"/>
      <c r="D1542" s="474"/>
      <c r="E1542" s="474"/>
      <c r="F1542" s="474"/>
      <c r="G1542" s="696"/>
      <c r="H1542" s="474"/>
      <c r="I1542" s="696"/>
    </row>
    <row r="1543" spans="1:9" ht="12.75">
      <c r="A1543" s="998"/>
      <c r="B1543" s="999"/>
      <c r="C1543" s="474"/>
      <c r="D1543" s="474"/>
      <c r="E1543" s="474"/>
      <c r="F1543" s="474"/>
      <c r="G1543" s="696"/>
      <c r="H1543" s="474"/>
      <c r="I1543" s="696"/>
    </row>
    <row r="1544" spans="1:9" ht="12.75">
      <c r="A1544" s="998"/>
      <c r="B1544" s="999"/>
      <c r="C1544" s="474"/>
      <c r="D1544" s="474"/>
      <c r="E1544" s="474"/>
      <c r="F1544" s="474"/>
      <c r="G1544" s="696"/>
      <c r="H1544" s="474"/>
      <c r="I1544" s="696"/>
    </row>
    <row r="1545" spans="1:9" ht="12.75">
      <c r="A1545" s="998"/>
      <c r="B1545" s="999"/>
      <c r="C1545" s="474"/>
      <c r="D1545" s="474"/>
      <c r="E1545" s="474"/>
      <c r="F1545" s="474"/>
      <c r="G1545" s="696"/>
      <c r="H1545" s="474"/>
      <c r="I1545" s="696"/>
    </row>
    <row r="1546" spans="1:9" ht="12.75">
      <c r="A1546" s="998"/>
      <c r="B1546" s="999"/>
      <c r="C1546" s="474"/>
      <c r="D1546" s="474"/>
      <c r="E1546" s="474"/>
      <c r="F1546" s="474"/>
      <c r="G1546" s="696"/>
      <c r="H1546" s="474"/>
      <c r="I1546" s="696"/>
    </row>
    <row r="1547" spans="1:9" ht="12.75">
      <c r="A1547" s="998"/>
      <c r="B1547" s="999"/>
      <c r="C1547" s="474"/>
      <c r="D1547" s="474"/>
      <c r="E1547" s="474"/>
      <c r="F1547" s="474"/>
      <c r="G1547" s="696"/>
      <c r="H1547" s="474"/>
      <c r="I1547" s="696"/>
    </row>
    <row r="1548" spans="1:9" ht="12.75">
      <c r="A1548" s="998"/>
      <c r="B1548" s="999"/>
      <c r="C1548" s="474"/>
      <c r="D1548" s="474"/>
      <c r="E1548" s="474"/>
      <c r="F1548" s="474"/>
      <c r="G1548" s="696"/>
      <c r="H1548" s="474"/>
      <c r="I1548" s="696"/>
    </row>
    <row r="1549" spans="1:9" ht="12.75">
      <c r="A1549" s="998"/>
      <c r="B1549" s="999"/>
      <c r="C1549" s="474"/>
      <c r="D1549" s="474"/>
      <c r="E1549" s="474"/>
      <c r="F1549" s="474"/>
      <c r="G1549" s="696"/>
      <c r="H1549" s="474"/>
      <c r="I1549" s="696"/>
    </row>
    <row r="1550" spans="1:9" ht="12.75">
      <c r="A1550" s="998"/>
      <c r="B1550" s="999"/>
      <c r="C1550" s="474"/>
      <c r="D1550" s="474"/>
      <c r="E1550" s="474"/>
      <c r="F1550" s="474"/>
      <c r="G1550" s="696"/>
      <c r="H1550" s="474"/>
      <c r="I1550" s="696"/>
    </row>
    <row r="1551" spans="1:9" ht="12.75">
      <c r="A1551" s="998"/>
      <c r="B1551" s="999"/>
      <c r="C1551" s="474"/>
      <c r="D1551" s="474"/>
      <c r="E1551" s="474"/>
      <c r="F1551" s="474"/>
      <c r="G1551" s="696"/>
      <c r="H1551" s="474"/>
      <c r="I1551" s="696"/>
    </row>
    <row r="1552" spans="1:9" ht="12.75">
      <c r="A1552" s="998"/>
      <c r="B1552" s="999"/>
      <c r="C1552" s="474"/>
      <c r="D1552" s="474"/>
      <c r="E1552" s="474"/>
      <c r="F1552" s="474"/>
      <c r="G1552" s="696"/>
      <c r="H1552" s="474"/>
      <c r="I1552" s="696"/>
    </row>
    <row r="1553" spans="1:9" ht="12.75">
      <c r="A1553" s="998"/>
      <c r="B1553" s="999"/>
      <c r="C1553" s="474"/>
      <c r="D1553" s="474"/>
      <c r="E1553" s="474"/>
      <c r="F1553" s="474"/>
      <c r="G1553" s="696"/>
      <c r="H1553" s="474"/>
      <c r="I1553" s="696"/>
    </row>
    <row r="1554" spans="1:9" ht="12.75">
      <c r="A1554" s="998"/>
      <c r="B1554" s="999"/>
      <c r="C1554" s="474"/>
      <c r="D1554" s="474"/>
      <c r="E1554" s="474"/>
      <c r="F1554" s="474"/>
      <c r="G1554" s="696"/>
      <c r="H1554" s="474"/>
      <c r="I1554" s="696"/>
    </row>
    <row r="1555" spans="1:9" ht="12.75">
      <c r="A1555" s="998"/>
      <c r="B1555" s="999"/>
      <c r="C1555" s="474"/>
      <c r="D1555" s="474"/>
      <c r="E1555" s="474"/>
      <c r="F1555" s="474"/>
      <c r="G1555" s="696"/>
      <c r="H1555" s="474"/>
      <c r="I1555" s="696"/>
    </row>
    <row r="1556" spans="1:9" ht="12.75">
      <c r="A1556" s="998"/>
      <c r="B1556" s="999"/>
      <c r="C1556" s="474"/>
      <c r="D1556" s="474"/>
      <c r="E1556" s="474"/>
      <c r="F1556" s="474"/>
      <c r="G1556" s="696"/>
      <c r="H1556" s="474"/>
      <c r="I1556" s="696"/>
    </row>
    <row r="1557" spans="1:9" ht="12.75">
      <c r="A1557" s="998"/>
      <c r="B1557" s="999"/>
      <c r="C1557" s="474"/>
      <c r="D1557" s="474"/>
      <c r="E1557" s="474"/>
      <c r="F1557" s="474"/>
      <c r="G1557" s="696"/>
      <c r="H1557" s="474"/>
      <c r="I1557" s="696"/>
    </row>
    <row r="1558" spans="1:9" ht="12.75">
      <c r="A1558" s="998"/>
      <c r="B1558" s="999"/>
      <c r="C1558" s="474"/>
      <c r="D1558" s="474"/>
      <c r="E1558" s="474"/>
      <c r="F1558" s="474"/>
      <c r="G1558" s="696"/>
      <c r="H1558" s="474"/>
      <c r="I1558" s="696"/>
    </row>
    <row r="1559" spans="1:9" ht="12.75">
      <c r="A1559" s="998"/>
      <c r="B1559" s="999"/>
      <c r="C1559" s="474"/>
      <c r="D1559" s="474"/>
      <c r="E1559" s="474"/>
      <c r="F1559" s="474"/>
      <c r="G1559" s="696"/>
      <c r="H1559" s="474"/>
      <c r="I1559" s="696"/>
    </row>
    <row r="1560" spans="1:9" ht="12.75">
      <c r="A1560" s="998"/>
      <c r="B1560" s="999"/>
      <c r="C1560" s="474"/>
      <c r="D1560" s="474"/>
      <c r="E1560" s="474"/>
      <c r="F1560" s="474"/>
      <c r="G1560" s="696"/>
      <c r="H1560" s="474"/>
      <c r="I1560" s="696"/>
    </row>
    <row r="1561" spans="1:9" ht="12.75">
      <c r="A1561" s="998"/>
      <c r="B1561" s="999"/>
      <c r="C1561" s="474"/>
      <c r="D1561" s="474"/>
      <c r="E1561" s="474"/>
      <c r="F1561" s="474"/>
      <c r="G1561" s="696"/>
      <c r="H1561" s="474"/>
      <c r="I1561" s="696"/>
    </row>
    <row r="1562" spans="1:9" ht="12.75">
      <c r="A1562" s="998"/>
      <c r="B1562" s="999"/>
      <c r="C1562" s="474"/>
      <c r="D1562" s="474"/>
      <c r="E1562" s="474"/>
      <c r="F1562" s="474"/>
      <c r="G1562" s="696"/>
      <c r="H1562" s="474"/>
      <c r="I1562" s="696"/>
    </row>
    <row r="1563" spans="1:9" ht="12.75">
      <c r="A1563" s="998"/>
      <c r="B1563" s="999"/>
      <c r="C1563" s="474"/>
      <c r="D1563" s="474"/>
      <c r="E1563" s="474"/>
      <c r="F1563" s="474"/>
      <c r="G1563" s="696"/>
      <c r="H1563" s="474"/>
      <c r="I1563" s="696"/>
    </row>
    <row r="1564" spans="1:9" ht="12.75">
      <c r="A1564" s="998"/>
      <c r="B1564" s="999"/>
      <c r="C1564" s="474"/>
      <c r="D1564" s="474"/>
      <c r="E1564" s="474"/>
      <c r="F1564" s="474"/>
      <c r="G1564" s="696"/>
      <c r="H1564" s="474"/>
      <c r="I1564" s="696"/>
    </row>
    <row r="1565" spans="1:9" ht="12.75">
      <c r="A1565" s="998"/>
      <c r="B1565" s="999"/>
      <c r="C1565" s="474"/>
      <c r="D1565" s="474"/>
      <c r="E1565" s="474"/>
      <c r="F1565" s="474"/>
      <c r="G1565" s="696"/>
      <c r="H1565" s="474"/>
      <c r="I1565" s="696"/>
    </row>
    <row r="1566" spans="1:9" ht="12.75">
      <c r="A1566" s="998"/>
      <c r="B1566" s="999"/>
      <c r="C1566" s="474"/>
      <c r="D1566" s="474"/>
      <c r="E1566" s="474"/>
      <c r="F1566" s="474"/>
      <c r="G1566" s="696"/>
      <c r="H1566" s="474"/>
      <c r="I1566" s="696"/>
    </row>
    <row r="1567" spans="1:9" ht="12.75">
      <c r="A1567" s="998"/>
      <c r="B1567" s="999"/>
      <c r="C1567" s="474"/>
      <c r="D1567" s="474"/>
      <c r="E1567" s="474"/>
      <c r="F1567" s="474"/>
      <c r="G1567" s="696"/>
      <c r="H1567" s="474"/>
      <c r="I1567" s="696"/>
    </row>
    <row r="1568" spans="1:9" ht="12.75">
      <c r="A1568" s="998"/>
      <c r="B1568" s="999"/>
      <c r="C1568" s="474"/>
      <c r="D1568" s="474"/>
      <c r="E1568" s="474"/>
      <c r="F1568" s="474"/>
      <c r="G1568" s="696"/>
      <c r="H1568" s="474"/>
      <c r="I1568" s="696"/>
    </row>
    <row r="1569" spans="1:9" ht="12.75">
      <c r="A1569" s="998"/>
      <c r="B1569" s="999"/>
      <c r="C1569" s="474"/>
      <c r="D1569" s="474"/>
      <c r="E1569" s="474"/>
      <c r="F1569" s="474"/>
      <c r="G1569" s="696"/>
      <c r="H1569" s="474"/>
      <c r="I1569" s="696"/>
    </row>
    <row r="1570" spans="1:9" ht="12.75">
      <c r="A1570" s="998"/>
      <c r="B1570" s="999"/>
      <c r="C1570" s="474"/>
      <c r="D1570" s="474"/>
      <c r="E1570" s="474"/>
      <c r="F1570" s="474"/>
      <c r="G1570" s="696"/>
      <c r="H1570" s="474"/>
      <c r="I1570" s="696"/>
    </row>
    <row r="1571" spans="1:9" ht="12.75">
      <c r="A1571" s="998"/>
      <c r="B1571" s="999"/>
      <c r="C1571" s="474"/>
      <c r="D1571" s="474"/>
      <c r="E1571" s="474"/>
      <c r="F1571" s="474"/>
      <c r="G1571" s="696"/>
      <c r="H1571" s="474"/>
      <c r="I1571" s="696"/>
    </row>
    <row r="1572" spans="1:9" ht="12.75">
      <c r="A1572" s="998"/>
      <c r="B1572" s="999"/>
      <c r="C1572" s="474"/>
      <c r="D1572" s="474"/>
      <c r="E1572" s="474"/>
      <c r="F1572" s="474"/>
      <c r="G1572" s="696"/>
      <c r="H1572" s="474"/>
      <c r="I1572" s="696"/>
    </row>
    <row r="1573" spans="1:9" ht="12.75">
      <c r="A1573" s="998"/>
      <c r="B1573" s="999"/>
      <c r="C1573" s="474"/>
      <c r="D1573" s="474"/>
      <c r="E1573" s="474"/>
      <c r="F1573" s="474"/>
      <c r="G1573" s="696"/>
      <c r="H1573" s="474"/>
      <c r="I1573" s="696"/>
    </row>
    <row r="1574" spans="1:9" ht="12.75">
      <c r="A1574" s="998"/>
      <c r="B1574" s="999"/>
      <c r="C1574" s="474"/>
      <c r="D1574" s="474"/>
      <c r="E1574" s="474"/>
      <c r="F1574" s="474"/>
      <c r="G1574" s="696"/>
      <c r="H1574" s="474"/>
      <c r="I1574" s="696"/>
    </row>
    <row r="1575" spans="1:9" ht="12.75">
      <c r="A1575" s="998"/>
      <c r="B1575" s="999"/>
      <c r="C1575" s="474"/>
      <c r="D1575" s="474"/>
      <c r="E1575" s="474"/>
      <c r="F1575" s="474"/>
      <c r="G1575" s="696"/>
      <c r="H1575" s="474"/>
      <c r="I1575" s="696"/>
    </row>
    <row r="1576" spans="1:9" ht="12.75">
      <c r="A1576" s="998"/>
      <c r="B1576" s="999"/>
      <c r="C1576" s="474"/>
      <c r="D1576" s="474"/>
      <c r="E1576" s="474"/>
      <c r="F1576" s="474"/>
      <c r="G1576" s="696"/>
      <c r="H1576" s="474"/>
      <c r="I1576" s="696"/>
    </row>
    <row r="1577" spans="1:9" ht="12.75">
      <c r="A1577" s="998"/>
      <c r="B1577" s="999"/>
      <c r="C1577" s="474"/>
      <c r="D1577" s="474"/>
      <c r="E1577" s="474"/>
      <c r="F1577" s="474"/>
      <c r="G1577" s="696"/>
      <c r="H1577" s="474"/>
      <c r="I1577" s="696"/>
    </row>
    <row r="1578" spans="1:9" ht="12.75">
      <c r="A1578" s="998"/>
      <c r="B1578" s="999"/>
      <c r="C1578" s="474"/>
      <c r="D1578" s="474"/>
      <c r="E1578" s="474"/>
      <c r="F1578" s="474"/>
      <c r="G1578" s="696"/>
      <c r="H1578" s="474"/>
      <c r="I1578" s="696"/>
    </row>
    <row r="1579" spans="1:9" ht="12.75">
      <c r="A1579" s="998"/>
      <c r="B1579" s="999"/>
      <c r="C1579" s="474"/>
      <c r="D1579" s="474"/>
      <c r="E1579" s="474"/>
      <c r="F1579" s="474"/>
      <c r="G1579" s="696"/>
      <c r="H1579" s="474"/>
      <c r="I1579" s="696"/>
    </row>
    <row r="1580" spans="1:9" ht="12.75">
      <c r="A1580" s="998"/>
      <c r="B1580" s="999"/>
      <c r="C1580" s="474"/>
      <c r="D1580" s="474"/>
      <c r="E1580" s="474"/>
      <c r="F1580" s="474"/>
      <c r="G1580" s="696"/>
      <c r="H1580" s="474"/>
      <c r="I1580" s="696"/>
    </row>
    <row r="1581" spans="1:9" ht="12.75">
      <c r="A1581" s="998"/>
      <c r="B1581" s="999"/>
      <c r="C1581" s="474"/>
      <c r="D1581" s="474"/>
      <c r="E1581" s="474"/>
      <c r="F1581" s="474"/>
      <c r="G1581" s="696"/>
      <c r="H1581" s="474"/>
      <c r="I1581" s="696"/>
    </row>
    <row r="1582" spans="1:9" ht="12.75">
      <c r="A1582" s="998"/>
      <c r="B1582" s="999"/>
      <c r="C1582" s="474"/>
      <c r="D1582" s="474"/>
      <c r="E1582" s="474"/>
      <c r="F1582" s="474"/>
      <c r="G1582" s="696"/>
      <c r="H1582" s="474"/>
      <c r="I1582" s="696"/>
    </row>
    <row r="1583" spans="1:9" ht="12.75">
      <c r="A1583" s="998"/>
      <c r="B1583" s="999"/>
      <c r="C1583" s="474"/>
      <c r="D1583" s="474"/>
      <c r="E1583" s="474"/>
      <c r="F1583" s="474"/>
      <c r="G1583" s="696"/>
      <c r="H1583" s="474"/>
      <c r="I1583" s="696"/>
    </row>
    <row r="1584" spans="1:9" ht="12.75">
      <c r="A1584" s="998"/>
      <c r="B1584" s="999"/>
      <c r="C1584" s="474"/>
      <c r="D1584" s="474"/>
      <c r="E1584" s="474"/>
      <c r="F1584" s="474"/>
      <c r="G1584" s="696"/>
      <c r="H1584" s="474"/>
      <c r="I1584" s="696"/>
    </row>
    <row r="1585" spans="1:9" ht="12.75">
      <c r="A1585" s="998"/>
      <c r="B1585" s="999"/>
      <c r="C1585" s="474"/>
      <c r="D1585" s="474"/>
      <c r="E1585" s="474"/>
      <c r="F1585" s="474"/>
      <c r="G1585" s="696"/>
      <c r="H1585" s="474"/>
      <c r="I1585" s="696"/>
    </row>
    <row r="1586" spans="1:9" ht="12.75">
      <c r="A1586" s="998"/>
      <c r="B1586" s="999"/>
      <c r="C1586" s="474"/>
      <c r="D1586" s="474"/>
      <c r="E1586" s="474"/>
      <c r="F1586" s="474"/>
      <c r="G1586" s="696"/>
      <c r="H1586" s="474"/>
      <c r="I1586" s="696"/>
    </row>
    <row r="1587" spans="1:9" ht="12.75">
      <c r="A1587" s="998"/>
      <c r="B1587" s="999"/>
      <c r="C1587" s="474"/>
      <c r="D1587" s="474"/>
      <c r="E1587" s="474"/>
      <c r="F1587" s="474"/>
      <c r="G1587" s="696"/>
      <c r="H1587" s="474"/>
      <c r="I1587" s="696"/>
    </row>
    <row r="1588" spans="1:9" ht="12.75">
      <c r="A1588" s="998"/>
      <c r="B1588" s="999"/>
      <c r="C1588" s="474"/>
      <c r="D1588" s="474"/>
      <c r="E1588" s="474"/>
      <c r="F1588" s="474"/>
      <c r="G1588" s="696"/>
      <c r="H1588" s="474"/>
      <c r="I1588" s="696"/>
    </row>
    <row r="1589" spans="1:9" ht="12.75">
      <c r="A1589" s="998"/>
      <c r="B1589" s="999"/>
      <c r="C1589" s="474"/>
      <c r="D1589" s="474"/>
      <c r="E1589" s="474"/>
      <c r="F1589" s="474"/>
      <c r="G1589" s="696"/>
      <c r="H1589" s="474"/>
      <c r="I1589" s="696"/>
    </row>
    <row r="1590" spans="1:9" ht="12.75">
      <c r="A1590" s="998"/>
      <c r="B1590" s="999"/>
      <c r="C1590" s="474"/>
      <c r="D1590" s="474"/>
      <c r="E1590" s="474"/>
      <c r="F1590" s="474"/>
      <c r="G1590" s="696"/>
      <c r="H1590" s="474"/>
      <c r="I1590" s="696"/>
    </row>
    <row r="1591" spans="1:9" ht="12.75">
      <c r="A1591" s="998"/>
      <c r="B1591" s="999"/>
      <c r="C1591" s="474"/>
      <c r="D1591" s="474"/>
      <c r="E1591" s="474"/>
      <c r="F1591" s="474"/>
      <c r="G1591" s="696"/>
      <c r="H1591" s="474"/>
      <c r="I1591" s="696"/>
    </row>
    <row r="1592" spans="1:9" ht="12.75">
      <c r="A1592" s="998"/>
      <c r="B1592" s="999"/>
      <c r="C1592" s="474"/>
      <c r="D1592" s="474"/>
      <c r="E1592" s="474"/>
      <c r="F1592" s="474"/>
      <c r="G1592" s="696"/>
      <c r="H1592" s="474"/>
      <c r="I1592" s="696"/>
    </row>
    <row r="1593" spans="1:9" ht="12.75">
      <c r="A1593" s="998"/>
      <c r="B1593" s="999"/>
      <c r="C1593" s="474"/>
      <c r="D1593" s="474"/>
      <c r="E1593" s="474"/>
      <c r="F1593" s="474"/>
      <c r="G1593" s="696"/>
      <c r="H1593" s="474"/>
      <c r="I1593" s="696"/>
    </row>
    <row r="1594" spans="1:9" ht="12.75">
      <c r="A1594" s="998"/>
      <c r="B1594" s="999"/>
      <c r="C1594" s="474"/>
      <c r="D1594" s="474"/>
      <c r="E1594" s="474"/>
      <c r="F1594" s="474"/>
      <c r="G1594" s="696"/>
      <c r="H1594" s="474"/>
      <c r="I1594" s="696"/>
    </row>
    <row r="1595" spans="1:9" ht="12.75">
      <c r="A1595" s="998"/>
      <c r="B1595" s="999"/>
      <c r="C1595" s="474"/>
      <c r="D1595" s="474"/>
      <c r="E1595" s="474"/>
      <c r="F1595" s="474"/>
      <c r="G1595" s="696"/>
      <c r="H1595" s="474"/>
      <c r="I1595" s="696"/>
    </row>
    <row r="1596" spans="1:9" ht="12.75">
      <c r="A1596" s="998"/>
      <c r="B1596" s="999"/>
      <c r="C1596" s="474"/>
      <c r="D1596" s="474"/>
      <c r="E1596" s="474"/>
      <c r="F1596" s="474"/>
      <c r="G1596" s="696"/>
      <c r="H1596" s="474"/>
      <c r="I1596" s="696"/>
    </row>
    <row r="1597" spans="1:9" ht="12.75">
      <c r="A1597" s="998"/>
      <c r="B1597" s="999"/>
      <c r="C1597" s="474"/>
      <c r="D1597" s="474"/>
      <c r="E1597" s="474"/>
      <c r="F1597" s="474"/>
      <c r="G1597" s="696"/>
      <c r="H1597" s="474"/>
      <c r="I1597" s="696"/>
    </row>
    <row r="1598" spans="1:9" ht="12.75">
      <c r="A1598" s="998"/>
      <c r="B1598" s="999"/>
      <c r="C1598" s="474"/>
      <c r="D1598" s="474"/>
      <c r="E1598" s="474"/>
      <c r="F1598" s="474"/>
      <c r="G1598" s="696"/>
      <c r="H1598" s="474"/>
      <c r="I1598" s="696"/>
    </row>
    <row r="1599" spans="1:9" ht="12.75">
      <c r="A1599" s="998"/>
      <c r="B1599" s="999"/>
      <c r="C1599" s="474"/>
      <c r="D1599" s="474"/>
      <c r="E1599" s="474"/>
      <c r="F1599" s="474"/>
      <c r="G1599" s="696"/>
      <c r="H1599" s="474"/>
      <c r="I1599" s="696"/>
    </row>
    <row r="1600" spans="1:9" ht="12.75">
      <c r="A1600" s="998"/>
      <c r="B1600" s="999"/>
      <c r="C1600" s="474"/>
      <c r="D1600" s="474"/>
      <c r="E1600" s="474"/>
      <c r="F1600" s="474"/>
      <c r="G1600" s="696"/>
      <c r="H1600" s="474"/>
      <c r="I1600" s="696"/>
    </row>
    <row r="1601" spans="1:9" ht="12.75">
      <c r="A1601" s="998"/>
      <c r="B1601" s="999"/>
      <c r="C1601" s="474"/>
      <c r="D1601" s="474"/>
      <c r="E1601" s="474"/>
      <c r="F1601" s="474"/>
      <c r="G1601" s="696"/>
      <c r="H1601" s="474"/>
      <c r="I1601" s="696"/>
    </row>
    <row r="1602" spans="1:9" ht="12.75">
      <c r="A1602" s="998"/>
      <c r="B1602" s="999"/>
      <c r="C1602" s="474"/>
      <c r="D1602" s="474"/>
      <c r="E1602" s="474"/>
      <c r="F1602" s="474"/>
      <c r="G1602" s="696"/>
      <c r="H1602" s="474"/>
      <c r="I1602" s="696"/>
    </row>
    <row r="1603" spans="1:9" ht="12.75">
      <c r="A1603" s="998"/>
      <c r="B1603" s="999"/>
      <c r="C1603" s="474"/>
      <c r="D1603" s="474"/>
      <c r="E1603" s="474"/>
      <c r="F1603" s="474"/>
      <c r="G1603" s="696"/>
      <c r="H1603" s="474"/>
      <c r="I1603" s="696"/>
    </row>
    <row r="1604" spans="1:9" ht="12.75">
      <c r="A1604" s="998"/>
      <c r="B1604" s="999"/>
      <c r="C1604" s="474"/>
      <c r="D1604" s="474"/>
      <c r="E1604" s="474"/>
      <c r="F1604" s="474"/>
      <c r="G1604" s="696"/>
      <c r="H1604" s="474"/>
      <c r="I1604" s="696"/>
    </row>
    <row r="1605" spans="1:9" ht="12.75">
      <c r="A1605" s="998"/>
      <c r="B1605" s="999"/>
      <c r="C1605" s="474"/>
      <c r="D1605" s="474"/>
      <c r="E1605" s="474"/>
      <c r="F1605" s="474"/>
      <c r="G1605" s="696"/>
      <c r="H1605" s="474"/>
      <c r="I1605" s="696"/>
    </row>
    <row r="1606" spans="1:9" ht="12.75">
      <c r="A1606" s="998"/>
      <c r="B1606" s="999"/>
      <c r="C1606" s="474"/>
      <c r="D1606" s="474"/>
      <c r="E1606" s="474"/>
      <c r="F1606" s="474"/>
      <c r="G1606" s="696"/>
      <c r="H1606" s="474"/>
      <c r="I1606" s="696"/>
    </row>
    <row r="1607" spans="1:9" ht="12.75">
      <c r="A1607" s="998"/>
      <c r="B1607" s="999"/>
      <c r="C1607" s="474"/>
      <c r="D1607" s="474"/>
      <c r="E1607" s="474"/>
      <c r="F1607" s="474"/>
      <c r="G1607" s="696"/>
      <c r="H1607" s="474"/>
      <c r="I1607" s="696"/>
    </row>
    <row r="1608" spans="1:9" ht="12.75">
      <c r="A1608" s="998"/>
      <c r="B1608" s="999"/>
      <c r="C1608" s="474"/>
      <c r="D1608" s="474"/>
      <c r="E1608" s="474"/>
      <c r="F1608" s="474"/>
      <c r="G1608" s="696"/>
      <c r="H1608" s="474"/>
      <c r="I1608" s="696"/>
    </row>
    <row r="1609" spans="1:9" ht="12.75">
      <c r="A1609" s="998"/>
      <c r="B1609" s="999"/>
      <c r="C1609" s="474"/>
      <c r="D1609" s="474"/>
      <c r="E1609" s="474"/>
      <c r="F1609" s="474"/>
      <c r="G1609" s="696"/>
      <c r="H1609" s="474"/>
      <c r="I1609" s="696"/>
    </row>
    <row r="1610" spans="1:9" ht="12.75">
      <c r="A1610" s="998"/>
      <c r="B1610" s="999"/>
      <c r="C1610" s="474"/>
      <c r="D1610" s="474"/>
      <c r="E1610" s="474"/>
      <c r="F1610" s="474"/>
      <c r="G1610" s="696"/>
      <c r="H1610" s="474"/>
      <c r="I1610" s="696"/>
    </row>
    <row r="1611" spans="1:9" ht="12.75">
      <c r="A1611" s="998"/>
      <c r="B1611" s="999"/>
      <c r="C1611" s="474"/>
      <c r="D1611" s="474"/>
      <c r="E1611" s="474"/>
      <c r="F1611" s="474"/>
      <c r="G1611" s="696"/>
      <c r="H1611" s="474"/>
      <c r="I1611" s="696"/>
    </row>
    <row r="1612" spans="1:9" ht="12.75">
      <c r="A1612" s="998"/>
      <c r="B1612" s="999"/>
      <c r="C1612" s="474"/>
      <c r="D1612" s="474"/>
      <c r="E1612" s="474"/>
      <c r="F1612" s="474"/>
      <c r="G1612" s="696"/>
      <c r="H1612" s="474"/>
      <c r="I1612" s="696"/>
    </row>
    <row r="1613" spans="1:9" ht="12.75">
      <c r="A1613" s="998"/>
      <c r="B1613" s="999"/>
      <c r="C1613" s="474"/>
      <c r="D1613" s="474"/>
      <c r="E1613" s="474"/>
      <c r="F1613" s="474"/>
      <c r="G1613" s="696"/>
      <c r="H1613" s="474"/>
      <c r="I1613" s="696"/>
    </row>
    <row r="1614" spans="1:9" ht="12.75">
      <c r="A1614" s="998"/>
      <c r="B1614" s="999"/>
      <c r="C1614" s="474"/>
      <c r="D1614" s="474"/>
      <c r="E1614" s="474"/>
      <c r="F1614" s="474"/>
      <c r="G1614" s="696"/>
      <c r="H1614" s="474"/>
      <c r="I1614" s="696"/>
    </row>
    <row r="1615" spans="1:9" ht="12.75">
      <c r="A1615" s="998"/>
      <c r="B1615" s="999"/>
      <c r="C1615" s="474"/>
      <c r="D1615" s="474"/>
      <c r="E1615" s="474"/>
      <c r="F1615" s="474"/>
      <c r="G1615" s="696"/>
      <c r="H1615" s="474"/>
      <c r="I1615" s="696"/>
    </row>
    <row r="1616" spans="1:9" ht="12.75">
      <c r="A1616" s="998"/>
      <c r="B1616" s="999"/>
      <c r="C1616" s="474"/>
      <c r="D1616" s="474"/>
      <c r="E1616" s="474"/>
      <c r="F1616" s="474"/>
      <c r="G1616" s="696"/>
      <c r="H1616" s="474"/>
      <c r="I1616" s="696"/>
    </row>
    <row r="1617" spans="1:9" ht="12.75">
      <c r="A1617" s="998"/>
      <c r="B1617" s="999"/>
      <c r="C1617" s="474"/>
      <c r="D1617" s="474"/>
      <c r="E1617" s="474"/>
      <c r="F1617" s="474"/>
      <c r="G1617" s="696"/>
      <c r="H1617" s="474"/>
      <c r="I1617" s="696"/>
    </row>
    <row r="1618" spans="1:9" ht="12.75">
      <c r="A1618" s="998"/>
      <c r="B1618" s="999"/>
      <c r="C1618" s="474"/>
      <c r="D1618" s="474"/>
      <c r="E1618" s="474"/>
      <c r="F1618" s="474"/>
      <c r="G1618" s="696"/>
      <c r="H1618" s="474"/>
      <c r="I1618" s="696"/>
    </row>
    <row r="1619" spans="1:9" ht="12.75">
      <c r="A1619" s="998"/>
      <c r="B1619" s="999"/>
      <c r="C1619" s="474"/>
      <c r="D1619" s="474"/>
      <c r="E1619" s="474"/>
      <c r="F1619" s="474"/>
      <c r="G1619" s="696"/>
      <c r="H1619" s="474"/>
      <c r="I1619" s="696"/>
    </row>
    <row r="1620" spans="1:9" ht="12.75">
      <c r="A1620" s="998"/>
      <c r="B1620" s="999"/>
      <c r="C1620" s="474"/>
      <c r="D1620" s="474"/>
      <c r="E1620" s="474"/>
      <c r="F1620" s="474"/>
      <c r="G1620" s="696"/>
      <c r="H1620" s="474"/>
      <c r="I1620" s="696"/>
    </row>
    <row r="1621" spans="1:9" ht="12.75">
      <c r="A1621" s="998"/>
      <c r="B1621" s="999"/>
      <c r="C1621" s="474"/>
      <c r="D1621" s="474"/>
      <c r="E1621" s="474"/>
      <c r="F1621" s="474"/>
      <c r="G1621" s="696"/>
      <c r="H1621" s="474"/>
      <c r="I1621" s="696"/>
    </row>
    <row r="1622" spans="1:9" ht="12.75">
      <c r="A1622" s="998"/>
      <c r="B1622" s="999"/>
      <c r="C1622" s="474"/>
      <c r="D1622" s="474"/>
      <c r="E1622" s="474"/>
      <c r="F1622" s="474"/>
      <c r="G1622" s="696"/>
      <c r="H1622" s="474"/>
      <c r="I1622" s="696"/>
    </row>
    <row r="1623" spans="1:9" ht="12.75">
      <c r="A1623" s="998"/>
      <c r="B1623" s="999"/>
      <c r="C1623" s="474"/>
      <c r="D1623" s="474"/>
      <c r="E1623" s="474"/>
      <c r="F1623" s="474"/>
      <c r="G1623" s="696"/>
      <c r="H1623" s="474"/>
      <c r="I1623" s="696"/>
    </row>
    <row r="1624" spans="1:9" ht="12.75">
      <c r="A1624" s="998"/>
      <c r="B1624" s="999"/>
      <c r="C1624" s="474"/>
      <c r="D1624" s="474"/>
      <c r="E1624" s="474"/>
      <c r="F1624" s="474"/>
      <c r="G1624" s="696"/>
      <c r="H1624" s="474"/>
      <c r="I1624" s="696"/>
    </row>
    <row r="1625" spans="1:9" ht="12.75">
      <c r="A1625" s="998"/>
      <c r="B1625" s="999"/>
      <c r="C1625" s="474"/>
      <c r="D1625" s="474"/>
      <c r="E1625" s="474"/>
      <c r="F1625" s="474"/>
      <c r="G1625" s="696"/>
      <c r="H1625" s="474"/>
      <c r="I1625" s="696"/>
    </row>
    <row r="1626" spans="1:9" ht="12.75">
      <c r="A1626" s="998"/>
      <c r="B1626" s="999"/>
      <c r="C1626" s="474"/>
      <c r="D1626" s="474"/>
      <c r="E1626" s="474"/>
      <c r="F1626" s="474"/>
      <c r="G1626" s="696"/>
      <c r="H1626" s="474"/>
      <c r="I1626" s="696"/>
    </row>
    <row r="1627" spans="1:9" ht="12.75">
      <c r="A1627" s="998"/>
      <c r="B1627" s="999"/>
      <c r="C1627" s="474"/>
      <c r="D1627" s="474"/>
      <c r="E1627" s="474"/>
      <c r="F1627" s="474"/>
      <c r="G1627" s="696"/>
      <c r="H1627" s="474"/>
      <c r="I1627" s="696"/>
    </row>
    <row r="1628" spans="1:9" ht="12.75">
      <c r="A1628" s="998"/>
      <c r="B1628" s="999"/>
      <c r="C1628" s="474"/>
      <c r="D1628" s="474"/>
      <c r="E1628" s="474"/>
      <c r="F1628" s="474"/>
      <c r="G1628" s="696"/>
      <c r="H1628" s="474"/>
      <c r="I1628" s="696"/>
    </row>
    <row r="1629" spans="1:9" ht="12.75">
      <c r="A1629" s="998"/>
      <c r="B1629" s="999"/>
      <c r="C1629" s="474"/>
      <c r="D1629" s="474"/>
      <c r="E1629" s="474"/>
      <c r="F1629" s="474"/>
      <c r="G1629" s="696"/>
      <c r="H1629" s="474"/>
      <c r="I1629" s="696"/>
    </row>
    <row r="1630" spans="1:9" ht="12.75">
      <c r="A1630" s="998"/>
      <c r="B1630" s="999"/>
      <c r="C1630" s="474"/>
      <c r="D1630" s="474"/>
      <c r="E1630" s="474"/>
      <c r="F1630" s="474"/>
      <c r="G1630" s="696"/>
      <c r="H1630" s="474"/>
      <c r="I1630" s="696"/>
    </row>
    <row r="1631" spans="1:9" ht="12.75">
      <c r="A1631" s="998"/>
      <c r="B1631" s="999"/>
      <c r="C1631" s="474"/>
      <c r="D1631" s="474"/>
      <c r="E1631" s="474"/>
      <c r="F1631" s="474"/>
      <c r="G1631" s="696"/>
      <c r="H1631" s="474"/>
      <c r="I1631" s="696"/>
    </row>
    <row r="1632" spans="1:9" ht="12.75">
      <c r="A1632" s="998"/>
      <c r="B1632" s="999"/>
      <c r="C1632" s="474"/>
      <c r="D1632" s="474"/>
      <c r="E1632" s="474"/>
      <c r="F1632" s="474"/>
      <c r="G1632" s="696"/>
      <c r="H1632" s="474"/>
      <c r="I1632" s="696"/>
    </row>
    <row r="1633" spans="1:9" ht="12.75">
      <c r="A1633" s="998"/>
      <c r="B1633" s="999"/>
      <c r="C1633" s="474"/>
      <c r="D1633" s="474"/>
      <c r="E1633" s="474"/>
      <c r="F1633" s="474"/>
      <c r="G1633" s="696"/>
      <c r="H1633" s="474"/>
      <c r="I1633" s="696"/>
    </row>
    <row r="1634" spans="1:9" ht="12.75">
      <c r="A1634" s="998"/>
      <c r="B1634" s="999"/>
      <c r="C1634" s="474"/>
      <c r="D1634" s="474"/>
      <c r="E1634" s="474"/>
      <c r="F1634" s="474"/>
      <c r="G1634" s="696"/>
      <c r="H1634" s="474"/>
      <c r="I1634" s="696"/>
    </row>
    <row r="1635" spans="1:9" ht="12.75">
      <c r="A1635" s="998"/>
      <c r="B1635" s="999"/>
      <c r="C1635" s="474"/>
      <c r="D1635" s="474"/>
      <c r="E1635" s="474"/>
      <c r="F1635" s="474"/>
      <c r="G1635" s="696"/>
      <c r="H1635" s="474"/>
      <c r="I1635" s="696"/>
    </row>
    <row r="1636" spans="1:9" ht="12.75">
      <c r="A1636" s="998"/>
      <c r="B1636" s="999"/>
      <c r="C1636" s="474"/>
      <c r="D1636" s="474"/>
      <c r="E1636" s="474"/>
      <c r="F1636" s="474"/>
      <c r="G1636" s="696"/>
      <c r="H1636" s="474"/>
      <c r="I1636" s="696"/>
    </row>
    <row r="1637" spans="1:9" ht="12.75">
      <c r="A1637" s="998"/>
      <c r="B1637" s="999"/>
      <c r="C1637" s="474"/>
      <c r="D1637" s="474"/>
      <c r="E1637" s="474"/>
      <c r="F1637" s="474"/>
      <c r="G1637" s="696"/>
      <c r="H1637" s="474"/>
      <c r="I1637" s="696"/>
    </row>
    <row r="1638" spans="1:9" ht="12.75">
      <c r="A1638" s="998"/>
      <c r="B1638" s="999"/>
      <c r="C1638" s="474"/>
      <c r="D1638" s="474"/>
      <c r="E1638" s="474"/>
      <c r="F1638" s="474"/>
      <c r="G1638" s="696"/>
      <c r="H1638" s="474"/>
      <c r="I1638" s="696"/>
    </row>
    <row r="1639" spans="1:9" ht="12.75">
      <c r="A1639" s="998"/>
      <c r="B1639" s="999"/>
      <c r="C1639" s="474"/>
      <c r="D1639" s="474"/>
      <c r="E1639" s="474"/>
      <c r="F1639" s="474"/>
      <c r="G1639" s="696"/>
      <c r="H1639" s="474"/>
      <c r="I1639" s="696"/>
    </row>
    <row r="1640" spans="1:9" ht="12.75">
      <c r="A1640" s="998"/>
      <c r="B1640" s="999"/>
      <c r="C1640" s="474"/>
      <c r="D1640" s="474"/>
      <c r="E1640" s="474"/>
      <c r="F1640" s="474"/>
      <c r="G1640" s="696"/>
      <c r="H1640" s="474"/>
      <c r="I1640" s="696"/>
    </row>
    <row r="1641" spans="1:9" ht="12.75">
      <c r="A1641" s="998"/>
      <c r="B1641" s="999"/>
      <c r="C1641" s="474"/>
      <c r="D1641" s="474"/>
      <c r="E1641" s="474"/>
      <c r="F1641" s="474"/>
      <c r="G1641" s="696"/>
      <c r="H1641" s="474"/>
      <c r="I1641" s="696"/>
    </row>
    <row r="1642" spans="1:9" ht="12.75">
      <c r="A1642" s="998"/>
      <c r="B1642" s="999"/>
      <c r="C1642" s="474"/>
      <c r="D1642" s="474"/>
      <c r="E1642" s="474"/>
      <c r="F1642" s="474"/>
      <c r="G1642" s="696"/>
      <c r="H1642" s="474"/>
      <c r="I1642" s="696"/>
    </row>
    <row r="1643" spans="1:9" ht="12.75">
      <c r="A1643" s="998"/>
      <c r="B1643" s="999"/>
      <c r="C1643" s="474"/>
      <c r="D1643" s="474"/>
      <c r="E1643" s="474"/>
      <c r="F1643" s="474"/>
      <c r="G1643" s="696"/>
      <c r="H1643" s="474"/>
      <c r="I1643" s="696"/>
    </row>
    <row r="1644" spans="1:9" ht="12.75">
      <c r="A1644" s="998"/>
      <c r="B1644" s="999"/>
      <c r="C1644" s="474"/>
      <c r="D1644" s="474"/>
      <c r="E1644" s="474"/>
      <c r="F1644" s="474"/>
      <c r="G1644" s="696"/>
      <c r="H1644" s="474"/>
      <c r="I1644" s="696"/>
    </row>
    <row r="1645" spans="1:9" ht="12.75">
      <c r="A1645" s="998"/>
      <c r="B1645" s="999"/>
      <c r="C1645" s="474"/>
      <c r="D1645" s="474"/>
      <c r="E1645" s="474"/>
      <c r="F1645" s="474"/>
      <c r="G1645" s="696"/>
      <c r="H1645" s="474"/>
      <c r="I1645" s="696"/>
    </row>
    <row r="1646" spans="1:9" ht="12.75">
      <c r="A1646" s="998"/>
      <c r="B1646" s="999"/>
      <c r="C1646" s="474"/>
      <c r="D1646" s="474"/>
      <c r="E1646" s="474"/>
      <c r="F1646" s="474"/>
      <c r="G1646" s="696"/>
      <c r="H1646" s="474"/>
      <c r="I1646" s="696"/>
    </row>
    <row r="1647" spans="1:9" ht="12.75">
      <c r="A1647" s="998"/>
      <c r="B1647" s="999"/>
      <c r="C1647" s="474"/>
      <c r="D1647" s="474"/>
      <c r="E1647" s="474"/>
      <c r="F1647" s="474"/>
      <c r="G1647" s="696"/>
      <c r="H1647" s="474"/>
      <c r="I1647" s="696"/>
    </row>
    <row r="1648" spans="1:9" ht="12.75">
      <c r="A1648" s="998"/>
      <c r="B1648" s="999"/>
      <c r="C1648" s="474"/>
      <c r="D1648" s="474"/>
      <c r="E1648" s="474"/>
      <c r="F1648" s="474"/>
      <c r="G1648" s="696"/>
      <c r="H1648" s="474"/>
      <c r="I1648" s="696"/>
    </row>
    <row r="1649" spans="1:9" ht="12.75">
      <c r="A1649" s="998"/>
      <c r="B1649" s="999"/>
      <c r="C1649" s="474"/>
      <c r="D1649" s="474"/>
      <c r="E1649" s="474"/>
      <c r="F1649" s="474"/>
      <c r="G1649" s="696"/>
      <c r="H1649" s="474"/>
      <c r="I1649" s="696"/>
    </row>
    <row r="1650" spans="1:9" ht="12.75">
      <c r="A1650" s="998"/>
      <c r="B1650" s="999"/>
      <c r="C1650" s="474"/>
      <c r="D1650" s="474"/>
      <c r="E1650" s="474"/>
      <c r="F1650" s="474"/>
      <c r="G1650" s="696"/>
      <c r="H1650" s="474"/>
      <c r="I1650" s="696"/>
    </row>
    <row r="1651" spans="1:9" ht="12.75">
      <c r="A1651" s="998"/>
      <c r="B1651" s="999"/>
      <c r="C1651" s="474"/>
      <c r="D1651" s="474"/>
      <c r="E1651" s="474"/>
      <c r="F1651" s="474"/>
      <c r="G1651" s="696"/>
      <c r="H1651" s="474"/>
      <c r="I1651" s="696"/>
    </row>
    <row r="1652" spans="1:9" ht="12.75">
      <c r="A1652" s="998"/>
      <c r="B1652" s="999"/>
      <c r="C1652" s="474"/>
      <c r="D1652" s="474"/>
      <c r="E1652" s="474"/>
      <c r="F1652" s="474"/>
      <c r="G1652" s="696"/>
      <c r="H1652" s="474"/>
      <c r="I1652" s="696"/>
    </row>
    <row r="1653" spans="1:9" ht="12.75">
      <c r="A1653" s="998"/>
      <c r="B1653" s="999"/>
      <c r="C1653" s="474"/>
      <c r="D1653" s="474"/>
      <c r="E1653" s="474"/>
      <c r="F1653" s="474"/>
      <c r="G1653" s="696"/>
      <c r="H1653" s="474"/>
      <c r="I1653" s="696"/>
    </row>
    <row r="1654" spans="1:9" ht="12.75">
      <c r="A1654" s="998"/>
      <c r="B1654" s="999"/>
      <c r="C1654" s="474"/>
      <c r="D1654" s="474"/>
      <c r="E1654" s="474"/>
      <c r="F1654" s="474"/>
      <c r="G1654" s="696"/>
      <c r="H1654" s="474"/>
      <c r="I1654" s="696"/>
    </row>
    <row r="1655" spans="1:9" ht="12.75">
      <c r="A1655" s="998"/>
      <c r="B1655" s="999"/>
      <c r="C1655" s="474"/>
      <c r="D1655" s="474"/>
      <c r="E1655" s="474"/>
      <c r="F1655" s="474"/>
      <c r="G1655" s="696"/>
      <c r="H1655" s="474"/>
      <c r="I1655" s="696"/>
    </row>
    <row r="1656" spans="1:9" ht="12.75">
      <c r="A1656" s="998"/>
      <c r="B1656" s="999"/>
      <c r="C1656" s="474"/>
      <c r="D1656" s="474"/>
      <c r="E1656" s="474"/>
      <c r="F1656" s="474"/>
      <c r="G1656" s="696"/>
      <c r="H1656" s="474"/>
      <c r="I1656" s="696"/>
    </row>
    <row r="1657" spans="1:9" ht="12.75">
      <c r="A1657" s="998"/>
      <c r="B1657" s="999"/>
      <c r="C1657" s="474"/>
      <c r="D1657" s="474"/>
      <c r="E1657" s="474"/>
      <c r="F1657" s="474"/>
      <c r="G1657" s="696"/>
      <c r="H1657" s="474"/>
      <c r="I1657" s="696"/>
    </row>
    <row r="1658" spans="1:9" ht="12.75">
      <c r="A1658" s="998"/>
      <c r="B1658" s="999"/>
      <c r="C1658" s="474"/>
      <c r="D1658" s="474"/>
      <c r="E1658" s="474"/>
      <c r="F1658" s="474"/>
      <c r="G1658" s="696"/>
      <c r="H1658" s="474"/>
      <c r="I1658" s="696"/>
    </row>
    <row r="1659" spans="1:9" ht="12.75">
      <c r="A1659" s="998"/>
      <c r="B1659" s="999"/>
      <c r="C1659" s="474"/>
      <c r="D1659" s="474"/>
      <c r="E1659" s="474"/>
      <c r="F1659" s="474"/>
      <c r="G1659" s="696"/>
      <c r="H1659" s="474"/>
      <c r="I1659" s="696"/>
    </row>
    <row r="1660" spans="1:9" ht="12.75">
      <c r="A1660" s="998"/>
      <c r="B1660" s="999"/>
      <c r="C1660" s="474"/>
      <c r="D1660" s="474"/>
      <c r="E1660" s="474"/>
      <c r="F1660" s="474"/>
      <c r="G1660" s="696"/>
      <c r="H1660" s="474"/>
      <c r="I1660" s="696"/>
    </row>
    <row r="1661" spans="1:9" ht="12.75">
      <c r="A1661" s="998"/>
      <c r="B1661" s="999"/>
      <c r="C1661" s="474"/>
      <c r="D1661" s="474"/>
      <c r="E1661" s="474"/>
      <c r="F1661" s="474"/>
      <c r="G1661" s="696"/>
      <c r="H1661" s="474"/>
      <c r="I1661" s="696"/>
    </row>
    <row r="1662" spans="1:9" ht="12.75">
      <c r="A1662" s="998"/>
      <c r="B1662" s="999"/>
      <c r="C1662" s="474"/>
      <c r="D1662" s="474"/>
      <c r="E1662" s="474"/>
      <c r="F1662" s="474"/>
      <c r="G1662" s="696"/>
      <c r="H1662" s="474"/>
      <c r="I1662" s="696"/>
    </row>
    <row r="1663" spans="1:9" ht="12.75">
      <c r="A1663" s="998"/>
      <c r="B1663" s="999"/>
      <c r="C1663" s="474"/>
      <c r="D1663" s="474"/>
      <c r="E1663" s="474"/>
      <c r="F1663" s="474"/>
      <c r="G1663" s="696"/>
      <c r="H1663" s="474"/>
      <c r="I1663" s="696"/>
    </row>
    <row r="1664" spans="1:9" ht="12.75">
      <c r="A1664" s="998"/>
      <c r="B1664" s="999"/>
      <c r="C1664" s="474"/>
      <c r="D1664" s="474"/>
      <c r="E1664" s="474"/>
      <c r="F1664" s="474"/>
      <c r="G1664" s="696"/>
      <c r="H1664" s="474"/>
      <c r="I1664" s="696"/>
    </row>
    <row r="1665" spans="1:9" ht="12.75">
      <c r="A1665" s="998"/>
      <c r="B1665" s="999"/>
      <c r="C1665" s="474"/>
      <c r="D1665" s="474"/>
      <c r="E1665" s="474"/>
      <c r="F1665" s="474"/>
      <c r="G1665" s="696"/>
      <c r="H1665" s="474"/>
      <c r="I1665" s="696"/>
    </row>
    <row r="1666" spans="1:9" ht="12.75">
      <c r="A1666" s="998"/>
      <c r="B1666" s="999"/>
      <c r="C1666" s="474"/>
      <c r="D1666" s="474"/>
      <c r="E1666" s="474"/>
      <c r="F1666" s="474"/>
      <c r="G1666" s="696"/>
      <c r="H1666" s="474"/>
      <c r="I1666" s="696"/>
    </row>
    <row r="1667" spans="1:9" ht="12.75">
      <c r="A1667" s="998"/>
      <c r="B1667" s="999"/>
      <c r="C1667" s="474"/>
      <c r="D1667" s="474"/>
      <c r="E1667" s="474"/>
      <c r="F1667" s="474"/>
      <c r="G1667" s="696"/>
      <c r="H1667" s="474"/>
      <c r="I1667" s="696"/>
    </row>
    <row r="1668" spans="1:9" ht="12.75">
      <c r="A1668" s="998"/>
      <c r="B1668" s="999"/>
      <c r="C1668" s="474"/>
      <c r="D1668" s="474"/>
      <c r="E1668" s="474"/>
      <c r="F1668" s="474"/>
      <c r="G1668" s="696"/>
      <c r="H1668" s="474"/>
      <c r="I1668" s="696"/>
    </row>
    <row r="1669" spans="1:9" ht="12.75">
      <c r="A1669" s="998"/>
      <c r="B1669" s="999"/>
      <c r="C1669" s="474"/>
      <c r="D1669" s="474"/>
      <c r="E1669" s="474"/>
      <c r="F1669" s="474"/>
      <c r="G1669" s="696"/>
      <c r="H1669" s="474"/>
      <c r="I1669" s="696"/>
    </row>
    <row r="1670" spans="1:9" ht="12.75">
      <c r="A1670" s="998"/>
      <c r="B1670" s="999"/>
      <c r="C1670" s="474"/>
      <c r="D1670" s="474"/>
      <c r="E1670" s="474"/>
      <c r="F1670" s="474"/>
      <c r="G1670" s="696"/>
      <c r="H1670" s="474"/>
      <c r="I1670" s="696"/>
    </row>
    <row r="1671" spans="1:9" ht="12.75">
      <c r="A1671" s="998"/>
      <c r="B1671" s="999"/>
      <c r="C1671" s="474"/>
      <c r="D1671" s="474"/>
      <c r="E1671" s="474"/>
      <c r="F1671" s="474"/>
      <c r="G1671" s="696"/>
      <c r="H1671" s="474"/>
      <c r="I1671" s="696"/>
    </row>
    <row r="1672" spans="1:9" ht="12.75">
      <c r="A1672" s="998"/>
      <c r="B1672" s="999"/>
      <c r="C1672" s="474"/>
      <c r="D1672" s="474"/>
      <c r="E1672" s="474"/>
      <c r="F1672" s="474"/>
      <c r="G1672" s="696"/>
      <c r="H1672" s="474"/>
      <c r="I1672" s="696"/>
    </row>
    <row r="1673" spans="1:9" ht="12.75">
      <c r="A1673" s="998"/>
      <c r="B1673" s="999"/>
      <c r="C1673" s="474"/>
      <c r="D1673" s="474"/>
      <c r="E1673" s="474"/>
      <c r="F1673" s="474"/>
      <c r="G1673" s="696"/>
      <c r="H1673" s="474"/>
      <c r="I1673" s="696"/>
    </row>
    <row r="1674" spans="1:9" ht="12.75">
      <c r="A1674" s="998"/>
      <c r="B1674" s="999"/>
      <c r="C1674" s="474"/>
      <c r="D1674" s="474"/>
      <c r="E1674" s="474"/>
      <c r="F1674" s="474"/>
      <c r="G1674" s="696"/>
      <c r="H1674" s="474"/>
      <c r="I1674" s="696"/>
    </row>
    <row r="1675" spans="1:9" ht="12.75">
      <c r="A1675" s="998"/>
      <c r="B1675" s="999"/>
      <c r="C1675" s="474"/>
      <c r="D1675" s="474"/>
      <c r="E1675" s="474"/>
      <c r="F1675" s="474"/>
      <c r="G1675" s="696"/>
      <c r="H1675" s="474"/>
      <c r="I1675" s="696"/>
    </row>
    <row r="1676" spans="1:9" ht="12.75">
      <c r="A1676" s="998"/>
      <c r="B1676" s="999"/>
      <c r="C1676" s="474"/>
      <c r="D1676" s="474"/>
      <c r="E1676" s="474"/>
      <c r="F1676" s="474"/>
      <c r="G1676" s="696"/>
      <c r="H1676" s="474"/>
      <c r="I1676" s="696"/>
    </row>
    <row r="1677" spans="1:9" ht="12.75">
      <c r="A1677" s="998"/>
      <c r="B1677" s="999"/>
      <c r="C1677" s="474"/>
      <c r="D1677" s="474"/>
      <c r="E1677" s="474"/>
      <c r="F1677" s="474"/>
      <c r="G1677" s="696"/>
      <c r="H1677" s="474"/>
      <c r="I1677" s="696"/>
    </row>
    <row r="1678" spans="1:9" ht="12.75">
      <c r="A1678" s="998"/>
      <c r="B1678" s="999"/>
      <c r="C1678" s="474"/>
      <c r="D1678" s="474"/>
      <c r="E1678" s="474"/>
      <c r="F1678" s="474"/>
      <c r="G1678" s="696"/>
      <c r="H1678" s="474"/>
      <c r="I1678" s="696"/>
    </row>
    <row r="1679" spans="1:9" ht="12.75">
      <c r="A1679" s="998"/>
      <c r="B1679" s="999"/>
      <c r="C1679" s="474"/>
      <c r="D1679" s="474"/>
      <c r="E1679" s="474"/>
      <c r="F1679" s="474"/>
      <c r="G1679" s="696"/>
      <c r="H1679" s="474"/>
      <c r="I1679" s="696"/>
    </row>
    <row r="1680" spans="1:9" ht="12.75">
      <c r="A1680" s="998"/>
      <c r="B1680" s="999"/>
      <c r="C1680" s="474"/>
      <c r="D1680" s="474"/>
      <c r="E1680" s="474"/>
      <c r="F1680" s="474"/>
      <c r="G1680" s="696"/>
      <c r="H1680" s="474"/>
      <c r="I1680" s="696"/>
    </row>
    <row r="1681" spans="1:9" ht="12.75">
      <c r="A1681" s="998"/>
      <c r="B1681" s="999"/>
      <c r="C1681" s="474"/>
      <c r="D1681" s="474"/>
      <c r="E1681" s="474"/>
      <c r="F1681" s="474"/>
      <c r="G1681" s="696"/>
      <c r="H1681" s="474"/>
      <c r="I1681" s="696"/>
    </row>
    <row r="1682" spans="1:9" ht="12.75">
      <c r="A1682" s="998"/>
      <c r="B1682" s="999"/>
      <c r="C1682" s="474"/>
      <c r="D1682" s="474"/>
      <c r="E1682" s="474"/>
      <c r="F1682" s="474"/>
      <c r="G1682" s="696"/>
      <c r="H1682" s="474"/>
      <c r="I1682" s="696"/>
    </row>
    <row r="1683" spans="1:9" ht="12.75">
      <c r="A1683" s="998"/>
      <c r="B1683" s="999"/>
      <c r="C1683" s="474"/>
      <c r="D1683" s="474"/>
      <c r="E1683" s="474"/>
      <c r="F1683" s="474"/>
      <c r="G1683" s="696"/>
      <c r="H1683" s="474"/>
      <c r="I1683" s="696"/>
    </row>
    <row r="1684" spans="1:9" ht="12.75">
      <c r="A1684" s="998"/>
      <c r="B1684" s="999"/>
      <c r="C1684" s="474"/>
      <c r="D1684" s="474"/>
      <c r="E1684" s="474"/>
      <c r="F1684" s="474"/>
      <c r="G1684" s="696"/>
      <c r="H1684" s="474"/>
      <c r="I1684" s="696"/>
    </row>
    <row r="1685" spans="1:9" ht="12.75">
      <c r="A1685" s="998"/>
      <c r="B1685" s="999"/>
      <c r="C1685" s="474"/>
      <c r="D1685" s="474"/>
      <c r="E1685" s="474"/>
      <c r="F1685" s="474"/>
      <c r="G1685" s="696"/>
      <c r="H1685" s="474"/>
      <c r="I1685" s="696"/>
    </row>
    <row r="1686" spans="1:9" ht="12.75">
      <c r="A1686" s="998"/>
      <c r="B1686" s="999"/>
      <c r="C1686" s="474"/>
      <c r="D1686" s="474"/>
      <c r="E1686" s="474"/>
      <c r="F1686" s="474"/>
      <c r="G1686" s="696"/>
      <c r="H1686" s="474"/>
      <c r="I1686" s="696"/>
    </row>
    <row r="1687" spans="1:9" ht="12.75">
      <c r="A1687" s="998"/>
      <c r="B1687" s="999"/>
      <c r="C1687" s="474"/>
      <c r="D1687" s="474"/>
      <c r="E1687" s="474"/>
      <c r="F1687" s="474"/>
      <c r="G1687" s="696"/>
      <c r="H1687" s="474"/>
      <c r="I1687" s="696"/>
    </row>
    <row r="1688" spans="1:9" ht="12.75">
      <c r="A1688" s="998"/>
      <c r="B1688" s="999"/>
      <c r="C1688" s="474"/>
      <c r="D1688" s="474"/>
      <c r="E1688" s="474"/>
      <c r="F1688" s="474"/>
      <c r="G1688" s="696"/>
      <c r="H1688" s="474"/>
      <c r="I1688" s="696"/>
    </row>
    <row r="1689" spans="1:9" ht="12.75">
      <c r="A1689" s="998"/>
      <c r="B1689" s="999"/>
      <c r="C1689" s="474"/>
      <c r="D1689" s="474"/>
      <c r="E1689" s="474"/>
      <c r="F1689" s="474"/>
      <c r="G1689" s="696"/>
      <c r="H1689" s="474"/>
      <c r="I1689" s="696"/>
    </row>
    <row r="1690" spans="1:9" ht="12.75">
      <c r="A1690" s="998"/>
      <c r="B1690" s="999"/>
      <c r="C1690" s="474"/>
      <c r="D1690" s="474"/>
      <c r="E1690" s="474"/>
      <c r="F1690" s="474"/>
      <c r="G1690" s="696"/>
      <c r="H1690" s="474"/>
      <c r="I1690" s="696"/>
    </row>
    <row r="1691" spans="1:9" ht="12.75">
      <c r="A1691" s="998"/>
      <c r="B1691" s="999"/>
      <c r="C1691" s="474"/>
      <c r="D1691" s="474"/>
      <c r="E1691" s="474"/>
      <c r="F1691" s="474"/>
      <c r="G1691" s="696"/>
      <c r="H1691" s="474"/>
      <c r="I1691" s="696"/>
    </row>
    <row r="1692" spans="1:9" ht="12.75">
      <c r="A1692" s="998"/>
      <c r="B1692" s="999"/>
      <c r="C1692" s="474"/>
      <c r="D1692" s="474"/>
      <c r="E1692" s="474"/>
      <c r="F1692" s="474"/>
      <c r="G1692" s="696"/>
      <c r="H1692" s="474"/>
      <c r="I1692" s="696"/>
    </row>
    <row r="1693" spans="1:9" ht="12.75">
      <c r="A1693" s="998"/>
      <c r="B1693" s="999"/>
      <c r="C1693" s="474"/>
      <c r="D1693" s="474"/>
      <c r="E1693" s="474"/>
      <c r="F1693" s="474"/>
      <c r="G1693" s="696"/>
      <c r="H1693" s="474"/>
      <c r="I1693" s="696"/>
    </row>
    <row r="1694" spans="1:9" ht="12.75">
      <c r="A1694" s="998"/>
      <c r="B1694" s="999"/>
      <c r="C1694" s="474"/>
      <c r="D1694" s="474"/>
      <c r="E1694" s="474"/>
      <c r="F1694" s="474"/>
      <c r="G1694" s="696"/>
      <c r="H1694" s="474"/>
      <c r="I1694" s="696"/>
    </row>
    <row r="1695" spans="1:9" ht="12.75">
      <c r="A1695" s="998"/>
      <c r="B1695" s="999"/>
      <c r="C1695" s="474"/>
      <c r="D1695" s="474"/>
      <c r="E1695" s="474"/>
      <c r="F1695" s="474"/>
      <c r="G1695" s="696"/>
      <c r="H1695" s="474"/>
      <c r="I1695" s="696"/>
    </row>
    <row r="1696" spans="1:9" ht="12.75">
      <c r="A1696" s="998"/>
      <c r="B1696" s="999"/>
      <c r="C1696" s="474"/>
      <c r="D1696" s="474"/>
      <c r="E1696" s="474"/>
      <c r="F1696" s="474"/>
      <c r="G1696" s="696"/>
      <c r="H1696" s="474"/>
      <c r="I1696" s="696"/>
    </row>
    <row r="1697" spans="1:9" ht="12.75">
      <c r="A1697" s="998"/>
      <c r="B1697" s="999"/>
      <c r="C1697" s="474"/>
      <c r="D1697" s="474"/>
      <c r="E1697" s="474"/>
      <c r="F1697" s="474"/>
      <c r="G1697" s="696"/>
      <c r="H1697" s="474"/>
      <c r="I1697" s="696"/>
    </row>
    <row r="1698" spans="1:9" ht="12.75">
      <c r="A1698" s="998"/>
      <c r="B1698" s="999"/>
      <c r="C1698" s="474"/>
      <c r="D1698" s="474"/>
      <c r="E1698" s="474"/>
      <c r="F1698" s="474"/>
      <c r="G1698" s="696"/>
      <c r="H1698" s="474"/>
      <c r="I1698" s="696"/>
    </row>
    <row r="1699" spans="1:9" ht="12.75">
      <c r="A1699" s="998"/>
      <c r="B1699" s="999"/>
      <c r="C1699" s="474"/>
      <c r="D1699" s="474"/>
      <c r="E1699" s="474"/>
      <c r="F1699" s="474"/>
      <c r="G1699" s="696"/>
      <c r="H1699" s="474"/>
      <c r="I1699" s="696"/>
    </row>
    <row r="1700" spans="1:9" ht="12.75">
      <c r="A1700" s="998"/>
      <c r="B1700" s="999"/>
      <c r="C1700" s="474"/>
      <c r="D1700" s="474"/>
      <c r="E1700" s="474"/>
      <c r="F1700" s="474"/>
      <c r="G1700" s="696"/>
      <c r="H1700" s="474"/>
      <c r="I1700" s="696"/>
    </row>
    <row r="1701" spans="1:9" ht="12.75">
      <c r="A1701" s="998"/>
      <c r="B1701" s="999"/>
      <c r="C1701" s="474"/>
      <c r="D1701" s="474"/>
      <c r="E1701" s="474"/>
      <c r="F1701" s="474"/>
      <c r="G1701" s="696"/>
      <c r="H1701" s="474"/>
      <c r="I1701" s="696"/>
    </row>
    <row r="1702" spans="1:9" ht="12.75">
      <c r="A1702" s="998"/>
      <c r="B1702" s="999"/>
      <c r="C1702" s="474"/>
      <c r="D1702" s="474"/>
      <c r="E1702" s="474"/>
      <c r="F1702" s="474"/>
      <c r="G1702" s="696"/>
      <c r="H1702" s="474"/>
      <c r="I1702" s="696"/>
    </row>
    <row r="1703" spans="1:9" ht="12.75">
      <c r="A1703" s="998"/>
      <c r="B1703" s="999"/>
      <c r="C1703" s="474"/>
      <c r="D1703" s="474"/>
      <c r="E1703" s="474"/>
      <c r="F1703" s="474"/>
      <c r="G1703" s="696"/>
      <c r="H1703" s="474"/>
      <c r="I1703" s="696"/>
    </row>
    <row r="1704" spans="1:9" ht="12.75">
      <c r="A1704" s="998"/>
      <c r="B1704" s="999"/>
      <c r="C1704" s="474"/>
      <c r="D1704" s="474"/>
      <c r="E1704" s="474"/>
      <c r="F1704" s="474"/>
      <c r="G1704" s="696"/>
      <c r="H1704" s="474"/>
      <c r="I1704" s="696"/>
    </row>
    <row r="1705" spans="1:9" ht="12.75">
      <c r="A1705" s="998"/>
      <c r="B1705" s="999"/>
      <c r="C1705" s="474"/>
      <c r="D1705" s="474"/>
      <c r="E1705" s="474"/>
      <c r="F1705" s="474"/>
      <c r="G1705" s="696"/>
      <c r="H1705" s="474"/>
      <c r="I1705" s="696"/>
    </row>
    <row r="1706" spans="1:9" ht="12.75">
      <c r="A1706" s="998"/>
      <c r="B1706" s="999"/>
      <c r="C1706" s="474"/>
      <c r="D1706" s="474"/>
      <c r="E1706" s="474"/>
      <c r="F1706" s="474"/>
      <c r="G1706" s="696"/>
      <c r="H1706" s="474"/>
      <c r="I1706" s="696"/>
    </row>
    <row r="1707" spans="1:9" ht="12.75">
      <c r="A1707" s="998"/>
      <c r="B1707" s="999"/>
      <c r="C1707" s="474"/>
      <c r="D1707" s="474"/>
      <c r="E1707" s="474"/>
      <c r="F1707" s="474"/>
      <c r="G1707" s="696"/>
      <c r="H1707" s="474"/>
      <c r="I1707" s="696"/>
    </row>
    <row r="1708" spans="1:9" ht="12.75">
      <c r="A1708" s="998"/>
      <c r="B1708" s="999"/>
      <c r="C1708" s="474"/>
      <c r="D1708" s="474"/>
      <c r="E1708" s="474"/>
      <c r="F1708" s="474"/>
      <c r="G1708" s="696"/>
      <c r="H1708" s="474"/>
      <c r="I1708" s="696"/>
    </row>
    <row r="1709" spans="1:9" ht="12.75">
      <c r="A1709" s="998"/>
      <c r="B1709" s="999"/>
      <c r="C1709" s="474"/>
      <c r="D1709" s="474"/>
      <c r="E1709" s="474"/>
      <c r="F1709" s="474"/>
      <c r="G1709" s="696"/>
      <c r="H1709" s="474"/>
      <c r="I1709" s="696"/>
    </row>
    <row r="1710" spans="1:9" ht="12.75">
      <c r="A1710" s="998"/>
      <c r="B1710" s="999"/>
      <c r="C1710" s="474"/>
      <c r="D1710" s="474"/>
      <c r="E1710" s="474"/>
      <c r="F1710" s="474"/>
      <c r="G1710" s="696"/>
      <c r="H1710" s="474"/>
      <c r="I1710" s="696"/>
    </row>
    <row r="1711" spans="1:9" ht="12.75">
      <c r="A1711" s="998"/>
      <c r="B1711" s="999"/>
      <c r="C1711" s="474"/>
      <c r="D1711" s="474"/>
      <c r="E1711" s="474"/>
      <c r="F1711" s="474"/>
      <c r="G1711" s="696"/>
      <c r="H1711" s="474"/>
      <c r="I1711" s="696"/>
    </row>
    <row r="1712" spans="1:9" ht="12.75">
      <c r="A1712" s="998"/>
      <c r="B1712" s="999"/>
      <c r="C1712" s="474"/>
      <c r="D1712" s="474"/>
      <c r="E1712" s="474"/>
      <c r="F1712" s="474"/>
      <c r="G1712" s="696"/>
      <c r="H1712" s="474"/>
      <c r="I1712" s="696"/>
    </row>
    <row r="1713" spans="1:9" ht="12.75">
      <c r="A1713" s="998"/>
      <c r="B1713" s="999"/>
      <c r="C1713" s="474"/>
      <c r="D1713" s="474"/>
      <c r="E1713" s="474"/>
      <c r="F1713" s="474"/>
      <c r="G1713" s="696"/>
      <c r="H1713" s="474"/>
      <c r="I1713" s="696"/>
    </row>
    <row r="1714" spans="1:9" ht="12.75">
      <c r="A1714" s="998"/>
      <c r="B1714" s="999"/>
      <c r="C1714" s="474"/>
      <c r="D1714" s="474"/>
      <c r="E1714" s="474"/>
      <c r="F1714" s="474"/>
      <c r="G1714" s="696"/>
      <c r="H1714" s="474"/>
      <c r="I1714" s="696"/>
    </row>
    <row r="1715" spans="1:9" ht="12.75">
      <c r="A1715" s="998"/>
      <c r="B1715" s="999"/>
      <c r="C1715" s="474"/>
      <c r="D1715" s="474"/>
      <c r="E1715" s="474"/>
      <c r="F1715" s="474"/>
      <c r="G1715" s="696"/>
      <c r="H1715" s="474"/>
      <c r="I1715" s="696"/>
    </row>
    <row r="1716" spans="1:9" ht="12.75">
      <c r="A1716" s="998"/>
      <c r="B1716" s="999"/>
      <c r="C1716" s="474"/>
      <c r="D1716" s="474"/>
      <c r="E1716" s="474"/>
      <c r="F1716" s="474"/>
      <c r="G1716" s="696"/>
      <c r="H1716" s="474"/>
      <c r="I1716" s="696"/>
    </row>
    <row r="1717" spans="1:9" ht="12.75">
      <c r="A1717" s="998"/>
      <c r="B1717" s="999"/>
      <c r="C1717" s="474"/>
      <c r="D1717" s="474"/>
      <c r="E1717" s="474"/>
      <c r="F1717" s="474"/>
      <c r="G1717" s="696"/>
      <c r="H1717" s="474"/>
      <c r="I1717" s="696"/>
    </row>
    <row r="1718" spans="1:9" ht="12.75">
      <c r="A1718" s="998"/>
      <c r="B1718" s="999"/>
      <c r="C1718" s="474"/>
      <c r="D1718" s="474"/>
      <c r="E1718" s="474"/>
      <c r="F1718" s="474"/>
      <c r="G1718" s="696"/>
      <c r="H1718" s="474"/>
      <c r="I1718" s="696"/>
    </row>
    <row r="1719" spans="1:9" ht="12.75">
      <c r="A1719" s="998"/>
      <c r="B1719" s="999"/>
      <c r="C1719" s="474"/>
      <c r="D1719" s="474"/>
      <c r="E1719" s="474"/>
      <c r="F1719" s="474"/>
      <c r="G1719" s="696"/>
      <c r="H1719" s="474"/>
      <c r="I1719" s="696"/>
    </row>
    <row r="1720" spans="1:9" ht="12.75">
      <c r="A1720" s="998"/>
      <c r="B1720" s="999"/>
      <c r="C1720" s="474"/>
      <c r="D1720" s="474"/>
      <c r="E1720" s="474"/>
      <c r="F1720" s="474"/>
      <c r="G1720" s="696"/>
      <c r="H1720" s="474"/>
      <c r="I1720" s="696"/>
    </row>
    <row r="1721" spans="1:9" ht="12.75">
      <c r="A1721" s="998"/>
      <c r="B1721" s="999"/>
      <c r="C1721" s="474"/>
      <c r="D1721" s="474"/>
      <c r="E1721" s="474"/>
      <c r="F1721" s="474"/>
      <c r="G1721" s="696"/>
      <c r="H1721" s="474"/>
      <c r="I1721" s="696"/>
    </row>
    <row r="1722" spans="1:9" ht="12.75">
      <c r="A1722" s="998"/>
      <c r="B1722" s="999"/>
      <c r="C1722" s="474"/>
      <c r="D1722" s="474"/>
      <c r="E1722" s="474"/>
      <c r="F1722" s="474"/>
      <c r="G1722" s="696"/>
      <c r="H1722" s="474"/>
      <c r="I1722" s="696"/>
    </row>
    <row r="1723" spans="1:9" ht="12.75">
      <c r="A1723" s="998"/>
      <c r="B1723" s="999"/>
      <c r="C1723" s="474"/>
      <c r="D1723" s="474"/>
      <c r="E1723" s="474"/>
      <c r="F1723" s="474"/>
      <c r="G1723" s="696"/>
      <c r="H1723" s="474"/>
      <c r="I1723" s="696"/>
    </row>
    <row r="1724" spans="1:9" ht="12.75">
      <c r="A1724" s="998"/>
      <c r="B1724" s="999"/>
      <c r="C1724" s="474"/>
      <c r="D1724" s="474"/>
      <c r="E1724" s="474"/>
      <c r="F1724" s="474"/>
      <c r="G1724" s="696"/>
      <c r="H1724" s="474"/>
      <c r="I1724" s="696"/>
    </row>
    <row r="1725" spans="1:9" ht="12.75">
      <c r="A1725" s="998"/>
      <c r="B1725" s="999"/>
      <c r="C1725" s="474"/>
      <c r="D1725" s="474"/>
      <c r="E1725" s="474"/>
      <c r="F1725" s="474"/>
      <c r="G1725" s="696"/>
      <c r="H1725" s="474"/>
      <c r="I1725" s="696"/>
    </row>
    <row r="1726" spans="1:9" ht="12.75">
      <c r="A1726" s="998"/>
      <c r="B1726" s="999"/>
      <c r="C1726" s="474"/>
      <c r="D1726" s="474"/>
      <c r="E1726" s="474"/>
      <c r="F1726" s="474"/>
      <c r="G1726" s="696"/>
      <c r="H1726" s="474"/>
      <c r="I1726" s="696"/>
    </row>
    <row r="1727" spans="1:9" ht="12.75">
      <c r="A1727" s="998"/>
      <c r="B1727" s="999"/>
      <c r="C1727" s="474"/>
      <c r="D1727" s="474"/>
      <c r="E1727" s="474"/>
      <c r="F1727" s="474"/>
      <c r="G1727" s="696"/>
      <c r="H1727" s="474"/>
      <c r="I1727" s="696"/>
    </row>
    <row r="1728" spans="1:9" ht="12.75">
      <c r="A1728" s="998"/>
      <c r="B1728" s="999"/>
      <c r="C1728" s="474"/>
      <c r="D1728" s="474"/>
      <c r="E1728" s="474"/>
      <c r="F1728" s="474"/>
      <c r="G1728" s="696"/>
      <c r="H1728" s="474"/>
      <c r="I1728" s="696"/>
    </row>
    <row r="1729" spans="1:9" ht="12.75">
      <c r="A1729" s="998"/>
      <c r="B1729" s="999"/>
      <c r="C1729" s="474"/>
      <c r="D1729" s="474"/>
      <c r="E1729" s="474"/>
      <c r="F1729" s="474"/>
      <c r="G1729" s="696"/>
      <c r="H1729" s="474"/>
      <c r="I1729" s="696"/>
    </row>
    <row r="1730" spans="1:9" ht="12.75">
      <c r="A1730" s="998"/>
      <c r="B1730" s="999"/>
      <c r="C1730" s="474"/>
      <c r="D1730" s="474"/>
      <c r="E1730" s="474"/>
      <c r="F1730" s="474"/>
      <c r="G1730" s="696"/>
      <c r="H1730" s="474"/>
      <c r="I1730" s="696"/>
    </row>
    <row r="1731" spans="1:9" ht="12.75">
      <c r="A1731" s="998"/>
      <c r="B1731" s="999"/>
      <c r="C1731" s="474"/>
      <c r="D1731" s="474"/>
      <c r="E1731" s="474"/>
      <c r="F1731" s="474"/>
      <c r="G1731" s="696"/>
      <c r="H1731" s="474"/>
      <c r="I1731" s="696"/>
    </row>
    <row r="1732" spans="1:9" ht="12.75">
      <c r="A1732" s="998"/>
      <c r="B1732" s="999"/>
      <c r="C1732" s="474"/>
      <c r="D1732" s="474"/>
      <c r="E1732" s="474"/>
      <c r="F1732" s="474"/>
      <c r="G1732" s="696"/>
      <c r="H1732" s="474"/>
      <c r="I1732" s="696"/>
    </row>
    <row r="1733" spans="1:9" ht="12.75">
      <c r="A1733" s="998"/>
      <c r="B1733" s="999"/>
      <c r="C1733" s="474"/>
      <c r="D1733" s="474"/>
      <c r="E1733" s="474"/>
      <c r="F1733" s="474"/>
      <c r="G1733" s="696"/>
      <c r="H1733" s="474"/>
      <c r="I1733" s="696"/>
    </row>
    <row r="1734" spans="1:9" ht="12.75">
      <c r="A1734" s="998"/>
      <c r="B1734" s="999"/>
      <c r="C1734" s="474"/>
      <c r="D1734" s="474"/>
      <c r="E1734" s="474"/>
      <c r="F1734" s="474"/>
      <c r="G1734" s="696"/>
      <c r="H1734" s="474"/>
      <c r="I1734" s="696"/>
    </row>
    <row r="1735" spans="1:9" ht="12.75">
      <c r="A1735" s="998"/>
      <c r="B1735" s="999"/>
      <c r="C1735" s="474"/>
      <c r="D1735" s="474"/>
      <c r="E1735" s="474"/>
      <c r="F1735" s="474"/>
      <c r="G1735" s="696"/>
      <c r="H1735" s="474"/>
      <c r="I1735" s="696"/>
    </row>
    <row r="1736" spans="1:9" ht="12.75">
      <c r="A1736" s="998"/>
      <c r="B1736" s="999"/>
      <c r="C1736" s="474"/>
      <c r="D1736" s="474"/>
      <c r="E1736" s="474"/>
      <c r="F1736" s="474"/>
      <c r="G1736" s="696"/>
      <c r="H1736" s="474"/>
      <c r="I1736" s="696"/>
    </row>
    <row r="1737" spans="1:9" ht="12.75">
      <c r="A1737" s="998"/>
      <c r="B1737" s="999"/>
      <c r="C1737" s="474"/>
      <c r="D1737" s="474"/>
      <c r="E1737" s="474"/>
      <c r="F1737" s="474"/>
      <c r="G1737" s="696"/>
      <c r="H1737" s="474"/>
      <c r="I1737" s="696"/>
    </row>
    <row r="1738" spans="1:9" ht="12.75">
      <c r="A1738" s="998"/>
      <c r="B1738" s="999"/>
      <c r="C1738" s="474"/>
      <c r="D1738" s="474"/>
      <c r="E1738" s="474"/>
      <c r="F1738" s="474"/>
      <c r="G1738" s="696"/>
      <c r="H1738" s="474"/>
      <c r="I1738" s="696"/>
    </row>
    <row r="1739" spans="1:9" ht="12.75">
      <c r="A1739" s="998"/>
      <c r="B1739" s="999"/>
      <c r="C1739" s="474"/>
      <c r="D1739" s="474"/>
      <c r="E1739" s="474"/>
      <c r="F1739" s="474"/>
      <c r="G1739" s="696"/>
      <c r="H1739" s="474"/>
      <c r="I1739" s="696"/>
    </row>
    <row r="1740" spans="1:9" ht="12.75">
      <c r="A1740" s="998"/>
      <c r="B1740" s="999"/>
      <c r="C1740" s="474"/>
      <c r="D1740" s="474"/>
      <c r="E1740" s="474"/>
      <c r="F1740" s="474"/>
      <c r="G1740" s="696"/>
      <c r="H1740" s="474"/>
      <c r="I1740" s="696"/>
    </row>
    <row r="1741" spans="1:9" ht="12.75">
      <c r="A1741" s="998"/>
      <c r="B1741" s="999"/>
      <c r="C1741" s="474"/>
      <c r="D1741" s="474"/>
      <c r="E1741" s="474"/>
      <c r="F1741" s="474"/>
      <c r="G1741" s="696"/>
      <c r="H1741" s="474"/>
      <c r="I1741" s="696"/>
    </row>
    <row r="1742" spans="1:9" ht="12.75">
      <c r="A1742" s="998"/>
      <c r="B1742" s="999"/>
      <c r="C1742" s="474"/>
      <c r="D1742" s="474"/>
      <c r="E1742" s="474"/>
      <c r="F1742" s="474"/>
      <c r="G1742" s="696"/>
      <c r="H1742" s="474"/>
      <c r="I1742" s="696"/>
    </row>
    <row r="1743" spans="1:9" ht="12.75">
      <c r="A1743" s="998"/>
      <c r="B1743" s="999"/>
      <c r="C1743" s="474"/>
      <c r="D1743" s="474"/>
      <c r="E1743" s="474"/>
      <c r="F1743" s="474"/>
      <c r="G1743" s="696"/>
      <c r="H1743" s="474"/>
      <c r="I1743" s="696"/>
    </row>
    <row r="1744" spans="1:9" ht="12.75">
      <c r="A1744" s="998"/>
      <c r="B1744" s="999"/>
      <c r="C1744" s="474"/>
      <c r="D1744" s="474"/>
      <c r="E1744" s="474"/>
      <c r="F1744" s="474"/>
      <c r="G1744" s="696"/>
      <c r="H1744" s="474"/>
      <c r="I1744" s="696"/>
    </row>
    <row r="1745" spans="1:9" ht="12.75">
      <c r="A1745" s="998"/>
      <c r="B1745" s="999"/>
      <c r="C1745" s="474"/>
      <c r="D1745" s="474"/>
      <c r="E1745" s="474"/>
      <c r="F1745" s="474"/>
      <c r="G1745" s="696"/>
      <c r="H1745" s="474"/>
      <c r="I1745" s="696"/>
    </row>
    <row r="1746" spans="1:9" ht="12.75">
      <c r="A1746" s="998"/>
      <c r="B1746" s="999"/>
      <c r="C1746" s="474"/>
      <c r="D1746" s="474"/>
      <c r="E1746" s="474"/>
      <c r="F1746" s="474"/>
      <c r="G1746" s="696"/>
      <c r="H1746" s="474"/>
      <c r="I1746" s="696"/>
    </row>
    <row r="1747" spans="1:9" ht="12.75">
      <c r="A1747" s="998"/>
      <c r="B1747" s="999"/>
      <c r="C1747" s="474"/>
      <c r="D1747" s="474"/>
      <c r="E1747" s="474"/>
      <c r="F1747" s="474"/>
      <c r="G1747" s="696"/>
      <c r="H1747" s="474"/>
      <c r="I1747" s="696"/>
    </row>
    <row r="1748" spans="1:9" ht="12.75">
      <c r="A1748" s="998"/>
      <c r="B1748" s="999"/>
      <c r="C1748" s="474"/>
      <c r="D1748" s="474"/>
      <c r="E1748" s="474"/>
      <c r="F1748" s="474"/>
      <c r="G1748" s="696"/>
      <c r="H1748" s="474"/>
      <c r="I1748" s="696"/>
    </row>
    <row r="1749" spans="1:9" ht="12.75">
      <c r="A1749" s="998"/>
      <c r="B1749" s="999"/>
      <c r="C1749" s="474"/>
      <c r="D1749" s="474"/>
      <c r="E1749" s="474"/>
      <c r="F1749" s="474"/>
      <c r="G1749" s="696"/>
      <c r="H1749" s="474"/>
      <c r="I1749" s="696"/>
    </row>
    <row r="1750" spans="1:9" ht="12.75">
      <c r="A1750" s="998"/>
      <c r="B1750" s="999"/>
      <c r="C1750" s="474"/>
      <c r="D1750" s="474"/>
      <c r="E1750" s="474"/>
      <c r="F1750" s="474"/>
      <c r="G1750" s="696"/>
      <c r="H1750" s="474"/>
      <c r="I1750" s="696"/>
    </row>
    <row r="1751" spans="1:9" ht="12.75">
      <c r="A1751" s="998"/>
      <c r="B1751" s="999"/>
      <c r="C1751" s="474"/>
      <c r="D1751" s="474"/>
      <c r="E1751" s="474"/>
      <c r="F1751" s="474"/>
      <c r="G1751" s="696"/>
      <c r="H1751" s="474"/>
      <c r="I1751" s="696"/>
    </row>
    <row r="1752" spans="1:9" ht="12.75">
      <c r="A1752" s="998"/>
      <c r="B1752" s="999"/>
      <c r="C1752" s="474"/>
      <c r="D1752" s="474"/>
      <c r="E1752" s="474"/>
      <c r="F1752" s="474"/>
      <c r="G1752" s="696"/>
      <c r="H1752" s="474"/>
      <c r="I1752" s="696"/>
    </row>
    <row r="1753" spans="1:9" ht="12.75">
      <c r="A1753" s="998"/>
      <c r="B1753" s="999"/>
      <c r="C1753" s="474"/>
      <c r="D1753" s="474"/>
      <c r="E1753" s="474"/>
      <c r="F1753" s="474"/>
      <c r="G1753" s="696"/>
      <c r="H1753" s="474"/>
      <c r="I1753" s="696"/>
    </row>
    <row r="1754" spans="1:9" ht="12.75">
      <c r="A1754" s="998"/>
      <c r="B1754" s="999"/>
      <c r="C1754" s="474"/>
      <c r="D1754" s="474"/>
      <c r="E1754" s="474"/>
      <c r="F1754" s="474"/>
      <c r="G1754" s="696"/>
      <c r="H1754" s="474"/>
      <c r="I1754" s="696"/>
    </row>
    <row r="1755" spans="1:9" ht="12.75">
      <c r="A1755" s="998"/>
      <c r="B1755" s="999"/>
      <c r="C1755" s="474"/>
      <c r="D1755" s="474"/>
      <c r="E1755" s="474"/>
      <c r="F1755" s="474"/>
      <c r="G1755" s="696"/>
      <c r="H1755" s="474"/>
      <c r="I1755" s="696"/>
    </row>
    <row r="1756" spans="1:9" ht="12.75">
      <c r="A1756" s="998"/>
      <c r="B1756" s="999"/>
      <c r="C1756" s="474"/>
      <c r="D1756" s="474"/>
      <c r="E1756" s="474"/>
      <c r="F1756" s="474"/>
      <c r="G1756" s="696"/>
      <c r="H1756" s="474"/>
      <c r="I1756" s="696"/>
    </row>
    <row r="1757" spans="1:9" ht="12.75">
      <c r="A1757" s="998"/>
      <c r="B1757" s="999"/>
      <c r="C1757" s="474"/>
      <c r="D1757" s="474"/>
      <c r="E1757" s="474"/>
      <c r="F1757" s="474"/>
      <c r="G1757" s="696"/>
      <c r="H1757" s="474"/>
      <c r="I1757" s="696"/>
    </row>
    <row r="1758" spans="1:9" ht="12.75">
      <c r="A1758" s="998"/>
      <c r="B1758" s="999"/>
      <c r="C1758" s="474"/>
      <c r="D1758" s="474"/>
      <c r="E1758" s="474"/>
      <c r="F1758" s="474"/>
      <c r="G1758" s="696"/>
      <c r="H1758" s="474"/>
      <c r="I1758" s="696"/>
    </row>
    <row r="1759" spans="1:9" ht="12.75">
      <c r="A1759" s="998"/>
      <c r="B1759" s="999"/>
      <c r="C1759" s="474"/>
      <c r="D1759" s="474"/>
      <c r="E1759" s="474"/>
      <c r="F1759" s="474"/>
      <c r="G1759" s="696"/>
      <c r="H1759" s="474"/>
      <c r="I1759" s="696"/>
    </row>
    <row r="1760" spans="1:9" ht="12.75">
      <c r="A1760" s="998"/>
      <c r="B1760" s="999"/>
      <c r="C1760" s="474"/>
      <c r="D1760" s="474"/>
      <c r="E1760" s="474"/>
      <c r="F1760" s="474"/>
      <c r="G1760" s="696"/>
      <c r="H1760" s="474"/>
      <c r="I1760" s="696"/>
    </row>
    <row r="1761" spans="1:9" ht="12.75">
      <c r="A1761" s="998"/>
      <c r="B1761" s="999"/>
      <c r="C1761" s="474"/>
      <c r="D1761" s="474"/>
      <c r="E1761" s="474"/>
      <c r="F1761" s="474"/>
      <c r="G1761" s="696"/>
      <c r="H1761" s="474"/>
      <c r="I1761" s="696"/>
    </row>
    <row r="1762" spans="1:9" ht="12.75">
      <c r="A1762" s="998"/>
      <c r="B1762" s="999"/>
      <c r="C1762" s="474"/>
      <c r="D1762" s="474"/>
      <c r="E1762" s="474"/>
      <c r="F1762" s="474"/>
      <c r="G1762" s="696"/>
      <c r="H1762" s="474"/>
      <c r="I1762" s="696"/>
    </row>
    <row r="1763" spans="1:9" ht="12.75">
      <c r="A1763" s="998"/>
      <c r="B1763" s="999"/>
      <c r="C1763" s="474"/>
      <c r="D1763" s="474"/>
      <c r="E1763" s="474"/>
      <c r="F1763" s="474"/>
      <c r="G1763" s="696"/>
      <c r="H1763" s="474"/>
      <c r="I1763" s="696"/>
    </row>
    <row r="1764" spans="1:9" ht="12.75">
      <c r="A1764" s="998"/>
      <c r="B1764" s="999"/>
      <c r="C1764" s="474"/>
      <c r="D1764" s="474"/>
      <c r="E1764" s="474"/>
      <c r="F1764" s="474"/>
      <c r="G1764" s="696"/>
      <c r="H1764" s="474"/>
      <c r="I1764" s="696"/>
    </row>
    <row r="1765" spans="1:9" ht="12.75">
      <c r="A1765" s="998"/>
      <c r="B1765" s="999"/>
      <c r="C1765" s="474"/>
      <c r="D1765" s="474"/>
      <c r="E1765" s="474"/>
      <c r="F1765" s="474"/>
      <c r="G1765" s="696"/>
      <c r="H1765" s="474"/>
      <c r="I1765" s="696"/>
    </row>
    <row r="1766" spans="1:9" ht="12.75">
      <c r="A1766" s="998"/>
      <c r="B1766" s="999"/>
      <c r="C1766" s="474"/>
      <c r="D1766" s="474"/>
      <c r="E1766" s="474"/>
      <c r="F1766" s="474"/>
      <c r="G1766" s="696"/>
      <c r="H1766" s="474"/>
      <c r="I1766" s="696"/>
    </row>
    <row r="1767" spans="1:9" ht="12.75">
      <c r="A1767" s="998"/>
      <c r="B1767" s="999"/>
      <c r="C1767" s="474"/>
      <c r="D1767" s="474"/>
      <c r="E1767" s="474"/>
      <c r="F1767" s="474"/>
      <c r="G1767" s="696"/>
      <c r="H1767" s="474"/>
      <c r="I1767" s="696"/>
    </row>
    <row r="1768" spans="1:9" ht="12.75">
      <c r="A1768" s="998"/>
      <c r="B1768" s="999"/>
      <c r="C1768" s="474"/>
      <c r="D1768" s="474"/>
      <c r="E1768" s="474"/>
      <c r="F1768" s="474"/>
      <c r="G1768" s="696"/>
      <c r="H1768" s="474"/>
      <c r="I1768" s="696"/>
    </row>
    <row r="1769" spans="1:9" ht="12.75">
      <c r="A1769" s="998"/>
      <c r="B1769" s="999"/>
      <c r="C1769" s="474"/>
      <c r="D1769" s="474"/>
      <c r="E1769" s="474"/>
      <c r="F1769" s="474"/>
      <c r="G1769" s="696"/>
      <c r="H1769" s="474"/>
      <c r="I1769" s="696"/>
    </row>
    <row r="1770" spans="1:9" ht="12.75">
      <c r="A1770" s="998"/>
      <c r="B1770" s="999"/>
      <c r="C1770" s="474"/>
      <c r="D1770" s="474"/>
      <c r="E1770" s="474"/>
      <c r="F1770" s="474"/>
      <c r="G1770" s="696"/>
      <c r="H1770" s="474"/>
      <c r="I1770" s="696"/>
    </row>
    <row r="1771" spans="1:9" ht="12.75">
      <c r="A1771" s="998"/>
      <c r="B1771" s="999"/>
      <c r="C1771" s="474"/>
      <c r="D1771" s="474"/>
      <c r="E1771" s="474"/>
      <c r="F1771" s="474"/>
      <c r="G1771" s="696"/>
      <c r="H1771" s="474"/>
      <c r="I1771" s="696"/>
    </row>
    <row r="1772" spans="1:9" ht="12.75">
      <c r="A1772" s="998"/>
      <c r="B1772" s="999"/>
      <c r="C1772" s="474"/>
      <c r="D1772" s="474"/>
      <c r="E1772" s="474"/>
      <c r="F1772" s="474"/>
      <c r="G1772" s="696"/>
      <c r="H1772" s="474"/>
      <c r="I1772" s="696"/>
    </row>
    <row r="1773" spans="1:9" ht="12.75">
      <c r="A1773" s="998"/>
      <c r="B1773" s="999"/>
      <c r="C1773" s="474"/>
      <c r="D1773" s="474"/>
      <c r="E1773" s="474"/>
      <c r="F1773" s="474"/>
      <c r="G1773" s="696"/>
      <c r="H1773" s="474"/>
      <c r="I1773" s="696"/>
    </row>
    <row r="1774" spans="1:9" ht="12.75">
      <c r="A1774" s="998"/>
      <c r="B1774" s="999"/>
      <c r="C1774" s="474"/>
      <c r="D1774" s="474"/>
      <c r="E1774" s="474"/>
      <c r="F1774" s="474"/>
      <c r="G1774" s="696"/>
      <c r="H1774" s="474"/>
      <c r="I1774" s="696"/>
    </row>
    <row r="1775" spans="1:9" ht="12.75">
      <c r="A1775" s="998"/>
      <c r="B1775" s="999"/>
      <c r="C1775" s="474"/>
      <c r="D1775" s="474"/>
      <c r="E1775" s="474"/>
      <c r="F1775" s="474"/>
      <c r="G1775" s="696"/>
      <c r="H1775" s="474"/>
      <c r="I1775" s="696"/>
    </row>
    <row r="1776" spans="1:9" ht="12.75">
      <c r="A1776" s="998"/>
      <c r="B1776" s="999"/>
      <c r="C1776" s="474"/>
      <c r="D1776" s="474"/>
      <c r="E1776" s="474"/>
      <c r="F1776" s="474"/>
      <c r="G1776" s="696"/>
      <c r="H1776" s="474"/>
      <c r="I1776" s="696"/>
    </row>
    <row r="1777" spans="1:9" ht="12.75">
      <c r="A1777" s="998"/>
      <c r="B1777" s="999"/>
      <c r="C1777" s="474"/>
      <c r="D1777" s="474"/>
      <c r="E1777" s="474"/>
      <c r="F1777" s="474"/>
      <c r="G1777" s="696"/>
      <c r="H1777" s="474"/>
      <c r="I1777" s="696"/>
    </row>
    <row r="1778" spans="1:9" ht="12.75">
      <c r="A1778" s="998"/>
      <c r="B1778" s="999"/>
      <c r="C1778" s="474"/>
      <c r="D1778" s="474"/>
      <c r="E1778" s="474"/>
      <c r="F1778" s="474"/>
      <c r="G1778" s="696"/>
      <c r="H1778" s="474"/>
      <c r="I1778" s="696"/>
    </row>
    <row r="1779" spans="1:9" ht="12.75">
      <c r="A1779" s="998"/>
      <c r="B1779" s="999"/>
      <c r="C1779" s="474"/>
      <c r="D1779" s="474"/>
      <c r="E1779" s="474"/>
      <c r="F1779" s="474"/>
      <c r="G1779" s="696"/>
      <c r="H1779" s="474"/>
      <c r="I1779" s="696"/>
    </row>
    <row r="1780" spans="1:9" ht="12.75">
      <c r="A1780" s="998"/>
      <c r="B1780" s="999"/>
      <c r="C1780" s="474"/>
      <c r="D1780" s="474"/>
      <c r="E1780" s="474"/>
      <c r="F1780" s="474"/>
      <c r="G1780" s="696"/>
      <c r="H1780" s="474"/>
      <c r="I1780" s="696"/>
    </row>
    <row r="1781" spans="1:9" ht="12.75">
      <c r="A1781" s="998"/>
      <c r="B1781" s="999"/>
      <c r="C1781" s="474"/>
      <c r="D1781" s="474"/>
      <c r="E1781" s="474"/>
      <c r="F1781" s="474"/>
      <c r="G1781" s="696"/>
      <c r="H1781" s="474"/>
      <c r="I1781" s="696"/>
    </row>
    <row r="1782" spans="1:9" ht="12.75">
      <c r="A1782" s="998"/>
      <c r="B1782" s="999"/>
      <c r="C1782" s="474"/>
      <c r="D1782" s="474"/>
      <c r="E1782" s="474"/>
      <c r="F1782" s="474"/>
      <c r="G1782" s="696"/>
      <c r="H1782" s="474"/>
      <c r="I1782" s="696"/>
    </row>
    <row r="1783" spans="1:9" ht="12.75">
      <c r="A1783" s="998"/>
      <c r="B1783" s="999"/>
      <c r="C1783" s="474"/>
      <c r="D1783" s="474"/>
      <c r="E1783" s="474"/>
      <c r="F1783" s="474"/>
      <c r="G1783" s="696"/>
      <c r="H1783" s="474"/>
      <c r="I1783" s="696"/>
    </row>
    <row r="1784" spans="1:9" ht="12.75">
      <c r="A1784" s="998"/>
      <c r="B1784" s="999"/>
      <c r="C1784" s="474"/>
      <c r="D1784" s="474"/>
      <c r="E1784" s="474"/>
      <c r="F1784" s="474"/>
      <c r="G1784" s="696"/>
      <c r="H1784" s="474"/>
      <c r="I1784" s="696"/>
    </row>
    <row r="1785" spans="1:9" ht="12.75">
      <c r="A1785" s="998"/>
      <c r="B1785" s="999"/>
      <c r="C1785" s="474"/>
      <c r="D1785" s="474"/>
      <c r="E1785" s="474"/>
      <c r="F1785" s="474"/>
      <c r="G1785" s="696"/>
      <c r="H1785" s="474"/>
      <c r="I1785" s="696"/>
    </row>
    <row r="1786" spans="1:9" ht="12.75">
      <c r="A1786" s="998"/>
      <c r="B1786" s="999"/>
      <c r="C1786" s="474"/>
      <c r="D1786" s="474"/>
      <c r="E1786" s="474"/>
      <c r="F1786" s="474"/>
      <c r="G1786" s="696"/>
      <c r="H1786" s="474"/>
      <c r="I1786" s="696"/>
    </row>
    <row r="1787" spans="1:9" ht="12.75">
      <c r="A1787" s="998"/>
      <c r="B1787" s="999"/>
      <c r="C1787" s="474"/>
      <c r="D1787" s="474"/>
      <c r="E1787" s="474"/>
      <c r="F1787" s="474"/>
      <c r="G1787" s="696"/>
      <c r="H1787" s="474"/>
      <c r="I1787" s="696"/>
    </row>
    <row r="1788" spans="1:9" ht="12.75">
      <c r="A1788" s="998"/>
      <c r="B1788" s="999"/>
      <c r="C1788" s="474"/>
      <c r="D1788" s="474"/>
      <c r="E1788" s="474"/>
      <c r="F1788" s="474"/>
      <c r="G1788" s="696"/>
      <c r="H1788" s="474"/>
      <c r="I1788" s="696"/>
    </row>
    <row r="1789" spans="1:9" ht="12.75">
      <c r="A1789" s="998"/>
      <c r="B1789" s="999"/>
      <c r="C1789" s="474"/>
      <c r="D1789" s="474"/>
      <c r="E1789" s="474"/>
      <c r="F1789" s="474"/>
      <c r="G1789" s="696"/>
      <c r="H1789" s="474"/>
      <c r="I1789" s="696"/>
    </row>
    <row r="1790" spans="1:9" ht="12.75">
      <c r="A1790" s="998"/>
      <c r="B1790" s="999"/>
      <c r="C1790" s="474"/>
      <c r="D1790" s="474"/>
      <c r="E1790" s="474"/>
      <c r="F1790" s="474"/>
      <c r="G1790" s="696"/>
      <c r="H1790" s="474"/>
      <c r="I1790" s="696"/>
    </row>
    <row r="1791" spans="1:9" ht="12.75">
      <c r="A1791" s="998"/>
      <c r="B1791" s="999"/>
      <c r="C1791" s="474"/>
      <c r="D1791" s="474"/>
      <c r="E1791" s="474"/>
      <c r="F1791" s="474"/>
      <c r="G1791" s="696"/>
      <c r="H1791" s="474"/>
      <c r="I1791" s="696"/>
    </row>
    <row r="1792" spans="1:9" ht="12.75">
      <c r="A1792" s="998"/>
      <c r="B1792" s="999"/>
      <c r="C1792" s="474"/>
      <c r="D1792" s="474"/>
      <c r="E1792" s="474"/>
      <c r="F1792" s="474"/>
      <c r="G1792" s="696"/>
      <c r="H1792" s="474"/>
      <c r="I1792" s="696"/>
    </row>
    <row r="1793" spans="1:9" ht="12.75">
      <c r="A1793" s="998"/>
      <c r="B1793" s="999"/>
      <c r="C1793" s="474"/>
      <c r="D1793" s="474"/>
      <c r="E1793" s="474"/>
      <c r="F1793" s="474"/>
      <c r="G1793" s="696"/>
      <c r="H1793" s="474"/>
      <c r="I1793" s="696"/>
    </row>
    <row r="1794" spans="1:9" ht="12.75">
      <c r="A1794" s="998"/>
      <c r="B1794" s="999"/>
      <c r="C1794" s="474"/>
      <c r="D1794" s="474"/>
      <c r="E1794" s="474"/>
      <c r="F1794" s="474"/>
      <c r="G1794" s="696"/>
      <c r="H1794" s="474"/>
      <c r="I1794" s="696"/>
    </row>
    <row r="1795" spans="1:9" ht="12.75">
      <c r="A1795" s="998"/>
      <c r="B1795" s="999"/>
      <c r="C1795" s="474"/>
      <c r="D1795" s="474"/>
      <c r="E1795" s="474"/>
      <c r="F1795" s="474"/>
      <c r="G1795" s="696"/>
      <c r="H1795" s="474"/>
      <c r="I1795" s="696"/>
    </row>
    <row r="1796" spans="1:9" ht="12.75">
      <c r="A1796" s="998"/>
      <c r="B1796" s="999"/>
      <c r="C1796" s="474"/>
      <c r="D1796" s="474"/>
      <c r="E1796" s="474"/>
      <c r="F1796" s="474"/>
      <c r="G1796" s="696"/>
      <c r="H1796" s="474"/>
      <c r="I1796" s="696"/>
    </row>
    <row r="1797" spans="1:9" ht="12.75">
      <c r="A1797" s="998"/>
      <c r="B1797" s="999"/>
      <c r="C1797" s="474"/>
      <c r="D1797" s="474"/>
      <c r="E1797" s="474"/>
      <c r="F1797" s="474"/>
      <c r="G1797" s="696"/>
      <c r="H1797" s="474"/>
      <c r="I1797" s="696"/>
    </row>
    <row r="1798" spans="1:9" ht="12.75">
      <c r="A1798" s="998"/>
      <c r="B1798" s="999"/>
      <c r="C1798" s="474"/>
      <c r="D1798" s="474"/>
      <c r="E1798" s="474"/>
      <c r="F1798" s="474"/>
      <c r="G1798" s="696"/>
      <c r="H1798" s="474"/>
      <c r="I1798" s="696"/>
    </row>
    <row r="1799" spans="1:9" ht="12.75">
      <c r="A1799" s="998"/>
      <c r="B1799" s="999"/>
      <c r="C1799" s="474"/>
      <c r="D1799" s="474"/>
      <c r="E1799" s="474"/>
      <c r="F1799" s="474"/>
      <c r="G1799" s="696"/>
      <c r="H1799" s="474"/>
      <c r="I1799" s="696"/>
    </row>
    <row r="1800" spans="1:9" ht="12.75">
      <c r="A1800" s="998"/>
      <c r="B1800" s="999"/>
      <c r="C1800" s="474"/>
      <c r="D1800" s="474"/>
      <c r="E1800" s="474"/>
      <c r="F1800" s="474"/>
      <c r="G1800" s="696"/>
      <c r="H1800" s="474"/>
      <c r="I1800" s="696"/>
    </row>
    <row r="1801" spans="1:9" ht="12.75">
      <c r="A1801" s="998"/>
      <c r="B1801" s="999"/>
      <c r="C1801" s="474"/>
      <c r="D1801" s="474"/>
      <c r="E1801" s="474"/>
      <c r="F1801" s="474"/>
      <c r="G1801" s="696"/>
      <c r="H1801" s="474"/>
      <c r="I1801" s="696"/>
    </row>
    <row r="1802" spans="1:9" ht="12.75">
      <c r="A1802" s="998"/>
      <c r="B1802" s="999"/>
      <c r="C1802" s="474"/>
      <c r="D1802" s="474"/>
      <c r="E1802" s="474"/>
      <c r="F1802" s="474"/>
      <c r="G1802" s="696"/>
      <c r="H1802" s="474"/>
      <c r="I1802" s="696"/>
    </row>
    <row r="1803" spans="1:9" ht="12.75">
      <c r="A1803" s="998"/>
      <c r="B1803" s="999"/>
      <c r="C1803" s="474"/>
      <c r="D1803" s="474"/>
      <c r="E1803" s="474"/>
      <c r="F1803" s="474"/>
      <c r="G1803" s="696"/>
      <c r="H1803" s="474"/>
      <c r="I1803" s="696"/>
    </row>
    <row r="1804" spans="1:9" ht="12.75">
      <c r="A1804" s="998"/>
      <c r="B1804" s="999"/>
      <c r="C1804" s="474"/>
      <c r="D1804" s="474"/>
      <c r="E1804" s="474"/>
      <c r="F1804" s="474"/>
      <c r="G1804" s="696"/>
      <c r="H1804" s="474"/>
      <c r="I1804" s="696"/>
    </row>
    <row r="1805" spans="1:9" ht="12.75">
      <c r="A1805" s="998"/>
      <c r="B1805" s="999"/>
      <c r="C1805" s="474"/>
      <c r="D1805" s="474"/>
      <c r="E1805" s="474"/>
      <c r="F1805" s="474"/>
      <c r="G1805" s="696"/>
      <c r="H1805" s="474"/>
      <c r="I1805" s="696"/>
    </row>
    <row r="1806" spans="1:9" ht="12.75">
      <c r="A1806" s="998"/>
      <c r="B1806" s="999"/>
      <c r="C1806" s="474"/>
      <c r="D1806" s="474"/>
      <c r="E1806" s="474"/>
      <c r="F1806" s="474"/>
      <c r="G1806" s="696"/>
      <c r="H1806" s="474"/>
      <c r="I1806" s="696"/>
    </row>
    <row r="1807" spans="1:9" ht="12.75">
      <c r="A1807" s="998"/>
      <c r="B1807" s="999"/>
      <c r="C1807" s="474"/>
      <c r="D1807" s="474"/>
      <c r="E1807" s="474"/>
      <c r="F1807" s="474"/>
      <c r="G1807" s="696"/>
      <c r="H1807" s="474"/>
      <c r="I1807" s="696"/>
    </row>
    <row r="1808" spans="1:9" ht="12.75">
      <c r="A1808" s="998"/>
      <c r="B1808" s="999"/>
      <c r="C1808" s="474"/>
      <c r="D1808" s="474"/>
      <c r="E1808" s="474"/>
      <c r="F1808" s="474"/>
      <c r="G1808" s="696"/>
      <c r="H1808" s="474"/>
      <c r="I1808" s="696"/>
    </row>
    <row r="1809" spans="1:9" ht="12.75">
      <c r="A1809" s="998"/>
      <c r="B1809" s="999"/>
      <c r="C1809" s="474"/>
      <c r="D1809" s="474"/>
      <c r="E1809" s="474"/>
      <c r="F1809" s="474"/>
      <c r="G1809" s="696"/>
      <c r="H1809" s="474"/>
      <c r="I1809" s="696"/>
    </row>
    <row r="1810" spans="1:9" ht="12.75">
      <c r="A1810" s="998"/>
      <c r="B1810" s="999"/>
      <c r="C1810" s="474"/>
      <c r="D1810" s="474"/>
      <c r="E1810" s="474"/>
      <c r="F1810" s="474"/>
      <c r="G1810" s="696"/>
      <c r="H1810" s="474"/>
      <c r="I1810" s="696"/>
    </row>
    <row r="1811" spans="1:9" ht="12.75">
      <c r="A1811" s="998"/>
      <c r="B1811" s="999"/>
      <c r="C1811" s="474"/>
      <c r="D1811" s="474"/>
      <c r="E1811" s="474"/>
      <c r="F1811" s="474"/>
      <c r="G1811" s="696"/>
      <c r="H1811" s="474"/>
      <c r="I1811" s="696"/>
    </row>
    <row r="1812" spans="1:9" ht="12.75">
      <c r="A1812" s="998"/>
      <c r="B1812" s="999"/>
      <c r="C1812" s="474"/>
      <c r="D1812" s="474"/>
      <c r="E1812" s="474"/>
      <c r="F1812" s="474"/>
      <c r="G1812" s="696"/>
      <c r="H1812" s="474"/>
      <c r="I1812" s="696"/>
    </row>
    <row r="1813" spans="1:9" ht="12.75">
      <c r="A1813" s="998"/>
      <c r="B1813" s="999"/>
      <c r="C1813" s="474"/>
      <c r="D1813" s="474"/>
      <c r="E1813" s="474"/>
      <c r="F1813" s="474"/>
      <c r="G1813" s="696"/>
      <c r="H1813" s="474"/>
      <c r="I1813" s="696"/>
    </row>
    <row r="1814" spans="1:9" ht="12.75">
      <c r="A1814" s="998"/>
      <c r="B1814" s="999"/>
      <c r="C1814" s="474"/>
      <c r="D1814" s="474"/>
      <c r="E1814" s="474"/>
      <c r="F1814" s="474"/>
      <c r="G1814" s="696"/>
      <c r="H1814" s="474"/>
      <c r="I1814" s="696"/>
    </row>
    <row r="1815" spans="1:9" ht="12.75">
      <c r="A1815" s="998"/>
      <c r="B1815" s="999"/>
      <c r="C1815" s="474"/>
      <c r="D1815" s="474"/>
      <c r="E1815" s="474"/>
      <c r="F1815" s="474"/>
      <c r="G1815" s="696"/>
      <c r="H1815" s="474"/>
      <c r="I1815" s="696"/>
    </row>
    <row r="1816" spans="1:9" ht="12.75">
      <c r="A1816" s="998"/>
      <c r="B1816" s="999"/>
      <c r="C1816" s="474"/>
      <c r="D1816" s="474"/>
      <c r="E1816" s="474"/>
      <c r="F1816" s="474"/>
      <c r="G1816" s="696"/>
      <c r="H1816" s="474"/>
      <c r="I1816" s="696"/>
    </row>
    <row r="1817" spans="1:9" ht="12.75">
      <c r="A1817" s="998"/>
      <c r="B1817" s="999"/>
      <c r="C1817" s="474"/>
      <c r="D1817" s="474"/>
      <c r="E1817" s="474"/>
      <c r="F1817" s="474"/>
      <c r="G1817" s="696"/>
      <c r="H1817" s="474"/>
      <c r="I1817" s="696"/>
    </row>
    <row r="1818" spans="1:9" ht="12.75">
      <c r="A1818" s="998"/>
      <c r="B1818" s="999"/>
      <c r="C1818" s="474"/>
      <c r="D1818" s="474"/>
      <c r="E1818" s="474"/>
      <c r="F1818" s="474"/>
      <c r="G1818" s="696"/>
      <c r="H1818" s="474"/>
      <c r="I1818" s="696"/>
    </row>
    <row r="1819" spans="1:9" ht="12.75">
      <c r="A1819" s="998"/>
      <c r="B1819" s="999"/>
      <c r="C1819" s="474"/>
      <c r="D1819" s="474"/>
      <c r="E1819" s="474"/>
      <c r="F1819" s="474"/>
      <c r="G1819" s="696"/>
      <c r="H1819" s="474"/>
      <c r="I1819" s="696"/>
    </row>
    <row r="1820" spans="1:9" ht="12.75">
      <c r="A1820" s="998"/>
      <c r="B1820" s="999"/>
      <c r="C1820" s="474"/>
      <c r="D1820" s="474"/>
      <c r="E1820" s="474"/>
      <c r="F1820" s="474"/>
      <c r="G1820" s="696"/>
      <c r="H1820" s="474"/>
      <c r="I1820" s="696"/>
    </row>
    <row r="1821" spans="1:9" ht="12.75">
      <c r="A1821" s="998"/>
      <c r="B1821" s="999"/>
      <c r="C1821" s="474"/>
      <c r="D1821" s="474"/>
      <c r="E1821" s="474"/>
      <c r="F1821" s="474"/>
      <c r="G1821" s="696"/>
      <c r="H1821" s="474"/>
      <c r="I1821" s="696"/>
    </row>
    <row r="1822" spans="1:9" ht="12.75">
      <c r="A1822" s="998"/>
      <c r="B1822" s="999"/>
      <c r="C1822" s="474"/>
      <c r="D1822" s="474"/>
      <c r="E1822" s="474"/>
      <c r="F1822" s="474"/>
      <c r="G1822" s="696"/>
      <c r="H1822" s="474"/>
      <c r="I1822" s="696"/>
    </row>
    <row r="1823" spans="1:9" ht="12.75">
      <c r="A1823" s="998"/>
      <c r="B1823" s="999"/>
      <c r="C1823" s="474"/>
      <c r="D1823" s="474"/>
      <c r="E1823" s="474"/>
      <c r="F1823" s="474"/>
      <c r="G1823" s="696"/>
      <c r="H1823" s="474"/>
      <c r="I1823" s="696"/>
    </row>
    <row r="1824" spans="1:9" ht="12.75">
      <c r="A1824" s="998"/>
      <c r="B1824" s="999"/>
      <c r="C1824" s="474"/>
      <c r="D1824" s="474"/>
      <c r="E1824" s="474"/>
      <c r="F1824" s="474"/>
      <c r="G1824" s="696"/>
      <c r="H1824" s="474"/>
      <c r="I1824" s="696"/>
    </row>
    <row r="1825" spans="1:9" ht="12.75">
      <c r="A1825" s="998"/>
      <c r="B1825" s="999"/>
      <c r="C1825" s="474"/>
      <c r="D1825" s="474"/>
      <c r="E1825" s="474"/>
      <c r="F1825" s="474"/>
      <c r="G1825" s="696"/>
      <c r="H1825" s="474"/>
      <c r="I1825" s="696"/>
    </row>
    <row r="1826" spans="1:9" ht="12.75">
      <c r="A1826" s="998"/>
      <c r="B1826" s="999"/>
      <c r="C1826" s="474"/>
      <c r="D1826" s="474"/>
      <c r="E1826" s="474"/>
      <c r="F1826" s="474"/>
      <c r="G1826" s="696"/>
      <c r="H1826" s="474"/>
      <c r="I1826" s="696"/>
    </row>
    <row r="1827" spans="1:9" ht="12.75">
      <c r="A1827" s="998"/>
      <c r="B1827" s="999"/>
      <c r="C1827" s="474"/>
      <c r="D1827" s="474"/>
      <c r="E1827" s="474"/>
      <c r="F1827" s="474"/>
      <c r="G1827" s="696"/>
      <c r="H1827" s="474"/>
      <c r="I1827" s="696"/>
    </row>
    <row r="1828" spans="1:9" ht="12.75">
      <c r="A1828" s="998"/>
      <c r="B1828" s="999"/>
      <c r="C1828" s="474"/>
      <c r="D1828" s="474"/>
      <c r="E1828" s="474"/>
      <c r="F1828" s="474"/>
      <c r="G1828" s="696"/>
      <c r="H1828" s="474"/>
      <c r="I1828" s="696"/>
    </row>
    <row r="1829" spans="1:9" ht="12.75">
      <c r="A1829" s="998"/>
      <c r="B1829" s="999"/>
      <c r="C1829" s="474"/>
      <c r="D1829" s="474"/>
      <c r="E1829" s="474"/>
      <c r="F1829" s="474"/>
      <c r="G1829" s="696"/>
      <c r="H1829" s="474"/>
      <c r="I1829" s="696"/>
    </row>
    <row r="1830" spans="1:9" ht="12.75">
      <c r="A1830" s="998"/>
      <c r="B1830" s="999"/>
      <c r="C1830" s="474"/>
      <c r="D1830" s="474"/>
      <c r="E1830" s="474"/>
      <c r="F1830" s="474"/>
      <c r="G1830" s="696"/>
      <c r="H1830" s="474"/>
      <c r="I1830" s="696"/>
    </row>
    <row r="1831" spans="1:9" ht="12.75">
      <c r="A1831" s="998"/>
      <c r="B1831" s="999"/>
      <c r="C1831" s="474"/>
      <c r="D1831" s="474"/>
      <c r="E1831" s="474"/>
      <c r="F1831" s="474"/>
      <c r="G1831" s="696"/>
      <c r="H1831" s="474"/>
      <c r="I1831" s="696"/>
    </row>
    <row r="1832" spans="1:9" ht="12.75">
      <c r="A1832" s="998"/>
      <c r="B1832" s="999"/>
      <c r="C1832" s="474"/>
      <c r="D1832" s="474"/>
      <c r="E1832" s="474"/>
      <c r="F1832" s="474"/>
      <c r="G1832" s="696"/>
      <c r="H1832" s="474"/>
      <c r="I1832" s="696"/>
    </row>
    <row r="1833" spans="1:9" ht="12.75">
      <c r="A1833" s="998"/>
      <c r="B1833" s="999"/>
      <c r="C1833" s="474"/>
      <c r="D1833" s="474"/>
      <c r="E1833" s="474"/>
      <c r="F1833" s="474"/>
      <c r="G1833" s="696"/>
      <c r="H1833" s="474"/>
      <c r="I1833" s="696"/>
    </row>
    <row r="1834" spans="1:9" ht="12.75">
      <c r="A1834" s="998"/>
      <c r="B1834" s="999"/>
      <c r="C1834" s="474"/>
      <c r="D1834" s="474"/>
      <c r="E1834" s="474"/>
      <c r="F1834" s="474"/>
      <c r="G1834" s="696"/>
      <c r="H1834" s="474"/>
      <c r="I1834" s="696"/>
    </row>
    <row r="1835" spans="1:9" ht="12.75">
      <c r="A1835" s="998"/>
      <c r="B1835" s="999"/>
      <c r="C1835" s="474"/>
      <c r="D1835" s="474"/>
      <c r="E1835" s="474"/>
      <c r="F1835" s="474"/>
      <c r="G1835" s="696"/>
      <c r="H1835" s="474"/>
      <c r="I1835" s="696"/>
    </row>
    <row r="1836" spans="1:9" ht="12.75">
      <c r="A1836" s="998"/>
      <c r="B1836" s="999"/>
      <c r="C1836" s="474"/>
      <c r="D1836" s="474"/>
      <c r="E1836" s="474"/>
      <c r="F1836" s="474"/>
      <c r="G1836" s="696"/>
      <c r="H1836" s="474"/>
      <c r="I1836" s="696"/>
    </row>
    <row r="1837" spans="1:9" ht="12.75">
      <c r="A1837" s="998"/>
      <c r="B1837" s="999"/>
      <c r="C1837" s="474"/>
      <c r="D1837" s="474"/>
      <c r="E1837" s="474"/>
      <c r="F1837" s="474"/>
      <c r="G1837" s="696"/>
      <c r="H1837" s="474"/>
      <c r="I1837" s="696"/>
    </row>
    <row r="1838" spans="1:9" ht="12.75">
      <c r="A1838" s="998"/>
      <c r="B1838" s="999"/>
      <c r="C1838" s="474"/>
      <c r="D1838" s="474"/>
      <c r="E1838" s="474"/>
      <c r="F1838" s="474"/>
      <c r="G1838" s="696"/>
      <c r="H1838" s="474"/>
      <c r="I1838" s="696"/>
    </row>
    <row r="1839" spans="1:9" ht="12.75">
      <c r="A1839" s="998"/>
      <c r="B1839" s="999"/>
      <c r="C1839" s="474"/>
      <c r="D1839" s="474"/>
      <c r="E1839" s="474"/>
      <c r="F1839" s="474"/>
      <c r="G1839" s="696"/>
      <c r="H1839" s="474"/>
      <c r="I1839" s="696"/>
    </row>
    <row r="1840" spans="1:9" ht="12.75">
      <c r="A1840" s="998"/>
      <c r="B1840" s="999"/>
      <c r="C1840" s="474"/>
      <c r="D1840" s="474"/>
      <c r="E1840" s="474"/>
      <c r="F1840" s="474"/>
      <c r="G1840" s="696"/>
      <c r="H1840" s="474"/>
      <c r="I1840" s="696"/>
    </row>
    <row r="1841" spans="1:9" ht="12.75">
      <c r="A1841" s="998"/>
      <c r="B1841" s="999"/>
      <c r="C1841" s="474"/>
      <c r="D1841" s="474"/>
      <c r="E1841" s="474"/>
      <c r="F1841" s="474"/>
      <c r="G1841" s="696"/>
      <c r="H1841" s="474"/>
      <c r="I1841" s="696"/>
    </row>
    <row r="1842" spans="1:9" ht="12.75">
      <c r="A1842" s="998"/>
      <c r="B1842" s="999"/>
      <c r="C1842" s="474"/>
      <c r="D1842" s="474"/>
      <c r="E1842" s="474"/>
      <c r="F1842" s="474"/>
      <c r="G1842" s="696"/>
      <c r="H1842" s="474"/>
      <c r="I1842" s="696"/>
    </row>
    <row r="1843" spans="1:9" ht="12.75">
      <c r="A1843" s="998"/>
      <c r="B1843" s="999"/>
      <c r="C1843" s="474"/>
      <c r="D1843" s="474"/>
      <c r="E1843" s="474"/>
      <c r="F1843" s="474"/>
      <c r="G1843" s="696"/>
      <c r="H1843" s="474"/>
      <c r="I1843" s="696"/>
    </row>
    <row r="1844" spans="1:9" ht="12.75">
      <c r="A1844" s="998"/>
      <c r="B1844" s="999"/>
      <c r="C1844" s="474"/>
      <c r="D1844" s="474"/>
      <c r="E1844" s="474"/>
      <c r="F1844" s="474"/>
      <c r="G1844" s="696"/>
      <c r="H1844" s="474"/>
      <c r="I1844" s="696"/>
    </row>
    <row r="1845" spans="1:9" ht="12.75">
      <c r="A1845" s="998"/>
      <c r="B1845" s="999"/>
      <c r="C1845" s="474"/>
      <c r="D1845" s="474"/>
      <c r="E1845" s="474"/>
      <c r="F1845" s="474"/>
      <c r="G1845" s="696"/>
      <c r="H1845" s="474"/>
      <c r="I1845" s="696"/>
    </row>
    <row r="1846" spans="1:9" ht="12.75">
      <c r="A1846" s="998"/>
      <c r="B1846" s="999"/>
      <c r="C1846" s="474"/>
      <c r="D1846" s="474"/>
      <c r="E1846" s="474"/>
      <c r="F1846" s="474"/>
      <c r="G1846" s="696"/>
      <c r="H1846" s="474"/>
      <c r="I1846" s="696"/>
    </row>
    <row r="1847" spans="1:9" ht="12.75">
      <c r="A1847" s="998"/>
      <c r="B1847" s="999"/>
      <c r="C1847" s="474"/>
      <c r="D1847" s="474"/>
      <c r="E1847" s="474"/>
      <c r="F1847" s="474"/>
      <c r="G1847" s="696"/>
      <c r="H1847" s="474"/>
      <c r="I1847" s="696"/>
    </row>
    <row r="1848" spans="1:9" ht="12.75">
      <c r="A1848" s="998"/>
      <c r="B1848" s="999"/>
      <c r="C1848" s="474"/>
      <c r="D1848" s="474"/>
      <c r="E1848" s="474"/>
      <c r="F1848" s="474"/>
      <c r="G1848" s="696"/>
      <c r="H1848" s="474"/>
      <c r="I1848" s="696"/>
    </row>
    <row r="1849" spans="1:9" ht="12.75">
      <c r="A1849" s="998"/>
      <c r="B1849" s="999"/>
      <c r="C1849" s="474"/>
      <c r="D1849" s="474"/>
      <c r="E1849" s="474"/>
      <c r="F1849" s="474"/>
      <c r="G1849" s="696"/>
      <c r="H1849" s="474"/>
      <c r="I1849" s="696"/>
    </row>
    <row r="1850" spans="1:9" ht="12.75">
      <c r="A1850" s="998"/>
      <c r="B1850" s="999"/>
      <c r="C1850" s="474"/>
      <c r="D1850" s="474"/>
      <c r="E1850" s="474"/>
      <c r="F1850" s="474"/>
      <c r="G1850" s="696"/>
      <c r="H1850" s="474"/>
      <c r="I1850" s="696"/>
    </row>
    <row r="1851" spans="1:9" ht="12.75">
      <c r="A1851" s="998"/>
      <c r="B1851" s="999"/>
      <c r="C1851" s="474"/>
      <c r="D1851" s="474"/>
      <c r="E1851" s="474"/>
      <c r="F1851" s="474"/>
      <c r="G1851" s="696"/>
      <c r="H1851" s="474"/>
      <c r="I1851" s="696"/>
    </row>
    <row r="1852" spans="1:9" ht="12.75">
      <c r="A1852" s="998"/>
      <c r="B1852" s="999"/>
      <c r="C1852" s="474"/>
      <c r="D1852" s="474"/>
      <c r="E1852" s="474"/>
      <c r="F1852" s="474"/>
      <c r="G1852" s="696"/>
      <c r="H1852" s="474"/>
      <c r="I1852" s="696"/>
    </row>
    <row r="1853" spans="1:9" ht="12.75">
      <c r="A1853" s="998"/>
      <c r="B1853" s="999"/>
      <c r="C1853" s="474"/>
      <c r="D1853" s="474"/>
      <c r="E1853" s="474"/>
      <c r="F1853" s="474"/>
      <c r="G1853" s="696"/>
      <c r="H1853" s="474"/>
      <c r="I1853" s="696"/>
    </row>
    <row r="1854" spans="1:9" ht="12.75">
      <c r="A1854" s="998"/>
      <c r="B1854" s="999"/>
      <c r="C1854" s="474"/>
      <c r="D1854" s="474"/>
      <c r="E1854" s="474"/>
      <c r="F1854" s="474"/>
      <c r="G1854" s="696"/>
      <c r="H1854" s="474"/>
      <c r="I1854" s="696"/>
    </row>
    <row r="1855" spans="1:9" ht="12.75">
      <c r="A1855" s="998"/>
      <c r="B1855" s="999"/>
      <c r="C1855" s="474"/>
      <c r="D1855" s="474"/>
      <c r="E1855" s="474"/>
      <c r="F1855" s="474"/>
      <c r="G1855" s="696"/>
      <c r="H1855" s="474"/>
      <c r="I1855" s="696"/>
    </row>
    <row r="1856" spans="1:9" ht="12.75">
      <c r="A1856" s="998"/>
      <c r="B1856" s="999"/>
      <c r="C1856" s="474"/>
      <c r="D1856" s="474"/>
      <c r="E1856" s="474"/>
      <c r="F1856" s="474"/>
      <c r="G1856" s="696"/>
      <c r="H1856" s="474"/>
      <c r="I1856" s="696"/>
    </row>
    <row r="1857" spans="1:9" ht="12.75">
      <c r="A1857" s="998"/>
      <c r="B1857" s="999"/>
      <c r="C1857" s="474"/>
      <c r="D1857" s="474"/>
      <c r="E1857" s="474"/>
      <c r="F1857" s="474"/>
      <c r="G1857" s="696"/>
      <c r="H1857" s="474"/>
      <c r="I1857" s="696"/>
    </row>
    <row r="1858" spans="1:9" ht="12.75">
      <c r="A1858" s="998"/>
      <c r="B1858" s="999"/>
      <c r="C1858" s="474"/>
      <c r="D1858" s="474"/>
      <c r="E1858" s="474"/>
      <c r="F1858" s="474"/>
      <c r="G1858" s="696"/>
      <c r="H1858" s="474"/>
      <c r="I1858" s="696"/>
    </row>
    <row r="1859" spans="1:9" ht="12.75">
      <c r="A1859" s="998"/>
      <c r="B1859" s="999"/>
      <c r="C1859" s="474"/>
      <c r="D1859" s="474"/>
      <c r="E1859" s="474"/>
      <c r="F1859" s="474"/>
      <c r="G1859" s="696"/>
      <c r="H1859" s="474"/>
      <c r="I1859" s="696"/>
    </row>
    <row r="1860" spans="1:9" ht="12.75">
      <c r="A1860" s="998"/>
      <c r="B1860" s="999"/>
      <c r="C1860" s="474"/>
      <c r="D1860" s="474"/>
      <c r="E1860" s="474"/>
      <c r="F1860" s="474"/>
      <c r="G1860" s="696"/>
      <c r="H1860" s="474"/>
      <c r="I1860" s="696"/>
    </row>
    <row r="1861" spans="1:9" ht="12.75">
      <c r="A1861" s="998"/>
      <c r="B1861" s="999"/>
      <c r="C1861" s="474"/>
      <c r="D1861" s="474"/>
      <c r="E1861" s="474"/>
      <c r="F1861" s="474"/>
      <c r="G1861" s="696"/>
      <c r="H1861" s="474"/>
      <c r="I1861" s="696"/>
    </row>
    <row r="1862" spans="1:9" ht="12.75">
      <c r="A1862" s="998"/>
      <c r="B1862" s="999"/>
      <c r="C1862" s="474"/>
      <c r="D1862" s="474"/>
      <c r="E1862" s="474"/>
      <c r="F1862" s="474"/>
      <c r="G1862" s="696"/>
      <c r="H1862" s="474"/>
      <c r="I1862" s="696"/>
    </row>
    <row r="1863" spans="1:9" ht="12.75">
      <c r="A1863" s="998"/>
      <c r="B1863" s="999"/>
      <c r="C1863" s="474"/>
      <c r="D1863" s="474"/>
      <c r="E1863" s="474"/>
      <c r="F1863" s="474"/>
      <c r="G1863" s="696"/>
      <c r="H1863" s="474"/>
      <c r="I1863" s="696"/>
    </row>
    <row r="1864" spans="1:9" ht="12.75">
      <c r="A1864" s="998"/>
      <c r="B1864" s="999"/>
      <c r="C1864" s="474"/>
      <c r="D1864" s="474"/>
      <c r="E1864" s="474"/>
      <c r="F1864" s="474"/>
      <c r="G1864" s="696"/>
      <c r="H1864" s="474"/>
      <c r="I1864" s="696"/>
    </row>
    <row r="1865" spans="1:9" ht="12.75">
      <c r="A1865" s="998"/>
      <c r="B1865" s="999"/>
      <c r="C1865" s="474"/>
      <c r="D1865" s="474"/>
      <c r="E1865" s="474"/>
      <c r="F1865" s="474"/>
      <c r="G1865" s="696"/>
      <c r="H1865" s="474"/>
      <c r="I1865" s="696"/>
    </row>
    <row r="1866" spans="1:9" ht="12.75">
      <c r="A1866" s="998"/>
      <c r="B1866" s="999"/>
      <c r="C1866" s="474"/>
      <c r="D1866" s="474"/>
      <c r="E1866" s="474"/>
      <c r="F1866" s="474"/>
      <c r="G1866" s="696"/>
      <c r="H1866" s="474"/>
      <c r="I1866" s="696"/>
    </row>
    <row r="1867" spans="1:9" ht="12.75">
      <c r="A1867" s="998"/>
      <c r="B1867" s="999"/>
      <c r="C1867" s="474"/>
      <c r="D1867" s="474"/>
      <c r="E1867" s="474"/>
      <c r="F1867" s="474"/>
      <c r="G1867" s="696"/>
      <c r="H1867" s="474"/>
      <c r="I1867" s="696"/>
    </row>
    <row r="1868" spans="1:9" ht="12.75">
      <c r="A1868" s="998"/>
      <c r="B1868" s="999"/>
      <c r="C1868" s="474"/>
      <c r="D1868" s="474"/>
      <c r="E1868" s="474"/>
      <c r="F1868" s="474"/>
      <c r="G1868" s="696"/>
      <c r="H1868" s="474"/>
      <c r="I1868" s="696"/>
    </row>
    <row r="1869" spans="1:9" ht="12.75">
      <c r="A1869" s="998"/>
      <c r="B1869" s="999"/>
      <c r="C1869" s="474"/>
      <c r="D1869" s="474"/>
      <c r="E1869" s="474"/>
      <c r="F1869" s="474"/>
      <c r="G1869" s="696"/>
      <c r="H1869" s="474"/>
      <c r="I1869" s="696"/>
    </row>
    <row r="1870" spans="1:9" ht="12.75">
      <c r="A1870" s="998"/>
      <c r="B1870" s="999"/>
      <c r="C1870" s="474"/>
      <c r="D1870" s="474"/>
      <c r="E1870" s="474"/>
      <c r="F1870" s="474"/>
      <c r="G1870" s="696"/>
      <c r="H1870" s="474"/>
      <c r="I1870" s="696"/>
    </row>
    <row r="1871" spans="1:9" ht="12.75">
      <c r="A1871" s="998"/>
      <c r="B1871" s="999"/>
      <c r="C1871" s="474"/>
      <c r="D1871" s="474"/>
      <c r="E1871" s="474"/>
      <c r="F1871" s="474"/>
      <c r="G1871" s="696"/>
      <c r="H1871" s="474"/>
      <c r="I1871" s="696"/>
    </row>
    <row r="1872" spans="1:9" ht="12.75">
      <c r="A1872" s="998"/>
      <c r="B1872" s="999"/>
      <c r="C1872" s="474"/>
      <c r="D1872" s="474"/>
      <c r="E1872" s="474"/>
      <c r="F1872" s="474"/>
      <c r="G1872" s="696"/>
      <c r="H1872" s="474"/>
      <c r="I1872" s="696"/>
    </row>
    <row r="1873" spans="1:9" ht="12.75">
      <c r="A1873" s="998"/>
      <c r="B1873" s="999"/>
      <c r="C1873" s="474"/>
      <c r="D1873" s="474"/>
      <c r="E1873" s="474"/>
      <c r="F1873" s="474"/>
      <c r="G1873" s="696"/>
      <c r="H1873" s="474"/>
      <c r="I1873" s="696"/>
    </row>
    <row r="1874" spans="1:9" ht="12.75">
      <c r="A1874" s="998"/>
      <c r="B1874" s="999"/>
      <c r="C1874" s="474"/>
      <c r="D1874" s="474"/>
      <c r="E1874" s="474"/>
      <c r="F1874" s="474"/>
      <c r="G1874" s="696"/>
      <c r="H1874" s="474"/>
      <c r="I1874" s="696"/>
    </row>
    <row r="1875" spans="1:9" ht="12.75">
      <c r="A1875" s="998"/>
      <c r="B1875" s="999"/>
      <c r="C1875" s="474"/>
      <c r="D1875" s="474"/>
      <c r="E1875" s="474"/>
      <c r="F1875" s="474"/>
      <c r="G1875" s="696"/>
      <c r="H1875" s="474"/>
      <c r="I1875" s="696"/>
    </row>
    <row r="1876" spans="1:9" ht="12.75">
      <c r="A1876" s="998"/>
      <c r="B1876" s="999"/>
      <c r="C1876" s="474"/>
      <c r="D1876" s="474"/>
      <c r="E1876" s="474"/>
      <c r="F1876" s="474"/>
      <c r="G1876" s="696"/>
      <c r="H1876" s="474"/>
      <c r="I1876" s="696"/>
    </row>
    <row r="1877" spans="1:9" ht="12.75">
      <c r="A1877" s="998"/>
      <c r="B1877" s="999"/>
      <c r="C1877" s="474"/>
      <c r="D1877" s="474"/>
      <c r="E1877" s="474"/>
      <c r="F1877" s="474"/>
      <c r="G1877" s="696"/>
      <c r="H1877" s="474"/>
      <c r="I1877" s="696"/>
    </row>
    <row r="1878" spans="1:9" ht="12.75">
      <c r="A1878" s="998"/>
      <c r="B1878" s="999"/>
      <c r="C1878" s="474"/>
      <c r="D1878" s="474"/>
      <c r="E1878" s="474"/>
      <c r="F1878" s="474"/>
      <c r="G1878" s="696"/>
      <c r="H1878" s="474"/>
      <c r="I1878" s="696"/>
    </row>
    <row r="1879" spans="1:9" ht="12.75">
      <c r="A1879" s="998"/>
      <c r="B1879" s="999"/>
      <c r="C1879" s="474"/>
      <c r="D1879" s="474"/>
      <c r="E1879" s="474"/>
      <c r="F1879" s="474"/>
      <c r="G1879" s="696"/>
      <c r="H1879" s="474"/>
      <c r="I1879" s="696"/>
    </row>
    <row r="1880" spans="1:9" ht="12.75">
      <c r="A1880" s="998"/>
      <c r="B1880" s="999"/>
      <c r="C1880" s="474"/>
      <c r="D1880" s="474"/>
      <c r="E1880" s="474"/>
      <c r="F1880" s="474"/>
      <c r="G1880" s="696"/>
      <c r="H1880" s="474"/>
      <c r="I1880" s="696"/>
    </row>
    <row r="1881" spans="1:9" ht="12.75">
      <c r="A1881" s="998"/>
      <c r="B1881" s="999"/>
      <c r="C1881" s="474"/>
      <c r="D1881" s="474"/>
      <c r="E1881" s="474"/>
      <c r="F1881" s="474"/>
      <c r="G1881" s="696"/>
      <c r="H1881" s="474"/>
      <c r="I1881" s="696"/>
    </row>
    <row r="1882" spans="1:9" ht="12.75">
      <c r="A1882" s="998"/>
      <c r="B1882" s="999"/>
      <c r="C1882" s="474"/>
      <c r="D1882" s="474"/>
      <c r="E1882" s="474"/>
      <c r="F1882" s="474"/>
      <c r="G1882" s="696"/>
      <c r="H1882" s="474"/>
      <c r="I1882" s="696"/>
    </row>
    <row r="1883" spans="1:9" ht="12.75">
      <c r="A1883" s="998"/>
      <c r="B1883" s="999"/>
      <c r="C1883" s="474"/>
      <c r="D1883" s="474"/>
      <c r="E1883" s="474"/>
      <c r="F1883" s="474"/>
      <c r="G1883" s="696"/>
      <c r="H1883" s="474"/>
      <c r="I1883" s="696"/>
    </row>
    <row r="1884" spans="1:9" ht="12.75">
      <c r="A1884" s="998"/>
      <c r="B1884" s="999"/>
      <c r="C1884" s="474"/>
      <c r="D1884" s="474"/>
      <c r="E1884" s="474"/>
      <c r="F1884" s="474"/>
      <c r="G1884" s="696"/>
      <c r="H1884" s="474"/>
      <c r="I1884" s="696"/>
    </row>
    <row r="1885" spans="1:9" ht="12.75">
      <c r="A1885" s="998"/>
      <c r="B1885" s="999"/>
      <c r="C1885" s="474"/>
      <c r="D1885" s="474"/>
      <c r="E1885" s="474"/>
      <c r="F1885" s="474"/>
      <c r="G1885" s="696"/>
      <c r="H1885" s="474"/>
      <c r="I1885" s="696"/>
    </row>
    <row r="1886" spans="1:9" ht="12.75">
      <c r="A1886" s="998"/>
      <c r="B1886" s="999"/>
      <c r="C1886" s="474"/>
      <c r="D1886" s="474"/>
      <c r="E1886" s="474"/>
      <c r="F1886" s="474"/>
      <c r="G1886" s="696"/>
      <c r="H1886" s="474"/>
      <c r="I1886" s="696"/>
    </row>
    <row r="1887" spans="1:9" ht="12.75">
      <c r="A1887" s="998"/>
      <c r="B1887" s="999"/>
      <c r="C1887" s="474"/>
      <c r="D1887" s="474"/>
      <c r="E1887" s="474"/>
      <c r="F1887" s="474"/>
      <c r="G1887" s="696"/>
      <c r="H1887" s="474"/>
      <c r="I1887" s="696"/>
    </row>
    <row r="1888" spans="1:9" ht="12.75">
      <c r="A1888" s="998"/>
      <c r="B1888" s="999"/>
      <c r="C1888" s="474"/>
      <c r="D1888" s="474"/>
      <c r="E1888" s="474"/>
      <c r="F1888" s="474"/>
      <c r="G1888" s="696"/>
      <c r="H1888" s="474"/>
      <c r="I1888" s="696"/>
    </row>
    <row r="1889" spans="1:9" ht="12.75">
      <c r="A1889" s="998"/>
      <c r="B1889" s="999"/>
      <c r="C1889" s="474"/>
      <c r="D1889" s="474"/>
      <c r="E1889" s="474"/>
      <c r="F1889" s="474"/>
      <c r="G1889" s="696"/>
      <c r="H1889" s="474"/>
      <c r="I1889" s="696"/>
    </row>
    <row r="1890" spans="1:9" ht="12.75">
      <c r="A1890" s="998"/>
      <c r="B1890" s="999"/>
      <c r="C1890" s="474"/>
      <c r="D1890" s="474"/>
      <c r="E1890" s="474"/>
      <c r="F1890" s="474"/>
      <c r="G1890" s="696"/>
      <c r="H1890" s="474"/>
      <c r="I1890" s="696"/>
    </row>
    <row r="1891" spans="1:9" ht="12.75">
      <c r="A1891" s="998"/>
      <c r="B1891" s="999"/>
      <c r="C1891" s="474"/>
      <c r="D1891" s="474"/>
      <c r="E1891" s="474"/>
      <c r="F1891" s="474"/>
      <c r="G1891" s="696"/>
      <c r="H1891" s="474"/>
      <c r="I1891" s="696"/>
    </row>
    <row r="1892" spans="1:9" ht="12.75">
      <c r="A1892" s="998"/>
      <c r="B1892" s="999"/>
      <c r="C1892" s="474"/>
      <c r="D1892" s="474"/>
      <c r="E1892" s="474"/>
      <c r="F1892" s="474"/>
      <c r="G1892" s="696"/>
      <c r="H1892" s="474"/>
      <c r="I1892" s="696"/>
    </row>
    <row r="1893" spans="1:9" ht="12.75">
      <c r="A1893" s="998"/>
      <c r="B1893" s="999"/>
      <c r="C1893" s="474"/>
      <c r="D1893" s="474"/>
      <c r="E1893" s="474"/>
      <c r="F1893" s="474"/>
      <c r="G1893" s="696"/>
      <c r="H1893" s="474"/>
      <c r="I1893" s="696"/>
    </row>
    <row r="1894" spans="1:9" ht="12.75">
      <c r="A1894" s="998"/>
      <c r="B1894" s="999"/>
      <c r="C1894" s="474"/>
      <c r="D1894" s="474"/>
      <c r="E1894" s="474"/>
      <c r="F1894" s="474"/>
      <c r="G1894" s="696"/>
      <c r="H1894" s="474"/>
      <c r="I1894" s="696"/>
    </row>
    <row r="1895" spans="1:9" ht="12.75">
      <c r="A1895" s="998"/>
      <c r="B1895" s="999"/>
      <c r="C1895" s="474"/>
      <c r="D1895" s="474"/>
      <c r="E1895" s="474"/>
      <c r="F1895" s="474"/>
      <c r="G1895" s="696"/>
      <c r="H1895" s="474"/>
      <c r="I1895" s="696"/>
    </row>
    <row r="1896" spans="1:9" ht="12.75">
      <c r="A1896" s="998"/>
      <c r="B1896" s="999"/>
      <c r="C1896" s="474"/>
      <c r="D1896" s="474"/>
      <c r="E1896" s="474"/>
      <c r="F1896" s="474"/>
      <c r="G1896" s="696"/>
      <c r="H1896" s="474"/>
      <c r="I1896" s="696"/>
    </row>
    <row r="1897" spans="1:9" ht="12.75">
      <c r="A1897" s="998"/>
      <c r="B1897" s="999"/>
      <c r="C1897" s="474"/>
      <c r="D1897" s="474"/>
      <c r="E1897" s="474"/>
      <c r="F1897" s="474"/>
      <c r="G1897" s="696"/>
      <c r="H1897" s="474"/>
      <c r="I1897" s="696"/>
    </row>
    <row r="1898" spans="1:9" ht="12.75">
      <c r="A1898" s="998"/>
      <c r="B1898" s="999"/>
      <c r="C1898" s="474"/>
      <c r="D1898" s="474"/>
      <c r="E1898" s="474"/>
      <c r="F1898" s="474"/>
      <c r="G1898" s="696"/>
      <c r="H1898" s="474"/>
      <c r="I1898" s="696"/>
    </row>
    <row r="1899" spans="1:9" ht="12.75">
      <c r="A1899" s="998"/>
      <c r="B1899" s="999"/>
      <c r="C1899" s="474"/>
      <c r="D1899" s="474"/>
      <c r="E1899" s="474"/>
      <c r="F1899" s="474"/>
      <c r="G1899" s="696"/>
      <c r="H1899" s="474"/>
      <c r="I1899" s="696"/>
    </row>
    <row r="1900" spans="1:9" ht="12.75">
      <c r="A1900" s="998"/>
      <c r="B1900" s="999"/>
      <c r="C1900" s="474"/>
      <c r="D1900" s="474"/>
      <c r="E1900" s="474"/>
      <c r="F1900" s="474"/>
      <c r="G1900" s="696"/>
      <c r="H1900" s="474"/>
      <c r="I1900" s="696"/>
    </row>
    <row r="1901" spans="1:9" ht="12.75">
      <c r="A1901" s="998"/>
      <c r="B1901" s="999"/>
      <c r="C1901" s="474"/>
      <c r="D1901" s="474"/>
      <c r="E1901" s="474"/>
      <c r="F1901" s="474"/>
      <c r="G1901" s="696"/>
      <c r="H1901" s="474"/>
      <c r="I1901" s="696"/>
    </row>
    <row r="1902" spans="1:9" ht="12.75">
      <c r="A1902" s="998"/>
      <c r="B1902" s="999"/>
      <c r="C1902" s="474"/>
      <c r="D1902" s="474"/>
      <c r="E1902" s="474"/>
      <c r="F1902" s="474"/>
      <c r="G1902" s="696"/>
      <c r="H1902" s="474"/>
      <c r="I1902" s="696"/>
    </row>
    <row r="1903" spans="1:9" ht="12.75">
      <c r="A1903" s="998"/>
      <c r="B1903" s="999"/>
      <c r="C1903" s="474"/>
      <c r="D1903" s="474"/>
      <c r="E1903" s="474"/>
      <c r="F1903" s="474"/>
      <c r="G1903" s="696"/>
      <c r="H1903" s="474"/>
      <c r="I1903" s="696"/>
    </row>
    <row r="1904" spans="1:9" ht="12.75">
      <c r="A1904" s="998"/>
      <c r="B1904" s="999"/>
      <c r="C1904" s="474"/>
      <c r="D1904" s="474"/>
      <c r="E1904" s="474"/>
      <c r="F1904" s="474"/>
      <c r="G1904" s="696"/>
      <c r="H1904" s="474"/>
      <c r="I1904" s="696"/>
    </row>
    <row r="1905" spans="1:9" ht="12.75">
      <c r="A1905" s="998"/>
      <c r="B1905" s="999"/>
      <c r="C1905" s="474"/>
      <c r="D1905" s="474"/>
      <c r="E1905" s="474"/>
      <c r="F1905" s="474"/>
      <c r="G1905" s="696"/>
      <c r="H1905" s="474"/>
      <c r="I1905" s="696"/>
    </row>
    <row r="1906" spans="1:9" ht="12.75">
      <c r="A1906" s="998"/>
      <c r="B1906" s="999"/>
      <c r="C1906" s="474"/>
      <c r="D1906" s="474"/>
      <c r="E1906" s="474"/>
      <c r="F1906" s="474"/>
      <c r="G1906" s="696"/>
      <c r="H1906" s="474"/>
      <c r="I1906" s="696"/>
    </row>
    <row r="1907" spans="1:9" ht="12.75">
      <c r="A1907" s="998"/>
      <c r="B1907" s="999"/>
      <c r="C1907" s="474"/>
      <c r="D1907" s="474"/>
      <c r="E1907" s="474"/>
      <c r="F1907" s="474"/>
      <c r="G1907" s="696"/>
      <c r="H1907" s="474"/>
      <c r="I1907" s="696"/>
    </row>
    <row r="1908" spans="1:9" ht="12.75">
      <c r="A1908" s="998"/>
      <c r="B1908" s="999"/>
      <c r="C1908" s="474"/>
      <c r="D1908" s="474"/>
      <c r="E1908" s="474"/>
      <c r="F1908" s="474"/>
      <c r="G1908" s="696"/>
      <c r="H1908" s="474"/>
      <c r="I1908" s="696"/>
    </row>
    <row r="1909" spans="1:9" ht="12.75">
      <c r="A1909" s="998"/>
      <c r="B1909" s="999"/>
      <c r="C1909" s="474"/>
      <c r="D1909" s="474"/>
      <c r="E1909" s="474"/>
      <c r="F1909" s="474"/>
      <c r="G1909" s="696"/>
      <c r="H1909" s="474"/>
      <c r="I1909" s="696"/>
    </row>
    <row r="1910" spans="1:9" ht="12.75">
      <c r="A1910" s="998"/>
      <c r="B1910" s="999"/>
      <c r="C1910" s="474"/>
      <c r="D1910" s="474"/>
      <c r="E1910" s="474"/>
      <c r="F1910" s="474"/>
      <c r="G1910" s="696"/>
      <c r="H1910" s="474"/>
      <c r="I1910" s="696"/>
    </row>
    <row r="1911" spans="1:9" ht="12.75">
      <c r="A1911" s="998"/>
      <c r="B1911" s="999"/>
      <c r="C1911" s="474"/>
      <c r="D1911" s="474"/>
      <c r="E1911" s="474"/>
      <c r="F1911" s="474"/>
      <c r="G1911" s="696"/>
      <c r="H1911" s="474"/>
      <c r="I1911" s="696"/>
    </row>
    <row r="1912" spans="1:9" ht="12.75">
      <c r="A1912" s="998"/>
      <c r="B1912" s="999"/>
      <c r="C1912" s="474"/>
      <c r="D1912" s="474"/>
      <c r="E1912" s="474"/>
      <c r="F1912" s="474"/>
      <c r="G1912" s="696"/>
      <c r="H1912" s="474"/>
      <c r="I1912" s="696"/>
    </row>
    <row r="1913" spans="1:9" ht="12.75">
      <c r="A1913" s="998"/>
      <c r="B1913" s="999"/>
      <c r="C1913" s="474"/>
      <c r="D1913" s="474"/>
      <c r="E1913" s="474"/>
      <c r="F1913" s="474"/>
      <c r="G1913" s="696"/>
      <c r="H1913" s="474"/>
      <c r="I1913" s="696"/>
    </row>
    <row r="1914" spans="1:9" ht="12.75">
      <c r="A1914" s="998"/>
      <c r="B1914" s="999"/>
      <c r="C1914" s="474"/>
      <c r="D1914" s="474"/>
      <c r="E1914" s="474"/>
      <c r="F1914" s="474"/>
      <c r="G1914" s="696"/>
      <c r="H1914" s="474"/>
      <c r="I1914" s="696"/>
    </row>
    <row r="1915" spans="1:9" ht="12.75">
      <c r="A1915" s="998"/>
      <c r="B1915" s="999"/>
      <c r="C1915" s="474"/>
      <c r="D1915" s="474"/>
      <c r="E1915" s="474"/>
      <c r="F1915" s="474"/>
      <c r="G1915" s="696"/>
      <c r="H1915" s="474"/>
      <c r="I1915" s="696"/>
    </row>
    <row r="1916" spans="1:9" ht="12.75">
      <c r="A1916" s="998"/>
      <c r="B1916" s="999"/>
      <c r="C1916" s="474"/>
      <c r="D1916" s="474"/>
      <c r="E1916" s="474"/>
      <c r="F1916" s="474"/>
      <c r="G1916" s="696"/>
      <c r="H1916" s="474"/>
      <c r="I1916" s="696"/>
    </row>
    <row r="1917" spans="1:9" ht="12.75">
      <c r="A1917" s="998"/>
      <c r="B1917" s="999"/>
      <c r="C1917" s="474"/>
      <c r="D1917" s="474"/>
      <c r="E1917" s="474"/>
      <c r="F1917" s="474"/>
      <c r="G1917" s="696"/>
      <c r="H1917" s="474"/>
      <c r="I1917" s="696"/>
    </row>
    <row r="1918" spans="1:9" ht="12.75">
      <c r="A1918" s="998"/>
      <c r="B1918" s="999"/>
      <c r="C1918" s="474"/>
      <c r="D1918" s="474"/>
      <c r="E1918" s="474"/>
      <c r="F1918" s="474"/>
      <c r="G1918" s="696"/>
      <c r="H1918" s="474"/>
      <c r="I1918" s="696"/>
    </row>
    <row r="1919" spans="1:9" ht="12.75">
      <c r="A1919" s="998"/>
      <c r="B1919" s="999"/>
      <c r="C1919" s="474"/>
      <c r="D1919" s="474"/>
      <c r="E1919" s="474"/>
      <c r="F1919" s="474"/>
      <c r="G1919" s="696"/>
      <c r="H1919" s="474"/>
      <c r="I1919" s="696"/>
    </row>
    <row r="1920" spans="1:9" ht="12.75">
      <c r="A1920" s="998"/>
      <c r="B1920" s="999"/>
      <c r="C1920" s="474"/>
      <c r="D1920" s="474"/>
      <c r="E1920" s="474"/>
      <c r="F1920" s="474"/>
      <c r="G1920" s="696"/>
      <c r="H1920" s="474"/>
      <c r="I1920" s="696"/>
    </row>
    <row r="1921" spans="1:9" ht="12.75">
      <c r="A1921" s="998"/>
      <c r="B1921" s="999"/>
      <c r="C1921" s="474"/>
      <c r="D1921" s="474"/>
      <c r="E1921" s="474"/>
      <c r="F1921" s="474"/>
      <c r="G1921" s="696"/>
      <c r="H1921" s="474"/>
      <c r="I1921" s="696"/>
    </row>
    <row r="1922" spans="1:9" ht="12.75">
      <c r="A1922" s="998"/>
      <c r="B1922" s="999"/>
      <c r="C1922" s="474"/>
      <c r="D1922" s="474"/>
      <c r="E1922" s="474"/>
      <c r="F1922" s="474"/>
      <c r="G1922" s="696"/>
      <c r="H1922" s="474"/>
      <c r="I1922" s="696"/>
    </row>
    <row r="1923" spans="1:9" ht="12.75">
      <c r="A1923" s="998"/>
      <c r="B1923" s="999"/>
      <c r="C1923" s="474"/>
      <c r="D1923" s="474"/>
      <c r="E1923" s="474"/>
      <c r="F1923" s="474"/>
      <c r="G1923" s="696"/>
      <c r="H1923" s="474"/>
      <c r="I1923" s="696"/>
    </row>
    <row r="1924" spans="1:9" ht="12.75">
      <c r="A1924" s="998"/>
      <c r="B1924" s="999"/>
      <c r="C1924" s="474"/>
      <c r="D1924" s="474"/>
      <c r="E1924" s="474"/>
      <c r="F1924" s="474"/>
      <c r="G1924" s="696"/>
      <c r="H1924" s="474"/>
      <c r="I1924" s="696"/>
    </row>
    <row r="1925" spans="1:9" ht="12.75">
      <c r="A1925" s="998"/>
      <c r="B1925" s="999"/>
      <c r="C1925" s="474"/>
      <c r="D1925" s="474"/>
      <c r="E1925" s="474"/>
      <c r="F1925" s="474"/>
      <c r="G1925" s="696"/>
      <c r="H1925" s="474"/>
      <c r="I1925" s="696"/>
    </row>
    <row r="1926" spans="1:9" ht="12.75">
      <c r="A1926" s="998"/>
      <c r="B1926" s="999"/>
      <c r="C1926" s="474"/>
      <c r="D1926" s="474"/>
      <c r="E1926" s="474"/>
      <c r="F1926" s="474"/>
      <c r="G1926" s="696"/>
      <c r="H1926" s="474"/>
      <c r="I1926" s="696"/>
    </row>
    <row r="1927" spans="1:9" ht="12.75">
      <c r="A1927" s="998"/>
      <c r="B1927" s="999"/>
      <c r="C1927" s="474"/>
      <c r="D1927" s="474"/>
      <c r="E1927" s="474"/>
      <c r="F1927" s="474"/>
      <c r="G1927" s="696"/>
      <c r="H1927" s="474"/>
      <c r="I1927" s="696"/>
    </row>
    <row r="1928" spans="1:9" ht="12.75">
      <c r="A1928" s="998"/>
      <c r="B1928" s="999"/>
      <c r="C1928" s="474"/>
      <c r="D1928" s="474"/>
      <c r="E1928" s="474"/>
      <c r="F1928" s="474"/>
      <c r="G1928" s="696"/>
      <c r="H1928" s="474"/>
      <c r="I1928" s="696"/>
    </row>
    <row r="1929" spans="1:9" ht="12.75">
      <c r="A1929" s="998"/>
      <c r="B1929" s="999"/>
      <c r="C1929" s="474"/>
      <c r="D1929" s="474"/>
      <c r="E1929" s="474"/>
      <c r="F1929" s="474"/>
      <c r="G1929" s="696"/>
      <c r="H1929" s="474"/>
      <c r="I1929" s="696"/>
    </row>
    <row r="1930" spans="1:9" ht="12.75">
      <c r="A1930" s="998"/>
      <c r="B1930" s="999"/>
      <c r="C1930" s="474"/>
      <c r="D1930" s="474"/>
      <c r="E1930" s="474"/>
      <c r="F1930" s="474"/>
      <c r="G1930" s="696"/>
      <c r="H1930" s="474"/>
      <c r="I1930" s="696"/>
    </row>
    <row r="1931" spans="1:9" ht="12.75">
      <c r="A1931" s="998"/>
      <c r="B1931" s="999"/>
      <c r="C1931" s="474"/>
      <c r="D1931" s="474"/>
      <c r="E1931" s="474"/>
      <c r="F1931" s="474"/>
      <c r="G1931" s="696"/>
      <c r="H1931" s="474"/>
      <c r="I1931" s="696"/>
    </row>
    <row r="1932" spans="1:9" ht="12.75">
      <c r="A1932" s="998"/>
      <c r="B1932" s="999"/>
      <c r="C1932" s="474"/>
      <c r="D1932" s="474"/>
      <c r="E1932" s="474"/>
      <c r="F1932" s="474"/>
      <c r="G1932" s="696"/>
      <c r="H1932" s="474"/>
      <c r="I1932" s="696"/>
    </row>
    <row r="1933" spans="1:9" ht="12.75">
      <c r="A1933" s="998"/>
      <c r="B1933" s="999"/>
      <c r="C1933" s="474"/>
      <c r="D1933" s="474"/>
      <c r="E1933" s="474"/>
      <c r="F1933" s="474"/>
      <c r="G1933" s="696"/>
      <c r="H1933" s="474"/>
      <c r="I1933" s="696"/>
    </row>
    <row r="1934" spans="1:9" ht="12.75">
      <c r="A1934" s="998"/>
      <c r="B1934" s="999"/>
      <c r="C1934" s="474"/>
      <c r="D1934" s="474"/>
      <c r="E1934" s="474"/>
      <c r="F1934" s="474"/>
      <c r="G1934" s="696"/>
      <c r="H1934" s="474"/>
      <c r="I1934" s="696"/>
    </row>
    <row r="1935" spans="1:9" ht="12.75">
      <c r="A1935" s="998"/>
      <c r="B1935" s="999"/>
      <c r="C1935" s="474"/>
      <c r="D1935" s="474"/>
      <c r="E1935" s="474"/>
      <c r="F1935" s="474"/>
      <c r="G1935" s="696"/>
      <c r="H1935" s="474"/>
      <c r="I1935" s="696"/>
    </row>
    <row r="1936" spans="1:9" ht="12.75">
      <c r="A1936" s="998"/>
      <c r="B1936" s="999"/>
      <c r="C1936" s="474"/>
      <c r="D1936" s="474"/>
      <c r="E1936" s="474"/>
      <c r="F1936" s="474"/>
      <c r="G1936" s="696"/>
      <c r="H1936" s="474"/>
      <c r="I1936" s="696"/>
    </row>
    <row r="1937" spans="1:9" ht="12.75">
      <c r="A1937" s="998"/>
      <c r="B1937" s="999"/>
      <c r="C1937" s="474"/>
      <c r="D1937" s="474"/>
      <c r="E1937" s="474"/>
      <c r="F1937" s="474"/>
      <c r="G1937" s="696"/>
      <c r="H1937" s="474"/>
      <c r="I1937" s="696"/>
    </row>
    <row r="1938" spans="1:9" ht="12.75">
      <c r="A1938" s="998"/>
      <c r="B1938" s="999"/>
      <c r="C1938" s="474"/>
      <c r="D1938" s="474"/>
      <c r="E1938" s="474"/>
      <c r="F1938" s="474"/>
      <c r="G1938" s="696"/>
      <c r="H1938" s="474"/>
      <c r="I1938" s="696"/>
    </row>
    <row r="1939" spans="1:9" ht="12.75">
      <c r="A1939" s="998"/>
      <c r="B1939" s="999"/>
      <c r="C1939" s="474"/>
      <c r="D1939" s="474"/>
      <c r="E1939" s="474"/>
      <c r="F1939" s="474"/>
      <c r="G1939" s="696"/>
      <c r="H1939" s="474"/>
      <c r="I1939" s="696"/>
    </row>
    <row r="1940" spans="1:9" ht="12.75">
      <c r="A1940" s="998"/>
      <c r="B1940" s="999"/>
      <c r="C1940" s="474"/>
      <c r="D1940" s="474"/>
      <c r="E1940" s="474"/>
      <c r="F1940" s="474"/>
      <c r="G1940" s="696"/>
      <c r="H1940" s="474"/>
      <c r="I1940" s="696"/>
    </row>
    <row r="1941" spans="1:9" ht="12.75">
      <c r="A1941" s="998"/>
      <c r="B1941" s="999"/>
      <c r="C1941" s="474"/>
      <c r="D1941" s="474"/>
      <c r="E1941" s="474"/>
      <c r="F1941" s="474"/>
      <c r="G1941" s="696"/>
      <c r="H1941" s="474"/>
      <c r="I1941" s="696"/>
    </row>
    <row r="1942" spans="1:9" ht="12.75">
      <c r="A1942" s="998"/>
      <c r="B1942" s="999"/>
      <c r="C1942" s="474"/>
      <c r="D1942" s="474"/>
      <c r="E1942" s="474"/>
      <c r="F1942" s="474"/>
      <c r="G1942" s="696"/>
      <c r="H1942" s="474"/>
      <c r="I1942" s="696"/>
    </row>
    <row r="1943" spans="1:9" ht="12.75">
      <c r="A1943" s="998"/>
      <c r="B1943" s="999"/>
      <c r="C1943" s="474"/>
      <c r="D1943" s="474"/>
      <c r="E1943" s="474"/>
      <c r="F1943" s="474"/>
      <c r="G1943" s="696"/>
      <c r="H1943" s="474"/>
      <c r="I1943" s="696"/>
    </row>
    <row r="1944" spans="1:9" ht="12.75">
      <c r="A1944" s="998"/>
      <c r="B1944" s="999"/>
      <c r="C1944" s="474"/>
      <c r="D1944" s="474"/>
      <c r="E1944" s="474"/>
      <c r="F1944" s="474"/>
      <c r="G1944" s="696"/>
      <c r="H1944" s="474"/>
      <c r="I1944" s="696"/>
    </row>
    <row r="1945" spans="1:9" ht="12.75">
      <c r="A1945" s="998"/>
      <c r="B1945" s="999"/>
      <c r="C1945" s="474"/>
      <c r="D1945" s="474"/>
      <c r="E1945" s="474"/>
      <c r="F1945" s="474"/>
      <c r="G1945" s="696"/>
      <c r="H1945" s="474"/>
      <c r="I1945" s="696"/>
    </row>
    <row r="1946" spans="1:9" ht="12.75">
      <c r="A1946" s="998"/>
      <c r="B1946" s="999"/>
      <c r="C1946" s="474"/>
      <c r="D1946" s="474"/>
      <c r="E1946" s="474"/>
      <c r="F1946" s="474"/>
      <c r="G1946" s="696"/>
      <c r="H1946" s="474"/>
      <c r="I1946" s="696"/>
    </row>
    <row r="1947" spans="1:9" ht="12.75">
      <c r="A1947" s="998"/>
      <c r="B1947" s="999"/>
      <c r="C1947" s="474"/>
      <c r="D1947" s="474"/>
      <c r="E1947" s="474"/>
      <c r="F1947" s="474"/>
      <c r="G1947" s="696"/>
      <c r="H1947" s="474"/>
      <c r="I1947" s="696"/>
    </row>
    <row r="1948" spans="1:9" ht="12.75">
      <c r="A1948" s="998"/>
      <c r="B1948" s="999"/>
      <c r="C1948" s="474"/>
      <c r="D1948" s="474"/>
      <c r="E1948" s="474"/>
      <c r="F1948" s="474"/>
      <c r="G1948" s="696"/>
      <c r="H1948" s="474"/>
      <c r="I1948" s="696"/>
    </row>
    <row r="1949" spans="1:9" ht="12.75">
      <c r="A1949" s="998"/>
      <c r="B1949" s="999"/>
      <c r="C1949" s="474"/>
      <c r="D1949" s="474"/>
      <c r="E1949" s="474"/>
      <c r="F1949" s="474"/>
      <c r="G1949" s="696"/>
      <c r="H1949" s="474"/>
      <c r="I1949" s="696"/>
    </row>
    <row r="1950" spans="1:9" ht="12.75">
      <c r="A1950" s="998"/>
      <c r="B1950" s="999"/>
      <c r="C1950" s="474"/>
      <c r="D1950" s="474"/>
      <c r="E1950" s="474"/>
      <c r="F1950" s="474"/>
      <c r="G1950" s="696"/>
      <c r="H1950" s="474"/>
      <c r="I1950" s="696"/>
    </row>
    <row r="1951" spans="1:9" ht="12.75">
      <c r="A1951" s="998"/>
      <c r="B1951" s="999"/>
      <c r="C1951" s="474"/>
      <c r="D1951" s="474"/>
      <c r="E1951" s="474"/>
      <c r="F1951" s="474"/>
      <c r="G1951" s="696"/>
      <c r="H1951" s="474"/>
      <c r="I1951" s="696"/>
    </row>
    <row r="1952" spans="1:9" ht="12.75">
      <c r="A1952" s="998"/>
      <c r="B1952" s="999"/>
      <c r="C1952" s="474"/>
      <c r="D1952" s="474"/>
      <c r="E1952" s="474"/>
      <c r="F1952" s="474"/>
      <c r="G1952" s="696"/>
      <c r="H1952" s="474"/>
      <c r="I1952" s="696"/>
    </row>
    <row r="1953" spans="1:9" ht="12.75">
      <c r="A1953" s="998"/>
      <c r="B1953" s="999"/>
      <c r="C1953" s="474"/>
      <c r="D1953" s="474"/>
      <c r="E1953" s="474"/>
      <c r="F1953" s="474"/>
      <c r="G1953" s="696"/>
      <c r="H1953" s="474"/>
      <c r="I1953" s="696"/>
    </row>
    <row r="1954" spans="1:9" ht="12.75">
      <c r="A1954" s="998"/>
      <c r="B1954" s="999"/>
      <c r="C1954" s="474"/>
      <c r="D1954" s="474"/>
      <c r="E1954" s="474"/>
      <c r="F1954" s="474"/>
      <c r="G1954" s="696"/>
      <c r="H1954" s="474"/>
      <c r="I1954" s="696"/>
    </row>
    <row r="1955" spans="1:9" ht="12.75">
      <c r="A1955" s="998"/>
      <c r="B1955" s="999"/>
      <c r="C1955" s="474"/>
      <c r="D1955" s="474"/>
      <c r="E1955" s="474"/>
      <c r="F1955" s="474"/>
      <c r="G1955" s="696"/>
      <c r="H1955" s="474"/>
      <c r="I1955" s="696"/>
    </row>
    <row r="1956" spans="1:9" ht="12.75">
      <c r="A1956" s="998"/>
      <c r="B1956" s="999"/>
      <c r="C1956" s="474"/>
      <c r="D1956" s="474"/>
      <c r="E1956" s="474"/>
      <c r="F1956" s="474"/>
      <c r="G1956" s="696"/>
      <c r="H1956" s="474"/>
      <c r="I1956" s="696"/>
    </row>
    <row r="1957" spans="1:9" ht="12.75">
      <c r="A1957" s="998"/>
      <c r="B1957" s="999"/>
      <c r="C1957" s="474"/>
      <c r="D1957" s="474"/>
      <c r="E1957" s="474"/>
      <c r="F1957" s="474"/>
      <c r="G1957" s="696"/>
      <c r="H1957" s="474"/>
      <c r="I1957" s="696"/>
    </row>
    <row r="1958" spans="1:9" ht="12.75">
      <c r="A1958" s="998"/>
      <c r="B1958" s="999"/>
      <c r="C1958" s="474"/>
      <c r="D1958" s="474"/>
      <c r="E1958" s="474"/>
      <c r="F1958" s="474"/>
      <c r="G1958" s="696"/>
      <c r="H1958" s="474"/>
      <c r="I1958" s="696"/>
    </row>
    <row r="1959" spans="1:9" ht="12.75">
      <c r="A1959" s="998"/>
      <c r="B1959" s="999"/>
      <c r="C1959" s="474"/>
      <c r="D1959" s="474"/>
      <c r="E1959" s="474"/>
      <c r="F1959" s="474"/>
      <c r="G1959" s="696"/>
      <c r="H1959" s="474"/>
      <c r="I1959" s="696"/>
    </row>
    <row r="1960" spans="1:9" ht="12.75">
      <c r="A1960" s="998"/>
      <c r="B1960" s="999"/>
      <c r="C1960" s="474"/>
      <c r="D1960" s="474"/>
      <c r="E1960" s="474"/>
      <c r="F1960" s="474"/>
      <c r="G1960" s="696"/>
      <c r="H1960" s="474"/>
      <c r="I1960" s="696"/>
    </row>
    <row r="1961" spans="1:9" ht="12.75">
      <c r="A1961" s="998"/>
      <c r="B1961" s="999"/>
      <c r="C1961" s="474"/>
      <c r="D1961" s="474"/>
      <c r="E1961" s="474"/>
      <c r="F1961" s="474"/>
      <c r="G1961" s="696"/>
      <c r="H1961" s="474"/>
      <c r="I1961" s="696"/>
    </row>
    <row r="1962" spans="1:9" ht="12.75">
      <c r="A1962" s="998"/>
      <c r="B1962" s="999"/>
      <c r="C1962" s="474"/>
      <c r="D1962" s="474"/>
      <c r="E1962" s="474"/>
      <c r="F1962" s="474"/>
      <c r="G1962" s="696"/>
      <c r="H1962" s="474"/>
      <c r="I1962" s="696"/>
    </row>
    <row r="1963" spans="1:9" ht="12.75">
      <c r="A1963" s="998"/>
      <c r="B1963" s="999"/>
      <c r="C1963" s="474"/>
      <c r="D1963" s="474"/>
      <c r="E1963" s="474"/>
      <c r="F1963" s="474"/>
      <c r="G1963" s="696"/>
      <c r="H1963" s="474"/>
      <c r="I1963" s="696"/>
    </row>
    <row r="1964" spans="1:9" ht="12.75">
      <c r="A1964" s="998"/>
      <c r="B1964" s="999"/>
      <c r="C1964" s="474"/>
      <c r="D1964" s="474"/>
      <c r="E1964" s="474"/>
      <c r="F1964" s="474"/>
      <c r="G1964" s="696"/>
      <c r="H1964" s="474"/>
      <c r="I1964" s="696"/>
    </row>
    <row r="1965" spans="1:9" ht="12.75">
      <c r="A1965" s="998"/>
      <c r="B1965" s="999"/>
      <c r="C1965" s="474"/>
      <c r="D1965" s="474"/>
      <c r="E1965" s="474"/>
      <c r="F1965" s="474"/>
      <c r="G1965" s="696"/>
      <c r="H1965" s="474"/>
      <c r="I1965" s="696"/>
    </row>
    <row r="1966" spans="1:9" ht="12.75">
      <c r="A1966" s="998"/>
      <c r="B1966" s="999"/>
      <c r="C1966" s="474"/>
      <c r="D1966" s="474"/>
      <c r="E1966" s="474"/>
      <c r="F1966" s="474"/>
      <c r="G1966" s="696"/>
      <c r="H1966" s="474"/>
      <c r="I1966" s="696"/>
    </row>
    <row r="1967" spans="1:9" ht="12.75">
      <c r="A1967" s="998"/>
      <c r="B1967" s="999"/>
      <c r="C1967" s="474"/>
      <c r="D1967" s="474"/>
      <c r="E1967" s="474"/>
      <c r="F1967" s="474"/>
      <c r="G1967" s="696"/>
      <c r="H1967" s="474"/>
      <c r="I1967" s="696"/>
    </row>
    <row r="1968" spans="1:9" ht="12.75">
      <c r="A1968" s="998"/>
      <c r="B1968" s="999"/>
      <c r="C1968" s="474"/>
      <c r="D1968" s="474"/>
      <c r="E1968" s="474"/>
      <c r="F1968" s="474"/>
      <c r="G1968" s="696"/>
      <c r="H1968" s="474"/>
      <c r="I1968" s="696"/>
    </row>
    <row r="1969" spans="1:9" ht="12.75">
      <c r="A1969" s="998"/>
      <c r="B1969" s="999"/>
      <c r="C1969" s="474"/>
      <c r="D1969" s="474"/>
      <c r="E1969" s="474"/>
      <c r="F1969" s="474"/>
      <c r="G1969" s="696"/>
      <c r="H1969" s="474"/>
      <c r="I1969" s="696"/>
    </row>
    <row r="1970" spans="1:9" ht="12.75">
      <c r="A1970" s="998"/>
      <c r="B1970" s="999"/>
      <c r="C1970" s="474"/>
      <c r="D1970" s="474"/>
      <c r="E1970" s="474"/>
      <c r="F1970" s="474"/>
      <c r="G1970" s="696"/>
      <c r="H1970" s="474"/>
      <c r="I1970" s="696"/>
    </row>
    <row r="1971" spans="1:9" ht="12.75">
      <c r="A1971" s="998"/>
      <c r="B1971" s="999"/>
      <c r="C1971" s="474"/>
      <c r="D1971" s="474"/>
      <c r="E1971" s="474"/>
      <c r="F1971" s="474"/>
      <c r="G1971" s="696"/>
      <c r="H1971" s="474"/>
      <c r="I1971" s="696"/>
    </row>
    <row r="1972" spans="1:9" ht="12.75">
      <c r="A1972" s="998"/>
      <c r="B1972" s="999"/>
      <c r="C1972" s="474"/>
      <c r="D1972" s="474"/>
      <c r="E1972" s="474"/>
      <c r="F1972" s="474"/>
      <c r="G1972" s="696"/>
      <c r="H1972" s="474"/>
      <c r="I1972" s="696"/>
    </row>
    <row r="1973" spans="1:9" ht="12.75">
      <c r="A1973" s="998"/>
      <c r="B1973" s="999"/>
      <c r="C1973" s="474"/>
      <c r="D1973" s="474"/>
      <c r="E1973" s="474"/>
      <c r="F1973" s="474"/>
      <c r="G1973" s="696"/>
      <c r="H1973" s="474"/>
      <c r="I1973" s="696"/>
    </row>
    <row r="1974" spans="1:9" ht="12.75">
      <c r="A1974" s="998"/>
      <c r="B1974" s="999"/>
      <c r="C1974" s="474"/>
      <c r="D1974" s="474"/>
      <c r="E1974" s="474"/>
      <c r="F1974" s="474"/>
      <c r="G1974" s="696"/>
      <c r="H1974" s="474"/>
      <c r="I1974" s="696"/>
    </row>
    <row r="1975" spans="1:9" ht="12.75">
      <c r="A1975" s="998"/>
      <c r="B1975" s="999"/>
      <c r="C1975" s="474"/>
      <c r="D1975" s="474"/>
      <c r="E1975" s="474"/>
      <c r="F1975" s="474"/>
      <c r="G1975" s="696"/>
      <c r="H1975" s="474"/>
      <c r="I1975" s="696"/>
    </row>
    <row r="1976" spans="1:9" ht="12.75">
      <c r="A1976" s="998"/>
      <c r="B1976" s="999"/>
      <c r="C1976" s="474"/>
      <c r="D1976" s="474"/>
      <c r="E1976" s="474"/>
      <c r="F1976" s="474"/>
      <c r="G1976" s="696"/>
      <c r="H1976" s="474"/>
      <c r="I1976" s="696"/>
    </row>
    <row r="1977" spans="1:9" ht="12.75">
      <c r="A1977" s="998"/>
      <c r="B1977" s="999"/>
      <c r="C1977" s="474"/>
      <c r="D1977" s="474"/>
      <c r="E1977" s="474"/>
      <c r="F1977" s="474"/>
      <c r="G1977" s="696"/>
      <c r="H1977" s="474"/>
      <c r="I1977" s="696"/>
    </row>
    <row r="1978" spans="1:9" ht="12.75">
      <c r="A1978" s="998"/>
      <c r="B1978" s="999"/>
      <c r="C1978" s="474"/>
      <c r="D1978" s="474"/>
      <c r="E1978" s="474"/>
      <c r="F1978" s="474"/>
      <c r="G1978" s="696"/>
      <c r="H1978" s="474"/>
      <c r="I1978" s="696"/>
    </row>
    <row r="1979" spans="1:9" ht="12.75">
      <c r="A1979" s="998"/>
      <c r="B1979" s="999"/>
      <c r="C1979" s="474"/>
      <c r="D1979" s="474"/>
      <c r="E1979" s="474"/>
      <c r="F1979" s="474"/>
      <c r="G1979" s="696"/>
      <c r="H1979" s="474"/>
      <c r="I1979" s="696"/>
    </row>
    <row r="1980" spans="1:9" ht="12.75">
      <c r="A1980" s="998"/>
      <c r="B1980" s="999"/>
      <c r="C1980" s="474"/>
      <c r="D1980" s="474"/>
      <c r="E1980" s="474"/>
      <c r="F1980" s="474"/>
      <c r="G1980" s="696"/>
      <c r="H1980" s="474"/>
      <c r="I1980" s="696"/>
    </row>
    <row r="1981" spans="1:9" ht="12.75">
      <c r="A1981" s="998"/>
      <c r="B1981" s="999"/>
      <c r="C1981" s="474"/>
      <c r="D1981" s="474"/>
      <c r="E1981" s="474"/>
      <c r="F1981" s="474"/>
      <c r="G1981" s="696"/>
      <c r="H1981" s="474"/>
      <c r="I1981" s="696"/>
    </row>
    <row r="1982" spans="1:9" ht="12.75">
      <c r="A1982" s="998"/>
      <c r="B1982" s="999"/>
      <c r="C1982" s="474"/>
      <c r="D1982" s="474"/>
      <c r="E1982" s="474"/>
      <c r="F1982" s="474"/>
      <c r="G1982" s="696"/>
      <c r="H1982" s="474"/>
      <c r="I1982" s="696"/>
    </row>
    <row r="1983" spans="1:9" ht="12.75">
      <c r="A1983" s="998"/>
      <c r="B1983" s="999"/>
      <c r="C1983" s="474"/>
      <c r="D1983" s="474"/>
      <c r="E1983" s="474"/>
      <c r="F1983" s="474"/>
      <c r="G1983" s="696"/>
      <c r="H1983" s="474"/>
      <c r="I1983" s="696"/>
    </row>
    <row r="1984" spans="1:9" ht="12.75">
      <c r="A1984" s="998"/>
      <c r="B1984" s="999"/>
      <c r="C1984" s="474"/>
      <c r="D1984" s="474"/>
      <c r="E1984" s="474"/>
      <c r="F1984" s="474"/>
      <c r="G1984" s="696"/>
      <c r="H1984" s="474"/>
      <c r="I1984" s="696"/>
    </row>
    <row r="1985" spans="1:9" ht="12.75">
      <c r="A1985" s="998"/>
      <c r="B1985" s="999"/>
      <c r="C1985" s="474"/>
      <c r="D1985" s="474"/>
      <c r="E1985" s="474"/>
      <c r="F1985" s="474"/>
      <c r="G1985" s="696"/>
      <c r="H1985" s="474"/>
      <c r="I1985" s="696"/>
    </row>
    <row r="1986" spans="1:9" ht="12.75">
      <c r="A1986" s="998"/>
      <c r="B1986" s="999"/>
      <c r="C1986" s="474"/>
      <c r="D1986" s="474"/>
      <c r="E1986" s="474"/>
      <c r="F1986" s="474"/>
      <c r="G1986" s="696"/>
      <c r="H1986" s="474"/>
      <c r="I1986" s="696"/>
    </row>
    <row r="1987" spans="1:9" ht="12.75">
      <c r="A1987" s="998"/>
      <c r="B1987" s="999"/>
      <c r="C1987" s="474"/>
      <c r="D1987" s="474"/>
      <c r="E1987" s="474"/>
      <c r="F1987" s="474"/>
      <c r="G1987" s="696"/>
      <c r="H1987" s="474"/>
      <c r="I1987" s="696"/>
    </row>
    <row r="1988" spans="1:9" ht="12.75">
      <c r="A1988" s="998"/>
      <c r="B1988" s="999"/>
      <c r="C1988" s="474"/>
      <c r="D1988" s="474"/>
      <c r="E1988" s="474"/>
      <c r="F1988" s="474"/>
      <c r="G1988" s="696"/>
      <c r="H1988" s="474"/>
      <c r="I1988" s="696"/>
    </row>
    <row r="1989" spans="1:9" ht="12.75">
      <c r="A1989" s="998"/>
      <c r="B1989" s="999"/>
      <c r="C1989" s="474"/>
      <c r="D1989" s="474"/>
      <c r="E1989" s="474"/>
      <c r="F1989" s="474"/>
      <c r="G1989" s="696"/>
      <c r="H1989" s="474"/>
      <c r="I1989" s="696"/>
    </row>
    <row r="1990" spans="1:9" ht="12.75">
      <c r="A1990" s="998"/>
      <c r="B1990" s="999"/>
      <c r="C1990" s="474"/>
      <c r="D1990" s="474"/>
      <c r="E1990" s="474"/>
      <c r="F1990" s="474"/>
      <c r="G1990" s="696"/>
      <c r="H1990" s="474"/>
      <c r="I1990" s="696"/>
    </row>
    <row r="1991" spans="1:9" ht="12.75">
      <c r="A1991" s="998"/>
      <c r="B1991" s="999"/>
      <c r="C1991" s="474"/>
      <c r="D1991" s="474"/>
      <c r="E1991" s="474"/>
      <c r="F1991" s="474"/>
      <c r="G1991" s="696"/>
      <c r="H1991" s="474"/>
      <c r="I1991" s="696"/>
    </row>
    <row r="1992" spans="1:9" ht="12.75">
      <c r="A1992" s="998"/>
      <c r="B1992" s="999"/>
      <c r="C1992" s="474"/>
      <c r="D1992" s="474"/>
      <c r="E1992" s="474"/>
      <c r="F1992" s="474"/>
      <c r="G1992" s="696"/>
      <c r="H1992" s="474"/>
      <c r="I1992" s="696"/>
    </row>
    <row r="1993" spans="1:9" ht="12.75">
      <c r="A1993" s="998"/>
      <c r="B1993" s="999"/>
      <c r="C1993" s="474"/>
      <c r="D1993" s="474"/>
      <c r="E1993" s="474"/>
      <c r="F1993" s="474"/>
      <c r="G1993" s="696"/>
      <c r="H1993" s="474"/>
      <c r="I1993" s="696"/>
    </row>
    <row r="1994" spans="1:9" ht="12.75">
      <c r="A1994" s="998"/>
      <c r="B1994" s="999"/>
      <c r="C1994" s="474"/>
      <c r="D1994" s="474"/>
      <c r="E1994" s="474"/>
      <c r="F1994" s="474"/>
      <c r="G1994" s="696"/>
      <c r="H1994" s="474"/>
      <c r="I1994" s="696"/>
    </row>
    <row r="1995" spans="1:9" ht="12.75">
      <c r="A1995" s="998"/>
      <c r="B1995" s="999"/>
      <c r="C1995" s="474"/>
      <c r="D1995" s="474"/>
      <c r="E1995" s="474"/>
      <c r="F1995" s="474"/>
      <c r="G1995" s="696"/>
      <c r="H1995" s="474"/>
      <c r="I1995" s="696"/>
    </row>
    <row r="1996" spans="1:9" ht="12.75">
      <c r="A1996" s="998"/>
      <c r="B1996" s="999"/>
      <c r="C1996" s="474"/>
      <c r="D1996" s="474"/>
      <c r="E1996" s="474"/>
      <c r="F1996" s="474"/>
      <c r="G1996" s="696"/>
      <c r="H1996" s="474"/>
      <c r="I1996" s="696"/>
    </row>
    <row r="1997" spans="1:9" ht="12.75">
      <c r="A1997" s="998"/>
      <c r="B1997" s="999"/>
      <c r="C1997" s="474"/>
      <c r="D1997" s="474"/>
      <c r="E1997" s="474"/>
      <c r="F1997" s="474"/>
      <c r="G1997" s="696"/>
      <c r="H1997" s="474"/>
      <c r="I1997" s="696"/>
    </row>
    <row r="1998" spans="1:9" ht="12.75">
      <c r="A1998" s="998"/>
      <c r="B1998" s="999"/>
      <c r="C1998" s="474"/>
      <c r="D1998" s="474"/>
      <c r="E1998" s="474"/>
      <c r="F1998" s="474"/>
      <c r="G1998" s="696"/>
      <c r="H1998" s="474"/>
      <c r="I1998" s="696"/>
    </row>
    <row r="1999" spans="1:9" ht="12.75">
      <c r="A1999" s="998"/>
      <c r="B1999" s="999"/>
      <c r="C1999" s="474"/>
      <c r="D1999" s="474"/>
      <c r="E1999" s="474"/>
      <c r="F1999" s="474"/>
      <c r="G1999" s="696"/>
      <c r="H1999" s="474"/>
      <c r="I1999" s="696"/>
    </row>
    <row r="2000" spans="1:9" ht="12.75">
      <c r="A2000" s="998"/>
      <c r="B2000" s="999"/>
      <c r="C2000" s="474"/>
      <c r="D2000" s="474"/>
      <c r="E2000" s="474"/>
      <c r="F2000" s="474"/>
      <c r="G2000" s="696"/>
      <c r="H2000" s="474"/>
      <c r="I2000" s="696"/>
    </row>
    <row r="2001" spans="1:9" ht="12.75">
      <c r="A2001" s="998"/>
      <c r="B2001" s="999"/>
      <c r="C2001" s="474"/>
      <c r="D2001" s="474"/>
      <c r="E2001" s="474"/>
      <c r="F2001" s="474"/>
      <c r="G2001" s="696"/>
      <c r="H2001" s="474"/>
      <c r="I2001" s="696"/>
    </row>
    <row r="2002" spans="1:9" ht="12.75">
      <c r="A2002" s="998"/>
      <c r="B2002" s="999"/>
      <c r="C2002" s="474"/>
      <c r="D2002" s="474"/>
      <c r="E2002" s="474"/>
      <c r="F2002" s="474"/>
      <c r="G2002" s="696"/>
      <c r="H2002" s="474"/>
      <c r="I2002" s="696"/>
    </row>
    <row r="2003" spans="1:9" ht="12.75">
      <c r="A2003" s="998"/>
      <c r="B2003" s="999"/>
      <c r="C2003" s="474"/>
      <c r="D2003" s="474"/>
      <c r="E2003" s="474"/>
      <c r="F2003" s="474"/>
      <c r="G2003" s="696"/>
      <c r="H2003" s="474"/>
      <c r="I2003" s="696"/>
    </row>
    <row r="2004" spans="1:9" ht="12.75">
      <c r="A2004" s="998"/>
      <c r="B2004" s="999"/>
      <c r="C2004" s="474"/>
      <c r="D2004" s="474"/>
      <c r="E2004" s="474"/>
      <c r="F2004" s="474"/>
      <c r="G2004" s="696"/>
      <c r="H2004" s="474"/>
      <c r="I2004" s="696"/>
    </row>
    <row r="2005" spans="1:9" ht="12.75">
      <c r="A2005" s="998"/>
      <c r="B2005" s="999"/>
      <c r="C2005" s="474"/>
      <c r="D2005" s="474"/>
      <c r="E2005" s="474"/>
      <c r="F2005" s="474"/>
      <c r="G2005" s="696"/>
      <c r="H2005" s="474"/>
      <c r="I2005" s="696"/>
    </row>
    <row r="2006" spans="1:9" ht="12.75">
      <c r="A2006" s="998"/>
      <c r="B2006" s="999"/>
      <c r="C2006" s="474"/>
      <c r="D2006" s="474"/>
      <c r="E2006" s="474"/>
      <c r="F2006" s="474"/>
      <c r="G2006" s="696"/>
      <c r="H2006" s="474"/>
      <c r="I2006" s="696"/>
    </row>
    <row r="2007" spans="1:9" ht="12.75">
      <c r="A2007" s="998"/>
      <c r="B2007" s="999"/>
      <c r="C2007" s="474"/>
      <c r="D2007" s="474"/>
      <c r="E2007" s="474"/>
      <c r="F2007" s="474"/>
      <c r="G2007" s="696"/>
      <c r="H2007" s="474"/>
      <c r="I2007" s="696"/>
    </row>
    <row r="2008" spans="1:9" ht="12.75">
      <c r="A2008" s="998"/>
      <c r="B2008" s="999"/>
      <c r="C2008" s="474"/>
      <c r="D2008" s="474"/>
      <c r="E2008" s="474"/>
      <c r="F2008" s="474"/>
      <c r="G2008" s="696"/>
      <c r="H2008" s="474"/>
      <c r="I2008" s="696"/>
    </row>
    <row r="2009" spans="1:9" ht="12.75">
      <c r="A2009" s="998"/>
      <c r="B2009" s="999"/>
      <c r="C2009" s="474"/>
      <c r="D2009" s="474"/>
      <c r="E2009" s="474"/>
      <c r="F2009" s="474"/>
      <c r="G2009" s="696"/>
      <c r="H2009" s="474"/>
      <c r="I2009" s="696"/>
    </row>
    <row r="2010" spans="1:9" ht="12.75">
      <c r="A2010" s="998"/>
      <c r="B2010" s="999"/>
      <c r="C2010" s="474"/>
      <c r="D2010" s="474"/>
      <c r="E2010" s="474"/>
      <c r="F2010" s="474"/>
      <c r="G2010" s="696"/>
      <c r="H2010" s="474"/>
      <c r="I2010" s="696"/>
    </row>
    <row r="2011" spans="1:9" ht="12.75">
      <c r="A2011" s="998"/>
      <c r="B2011" s="999"/>
      <c r="C2011" s="474"/>
      <c r="D2011" s="474"/>
      <c r="E2011" s="474"/>
      <c r="F2011" s="474"/>
      <c r="G2011" s="696"/>
      <c r="H2011" s="474"/>
      <c r="I2011" s="696"/>
    </row>
    <row r="2012" spans="1:9" ht="12.75">
      <c r="A2012" s="998"/>
      <c r="B2012" s="999"/>
      <c r="C2012" s="474"/>
      <c r="D2012" s="474"/>
      <c r="E2012" s="474"/>
      <c r="F2012" s="474"/>
      <c r="G2012" s="696"/>
      <c r="H2012" s="474"/>
      <c r="I2012" s="696"/>
    </row>
    <row r="2013" spans="1:9" ht="12.75">
      <c r="A2013" s="998"/>
      <c r="B2013" s="999"/>
      <c r="C2013" s="474"/>
      <c r="D2013" s="474"/>
      <c r="E2013" s="474"/>
      <c r="F2013" s="474"/>
      <c r="G2013" s="696"/>
      <c r="H2013" s="474"/>
      <c r="I2013" s="696"/>
    </row>
    <row r="2014" spans="1:9" ht="12.75">
      <c r="A2014" s="998"/>
      <c r="B2014" s="999"/>
      <c r="C2014" s="474"/>
      <c r="D2014" s="474"/>
      <c r="E2014" s="474"/>
      <c r="F2014" s="474"/>
      <c r="G2014" s="696"/>
      <c r="H2014" s="474"/>
      <c r="I2014" s="696"/>
    </row>
    <row r="2015" spans="1:9" ht="12.75">
      <c r="A2015" s="998"/>
      <c r="B2015" s="999"/>
      <c r="C2015" s="474"/>
      <c r="D2015" s="474"/>
      <c r="E2015" s="474"/>
      <c r="F2015" s="474"/>
      <c r="G2015" s="696"/>
      <c r="H2015" s="474"/>
      <c r="I2015" s="696"/>
    </row>
    <row r="2016" spans="1:9" ht="12.75">
      <c r="A2016" s="998"/>
      <c r="B2016" s="999"/>
      <c r="C2016" s="474"/>
      <c r="D2016" s="474"/>
      <c r="E2016" s="474"/>
      <c r="F2016" s="474"/>
      <c r="G2016" s="696"/>
      <c r="H2016" s="474"/>
      <c r="I2016" s="696"/>
    </row>
    <row r="2017" spans="1:9" ht="12.75">
      <c r="A2017" s="998"/>
      <c r="B2017" s="999"/>
      <c r="C2017" s="474"/>
      <c r="D2017" s="474"/>
      <c r="E2017" s="474"/>
      <c r="F2017" s="474"/>
      <c r="G2017" s="696"/>
      <c r="H2017" s="474"/>
      <c r="I2017" s="696"/>
    </row>
    <row r="2018" spans="1:9" ht="12.75">
      <c r="A2018" s="998"/>
      <c r="B2018" s="999"/>
      <c r="C2018" s="474"/>
      <c r="D2018" s="474"/>
      <c r="E2018" s="474"/>
      <c r="F2018" s="474"/>
      <c r="G2018" s="696"/>
      <c r="H2018" s="474"/>
      <c r="I2018" s="696"/>
    </row>
    <row r="2019" spans="1:9" ht="12.75">
      <c r="A2019" s="998"/>
      <c r="B2019" s="999"/>
      <c r="C2019" s="474"/>
      <c r="D2019" s="474"/>
      <c r="E2019" s="474"/>
      <c r="F2019" s="474"/>
      <c r="G2019" s="696"/>
      <c r="H2019" s="474"/>
      <c r="I2019" s="696"/>
    </row>
    <row r="2020" spans="1:9" ht="12.75">
      <c r="A2020" s="998"/>
      <c r="B2020" s="999"/>
      <c r="C2020" s="474"/>
      <c r="D2020" s="474"/>
      <c r="E2020" s="474"/>
      <c r="F2020" s="474"/>
      <c r="G2020" s="696"/>
      <c r="H2020" s="474"/>
      <c r="I2020" s="696"/>
    </row>
    <row r="2021" spans="1:9" ht="12.75">
      <c r="A2021" s="998"/>
      <c r="B2021" s="999"/>
      <c r="C2021" s="474"/>
      <c r="D2021" s="474"/>
      <c r="E2021" s="474"/>
      <c r="F2021" s="474"/>
      <c r="G2021" s="696"/>
      <c r="H2021" s="474"/>
      <c r="I2021" s="696"/>
    </row>
    <row r="2022" spans="1:9" ht="12.75">
      <c r="A2022" s="998"/>
      <c r="B2022" s="999"/>
      <c r="C2022" s="474"/>
      <c r="D2022" s="474"/>
      <c r="E2022" s="474"/>
      <c r="F2022" s="474"/>
      <c r="G2022" s="696"/>
      <c r="H2022" s="474"/>
      <c r="I2022" s="696"/>
    </row>
    <row r="2023" spans="1:9" ht="12.75">
      <c r="A2023" s="998"/>
      <c r="B2023" s="999"/>
      <c r="C2023" s="474"/>
      <c r="D2023" s="474"/>
      <c r="E2023" s="474"/>
      <c r="F2023" s="474"/>
      <c r="G2023" s="696"/>
      <c r="H2023" s="474"/>
      <c r="I2023" s="696"/>
    </row>
    <row r="2024" spans="1:9" ht="12.75">
      <c r="A2024" s="998"/>
      <c r="B2024" s="999"/>
      <c r="C2024" s="474"/>
      <c r="D2024" s="474"/>
      <c r="E2024" s="474"/>
      <c r="F2024" s="474"/>
      <c r="G2024" s="696"/>
      <c r="H2024" s="474"/>
      <c r="I2024" s="696"/>
    </row>
    <row r="2025" spans="1:9" ht="12.75">
      <c r="A2025" s="998"/>
      <c r="B2025" s="999"/>
      <c r="C2025" s="474"/>
      <c r="D2025" s="474"/>
      <c r="E2025" s="474"/>
      <c r="F2025" s="474"/>
      <c r="G2025" s="696"/>
      <c r="H2025" s="474"/>
      <c r="I2025" s="696"/>
    </row>
    <row r="2026" spans="1:9" ht="12.75">
      <c r="A2026" s="998"/>
      <c r="B2026" s="999"/>
      <c r="C2026" s="474"/>
      <c r="D2026" s="474"/>
      <c r="E2026" s="474"/>
      <c r="F2026" s="474"/>
      <c r="G2026" s="696"/>
      <c r="H2026" s="474"/>
      <c r="I2026" s="696"/>
    </row>
    <row r="2027" spans="1:9" ht="12.75">
      <c r="A2027" s="998"/>
      <c r="B2027" s="999"/>
      <c r="C2027" s="474"/>
      <c r="D2027" s="474"/>
      <c r="E2027" s="474"/>
      <c r="F2027" s="474"/>
      <c r="G2027" s="696"/>
      <c r="H2027" s="474"/>
      <c r="I2027" s="696"/>
    </row>
    <row r="2028" spans="1:9" ht="12.75">
      <c r="A2028" s="998"/>
      <c r="B2028" s="999"/>
      <c r="C2028" s="474"/>
      <c r="D2028" s="474"/>
      <c r="E2028" s="474"/>
      <c r="F2028" s="474"/>
      <c r="G2028" s="696"/>
      <c r="H2028" s="474"/>
      <c r="I2028" s="696"/>
    </row>
    <row r="2029" spans="1:9" ht="12.75">
      <c r="A2029" s="998"/>
      <c r="B2029" s="999"/>
      <c r="C2029" s="474"/>
      <c r="D2029" s="474"/>
      <c r="E2029" s="474"/>
      <c r="F2029" s="474"/>
      <c r="G2029" s="696"/>
      <c r="H2029" s="474"/>
      <c r="I2029" s="696"/>
    </row>
    <row r="2030" spans="1:9" ht="12.75">
      <c r="A2030" s="998"/>
      <c r="B2030" s="999"/>
      <c r="C2030" s="474"/>
      <c r="D2030" s="474"/>
      <c r="E2030" s="474"/>
      <c r="F2030" s="474"/>
      <c r="G2030" s="696"/>
      <c r="H2030" s="474"/>
      <c r="I2030" s="696"/>
    </row>
    <row r="2031" spans="1:9" ht="12.75">
      <c r="A2031" s="998"/>
      <c r="B2031" s="999"/>
      <c r="C2031" s="474"/>
      <c r="D2031" s="474"/>
      <c r="E2031" s="474"/>
      <c r="F2031" s="474"/>
      <c r="G2031" s="696"/>
      <c r="H2031" s="474"/>
      <c r="I2031" s="696"/>
    </row>
    <row r="2032" spans="1:9" ht="12.75">
      <c r="A2032" s="998"/>
      <c r="B2032" s="999"/>
      <c r="C2032" s="474"/>
      <c r="D2032" s="474"/>
      <c r="E2032" s="474"/>
      <c r="F2032" s="474"/>
      <c r="G2032" s="696"/>
      <c r="H2032" s="474"/>
      <c r="I2032" s="696"/>
    </row>
    <row r="2033" spans="1:9" ht="12.75">
      <c r="A2033" s="998"/>
      <c r="B2033" s="999"/>
      <c r="C2033" s="474"/>
      <c r="D2033" s="474"/>
      <c r="E2033" s="474"/>
      <c r="F2033" s="474"/>
      <c r="G2033" s="696"/>
      <c r="H2033" s="474"/>
      <c r="I2033" s="696"/>
    </row>
    <row r="2034" spans="1:9" ht="12.75">
      <c r="A2034" s="998"/>
      <c r="B2034" s="999"/>
      <c r="C2034" s="474"/>
      <c r="D2034" s="474"/>
      <c r="E2034" s="474"/>
      <c r="F2034" s="474"/>
      <c r="G2034" s="696"/>
      <c r="H2034" s="474"/>
      <c r="I2034" s="696"/>
    </row>
    <row r="2035" spans="1:9" ht="12.75">
      <c r="A2035" s="998"/>
      <c r="B2035" s="999"/>
      <c r="C2035" s="474"/>
      <c r="D2035" s="474"/>
      <c r="E2035" s="474"/>
      <c r="F2035" s="474"/>
      <c r="G2035" s="696"/>
      <c r="H2035" s="474"/>
      <c r="I2035" s="696"/>
    </row>
    <row r="2036" spans="1:9" ht="12.75">
      <c r="A2036" s="998"/>
      <c r="B2036" s="999"/>
      <c r="C2036" s="474"/>
      <c r="D2036" s="474"/>
      <c r="E2036" s="474"/>
      <c r="F2036" s="474"/>
      <c r="G2036" s="696"/>
      <c r="H2036" s="474"/>
      <c r="I2036" s="696"/>
    </row>
    <row r="2037" spans="1:9" ht="12.75">
      <c r="A2037" s="998"/>
      <c r="B2037" s="999"/>
      <c r="C2037" s="474"/>
      <c r="D2037" s="474"/>
      <c r="E2037" s="474"/>
      <c r="F2037" s="474"/>
      <c r="G2037" s="696"/>
      <c r="H2037" s="474"/>
      <c r="I2037" s="696"/>
    </row>
    <row r="2038" spans="1:9" ht="12.75">
      <c r="A2038" s="998"/>
      <c r="B2038" s="999"/>
      <c r="C2038" s="474"/>
      <c r="D2038" s="474"/>
      <c r="E2038" s="474"/>
      <c r="F2038" s="474"/>
      <c r="G2038" s="696"/>
      <c r="H2038" s="474"/>
      <c r="I2038" s="696"/>
    </row>
    <row r="2039" spans="1:9" ht="12.75">
      <c r="A2039" s="998"/>
      <c r="B2039" s="999"/>
      <c r="C2039" s="474"/>
      <c r="D2039" s="474"/>
      <c r="E2039" s="474"/>
      <c r="F2039" s="474"/>
      <c r="G2039" s="696"/>
      <c r="H2039" s="474"/>
      <c r="I2039" s="696"/>
    </row>
    <row r="2040" spans="1:9" ht="12.75">
      <c r="A2040" s="998"/>
      <c r="B2040" s="999"/>
      <c r="C2040" s="474"/>
      <c r="D2040" s="474"/>
      <c r="E2040" s="474"/>
      <c r="F2040" s="474"/>
      <c r="G2040" s="696"/>
      <c r="H2040" s="474"/>
      <c r="I2040" s="696"/>
    </row>
    <row r="2041" spans="1:9" ht="12.75">
      <c r="A2041" s="998"/>
      <c r="B2041" s="999"/>
      <c r="C2041" s="474"/>
      <c r="D2041" s="474"/>
      <c r="E2041" s="474"/>
      <c r="F2041" s="474"/>
      <c r="G2041" s="696"/>
      <c r="H2041" s="474"/>
      <c r="I2041" s="696"/>
    </row>
    <row r="2042" spans="1:9" ht="12.75">
      <c r="A2042" s="998"/>
      <c r="B2042" s="999"/>
      <c r="C2042" s="474"/>
      <c r="D2042" s="474"/>
      <c r="E2042" s="474"/>
      <c r="F2042" s="474"/>
      <c r="G2042" s="696"/>
      <c r="H2042" s="474"/>
      <c r="I2042" s="696"/>
    </row>
    <row r="2043" spans="1:9" ht="12.75">
      <c r="A2043" s="998"/>
      <c r="B2043" s="999"/>
      <c r="C2043" s="474"/>
      <c r="D2043" s="474"/>
      <c r="E2043" s="474"/>
      <c r="F2043" s="474"/>
      <c r="G2043" s="696"/>
      <c r="H2043" s="474"/>
      <c r="I2043" s="696"/>
    </row>
    <row r="2044" spans="1:9" ht="12.75">
      <c r="A2044" s="998"/>
      <c r="B2044" s="999"/>
      <c r="C2044" s="474"/>
      <c r="D2044" s="474"/>
      <c r="E2044" s="474"/>
      <c r="F2044" s="474"/>
      <c r="G2044" s="696"/>
      <c r="H2044" s="474"/>
      <c r="I2044" s="696"/>
    </row>
    <row r="2045" spans="1:9" ht="12.75">
      <c r="A2045" s="998"/>
      <c r="B2045" s="999"/>
      <c r="C2045" s="474"/>
      <c r="D2045" s="474"/>
      <c r="E2045" s="474"/>
      <c r="F2045" s="474"/>
      <c r="G2045" s="696"/>
      <c r="H2045" s="474"/>
      <c r="I2045" s="696"/>
    </row>
    <row r="2046" spans="1:9" ht="12.75">
      <c r="A2046" s="998"/>
      <c r="B2046" s="999"/>
      <c r="C2046" s="474"/>
      <c r="D2046" s="474"/>
      <c r="E2046" s="474"/>
      <c r="F2046" s="474"/>
      <c r="G2046" s="696"/>
      <c r="H2046" s="474"/>
      <c r="I2046" s="696"/>
    </row>
    <row r="2047" spans="1:9" ht="12.75">
      <c r="A2047" s="998"/>
      <c r="B2047" s="999"/>
      <c r="C2047" s="474"/>
      <c r="D2047" s="474"/>
      <c r="E2047" s="474"/>
      <c r="F2047" s="474"/>
      <c r="G2047" s="696"/>
      <c r="H2047" s="474"/>
      <c r="I2047" s="696"/>
    </row>
    <row r="2048" spans="1:9" ht="12.75">
      <c r="A2048" s="998"/>
      <c r="B2048" s="999"/>
      <c r="C2048" s="474"/>
      <c r="D2048" s="474"/>
      <c r="E2048" s="474"/>
      <c r="F2048" s="474"/>
      <c r="G2048" s="696"/>
      <c r="H2048" s="474"/>
      <c r="I2048" s="696"/>
    </row>
    <row r="2049" spans="1:9" ht="12.75">
      <c r="A2049" s="998"/>
      <c r="B2049" s="999"/>
      <c r="C2049" s="474"/>
      <c r="D2049" s="474"/>
      <c r="E2049" s="474"/>
      <c r="F2049" s="474"/>
      <c r="G2049" s="696"/>
      <c r="H2049" s="474"/>
      <c r="I2049" s="696"/>
    </row>
    <row r="2050" spans="1:9" ht="12.75">
      <c r="A2050" s="998"/>
      <c r="B2050" s="999"/>
      <c r="C2050" s="474"/>
      <c r="D2050" s="474"/>
      <c r="E2050" s="474"/>
      <c r="F2050" s="474"/>
      <c r="G2050" s="696"/>
      <c r="H2050" s="474"/>
      <c r="I2050" s="696"/>
    </row>
    <row r="2051" spans="1:9" ht="12.75">
      <c r="A2051" s="998"/>
      <c r="B2051" s="999"/>
      <c r="C2051" s="474"/>
      <c r="D2051" s="474"/>
      <c r="E2051" s="474"/>
      <c r="F2051" s="474"/>
      <c r="G2051" s="696"/>
      <c r="H2051" s="474"/>
      <c r="I2051" s="696"/>
    </row>
    <row r="2052" spans="1:9" ht="12.75">
      <c r="A2052" s="998"/>
      <c r="B2052" s="999"/>
      <c r="C2052" s="474"/>
      <c r="D2052" s="474"/>
      <c r="E2052" s="474"/>
      <c r="F2052" s="474"/>
      <c r="G2052" s="696"/>
      <c r="H2052" s="474"/>
      <c r="I2052" s="696"/>
    </row>
    <row r="2053" spans="1:9" ht="12.75">
      <c r="A2053" s="998"/>
      <c r="B2053" s="999"/>
      <c r="C2053" s="474"/>
      <c r="D2053" s="474"/>
      <c r="E2053" s="474"/>
      <c r="F2053" s="474"/>
      <c r="G2053" s="696"/>
      <c r="H2053" s="474"/>
      <c r="I2053" s="696"/>
    </row>
    <row r="2054" spans="1:9" ht="12.75">
      <c r="A2054" s="998"/>
      <c r="B2054" s="999"/>
      <c r="C2054" s="474"/>
      <c r="D2054" s="474"/>
      <c r="E2054" s="474"/>
      <c r="F2054" s="474"/>
      <c r="G2054" s="696"/>
      <c r="H2054" s="474"/>
      <c r="I2054" s="696"/>
    </row>
    <row r="2055" spans="1:9" ht="12.75">
      <c r="A2055" s="998"/>
      <c r="B2055" s="999"/>
      <c r="C2055" s="474"/>
      <c r="D2055" s="474"/>
      <c r="E2055" s="474"/>
      <c r="F2055" s="474"/>
      <c r="G2055" s="696"/>
      <c r="H2055" s="474"/>
      <c r="I2055" s="696"/>
    </row>
    <row r="2056" spans="1:9" ht="12.75">
      <c r="A2056" s="998"/>
      <c r="B2056" s="999"/>
      <c r="C2056" s="474"/>
      <c r="D2056" s="474"/>
      <c r="E2056" s="474"/>
      <c r="F2056" s="474"/>
      <c r="G2056" s="696"/>
      <c r="H2056" s="474"/>
      <c r="I2056" s="696"/>
    </row>
    <row r="2057" spans="1:9" ht="12.75">
      <c r="A2057" s="998"/>
      <c r="B2057" s="999"/>
      <c r="C2057" s="474"/>
      <c r="D2057" s="474"/>
      <c r="E2057" s="474"/>
      <c r="F2057" s="474"/>
      <c r="G2057" s="696"/>
      <c r="H2057" s="474"/>
      <c r="I2057" s="696"/>
    </row>
    <row r="2058" spans="1:9" ht="12.75">
      <c r="A2058" s="998"/>
      <c r="B2058" s="999"/>
      <c r="C2058" s="474"/>
      <c r="D2058" s="474"/>
      <c r="E2058" s="474"/>
      <c r="F2058" s="474"/>
      <c r="G2058" s="696"/>
      <c r="H2058" s="474"/>
      <c r="I2058" s="696"/>
    </row>
    <row r="2059" spans="1:9" ht="12.75">
      <c r="A2059" s="998"/>
      <c r="B2059" s="999"/>
      <c r="C2059" s="474"/>
      <c r="D2059" s="474"/>
      <c r="E2059" s="474"/>
      <c r="F2059" s="474"/>
      <c r="G2059" s="696"/>
      <c r="H2059" s="474"/>
      <c r="I2059" s="696"/>
    </row>
    <row r="2060" spans="1:9" ht="12.75">
      <c r="A2060" s="998"/>
      <c r="B2060" s="999"/>
      <c r="C2060" s="474"/>
      <c r="D2060" s="474"/>
      <c r="E2060" s="474"/>
      <c r="F2060" s="474"/>
      <c r="G2060" s="696"/>
      <c r="H2060" s="474"/>
      <c r="I2060" s="696"/>
    </row>
    <row r="2061" spans="1:9" ht="12.75">
      <c r="A2061" s="998"/>
      <c r="B2061" s="999"/>
      <c r="C2061" s="474"/>
      <c r="D2061" s="474"/>
      <c r="E2061" s="474"/>
      <c r="F2061" s="474"/>
      <c r="G2061" s="696"/>
      <c r="H2061" s="474"/>
      <c r="I2061" s="696"/>
    </row>
    <row r="2062" spans="1:9" ht="12.75">
      <c r="A2062" s="998"/>
      <c r="B2062" s="999"/>
      <c r="C2062" s="474"/>
      <c r="D2062" s="474"/>
      <c r="E2062" s="474"/>
      <c r="F2062" s="474"/>
      <c r="G2062" s="696"/>
      <c r="H2062" s="474"/>
      <c r="I2062" s="696"/>
    </row>
    <row r="2063" spans="1:9" ht="12.75">
      <c r="A2063" s="998"/>
      <c r="B2063" s="999"/>
      <c r="C2063" s="474"/>
      <c r="D2063" s="474"/>
      <c r="E2063" s="474"/>
      <c r="F2063" s="474"/>
      <c r="G2063" s="696"/>
      <c r="H2063" s="474"/>
      <c r="I2063" s="696"/>
    </row>
    <row r="2064" spans="1:9" ht="12.75">
      <c r="A2064" s="998"/>
      <c r="B2064" s="999"/>
      <c r="C2064" s="474"/>
      <c r="D2064" s="474"/>
      <c r="E2064" s="474"/>
      <c r="F2064" s="474"/>
      <c r="G2064" s="696"/>
      <c r="H2064" s="474"/>
      <c r="I2064" s="696"/>
    </row>
    <row r="2065" spans="1:9" ht="12.75">
      <c r="A2065" s="998"/>
      <c r="B2065" s="999"/>
      <c r="C2065" s="474"/>
      <c r="D2065" s="474"/>
      <c r="E2065" s="474"/>
      <c r="F2065" s="474"/>
      <c r="G2065" s="696"/>
      <c r="H2065" s="474"/>
      <c r="I2065" s="696"/>
    </row>
    <row r="2066" spans="1:9" ht="12.75">
      <c r="A2066" s="998"/>
      <c r="B2066" s="999"/>
      <c r="C2066" s="474"/>
      <c r="D2066" s="474"/>
      <c r="E2066" s="474"/>
      <c r="F2066" s="474"/>
      <c r="G2066" s="696"/>
      <c r="H2066" s="474"/>
      <c r="I2066" s="696"/>
    </row>
    <row r="2067" spans="1:9" ht="12.75">
      <c r="A2067" s="998"/>
      <c r="B2067" s="999"/>
      <c r="C2067" s="474"/>
      <c r="D2067" s="474"/>
      <c r="E2067" s="474"/>
      <c r="F2067" s="474"/>
      <c r="G2067" s="696"/>
      <c r="H2067" s="474"/>
      <c r="I2067" s="696"/>
    </row>
    <row r="2068" spans="1:9" ht="12.75">
      <c r="A2068" s="998"/>
      <c r="B2068" s="999"/>
      <c r="C2068" s="474"/>
      <c r="D2068" s="474"/>
      <c r="E2068" s="474"/>
      <c r="F2068" s="474"/>
      <c r="G2068" s="696"/>
      <c r="H2068" s="474"/>
      <c r="I2068" s="696"/>
    </row>
    <row r="2069" spans="1:9" ht="12.75">
      <c r="A2069" s="998"/>
      <c r="B2069" s="999"/>
      <c r="C2069" s="474"/>
      <c r="D2069" s="474"/>
      <c r="E2069" s="474"/>
      <c r="F2069" s="474"/>
      <c r="G2069" s="696"/>
      <c r="H2069" s="474"/>
      <c r="I2069" s="696"/>
    </row>
    <row r="2070" spans="1:9" ht="12.75">
      <c r="A2070" s="998"/>
      <c r="B2070" s="999"/>
      <c r="C2070" s="474"/>
      <c r="D2070" s="474"/>
      <c r="E2070" s="474"/>
      <c r="F2070" s="474"/>
      <c r="G2070" s="696"/>
      <c r="H2070" s="474"/>
      <c r="I2070" s="696"/>
    </row>
    <row r="2071" spans="1:9" ht="12.75">
      <c r="A2071" s="998"/>
      <c r="B2071" s="999"/>
      <c r="C2071" s="474"/>
      <c r="D2071" s="474"/>
      <c r="E2071" s="474"/>
      <c r="F2071" s="474"/>
      <c r="G2071" s="696"/>
      <c r="H2071" s="474"/>
      <c r="I2071" s="696"/>
    </row>
    <row r="2072" spans="1:9" ht="12.75">
      <c r="A2072" s="998"/>
      <c r="B2072" s="999"/>
      <c r="C2072" s="474"/>
      <c r="D2072" s="474"/>
      <c r="E2072" s="474"/>
      <c r="F2072" s="474"/>
      <c r="G2072" s="696"/>
      <c r="H2072" s="474"/>
      <c r="I2072" s="696"/>
    </row>
    <row r="2073" spans="1:9" ht="12.75">
      <c r="A2073" s="998"/>
      <c r="B2073" s="999"/>
      <c r="C2073" s="474"/>
      <c r="D2073" s="474"/>
      <c r="E2073" s="474"/>
      <c r="F2073" s="474"/>
      <c r="G2073" s="696"/>
      <c r="H2073" s="474"/>
      <c r="I2073" s="696"/>
    </row>
    <row r="2074" spans="1:9" ht="12.75">
      <c r="A2074" s="998"/>
      <c r="B2074" s="999"/>
      <c r="C2074" s="474"/>
      <c r="D2074" s="474"/>
      <c r="E2074" s="474"/>
      <c r="F2074" s="474"/>
      <c r="G2074" s="696"/>
      <c r="H2074" s="474"/>
      <c r="I2074" s="696"/>
    </row>
    <row r="2075" spans="1:9" ht="12.75">
      <c r="A2075" s="998"/>
      <c r="B2075" s="999"/>
      <c r="C2075" s="474"/>
      <c r="D2075" s="474"/>
      <c r="E2075" s="474"/>
      <c r="F2075" s="474"/>
      <c r="G2075" s="696"/>
      <c r="H2075" s="474"/>
      <c r="I2075" s="696"/>
    </row>
    <row r="2076" spans="1:9" ht="12.75">
      <c r="A2076" s="998"/>
      <c r="B2076" s="999"/>
      <c r="C2076" s="474"/>
      <c r="D2076" s="474"/>
      <c r="E2076" s="474"/>
      <c r="F2076" s="474"/>
      <c r="G2076" s="696"/>
      <c r="H2076" s="474"/>
      <c r="I2076" s="696"/>
    </row>
    <row r="2077" spans="1:9" ht="12.75">
      <c r="A2077" s="998"/>
      <c r="B2077" s="999"/>
      <c r="C2077" s="474"/>
      <c r="D2077" s="474"/>
      <c r="E2077" s="474"/>
      <c r="F2077" s="474"/>
      <c r="G2077" s="696"/>
      <c r="H2077" s="474"/>
      <c r="I2077" s="696"/>
    </row>
    <row r="2078" spans="1:9" ht="12.75">
      <c r="A2078" s="998"/>
      <c r="B2078" s="999"/>
      <c r="C2078" s="474"/>
      <c r="D2078" s="474"/>
      <c r="E2078" s="474"/>
      <c r="F2078" s="474"/>
      <c r="G2078" s="696"/>
      <c r="H2078" s="474"/>
      <c r="I2078" s="696"/>
    </row>
    <row r="2079" spans="1:9" ht="12.75">
      <c r="A2079" s="998"/>
      <c r="B2079" s="999"/>
      <c r="C2079" s="474"/>
      <c r="D2079" s="474"/>
      <c r="E2079" s="474"/>
      <c r="F2079" s="474"/>
      <c r="G2079" s="696"/>
      <c r="H2079" s="474"/>
      <c r="I2079" s="696"/>
    </row>
    <row r="2080" spans="1:9" ht="12.75">
      <c r="A2080" s="998"/>
      <c r="B2080" s="999"/>
      <c r="C2080" s="474"/>
      <c r="D2080" s="474"/>
      <c r="E2080" s="474"/>
      <c r="F2080" s="474"/>
      <c r="G2080" s="696"/>
      <c r="H2080" s="474"/>
      <c r="I2080" s="696"/>
    </row>
    <row r="2081" spans="1:9" ht="12.75">
      <c r="A2081" s="998"/>
      <c r="B2081" s="999"/>
      <c r="C2081" s="474"/>
      <c r="D2081" s="474"/>
      <c r="E2081" s="474"/>
      <c r="F2081" s="474"/>
      <c r="G2081" s="696"/>
      <c r="H2081" s="474"/>
      <c r="I2081" s="696"/>
    </row>
    <row r="2082" spans="1:9" ht="12.75">
      <c r="A2082" s="998"/>
      <c r="B2082" s="999"/>
      <c r="C2082" s="474"/>
      <c r="D2082" s="474"/>
      <c r="E2082" s="474"/>
      <c r="F2082" s="474"/>
      <c r="G2082" s="696"/>
      <c r="H2082" s="474"/>
      <c r="I2082" s="696"/>
    </row>
    <row r="2083" spans="1:9" ht="12.75">
      <c r="A2083" s="998"/>
      <c r="B2083" s="999"/>
      <c r="C2083" s="474"/>
      <c r="D2083" s="474"/>
      <c r="E2083" s="474"/>
      <c r="F2083" s="474"/>
      <c r="G2083" s="696"/>
      <c r="H2083" s="474"/>
      <c r="I2083" s="696"/>
    </row>
    <row r="2084" spans="1:9" ht="12.75">
      <c r="A2084" s="998"/>
      <c r="B2084" s="999"/>
      <c r="C2084" s="474"/>
      <c r="D2084" s="474"/>
      <c r="E2084" s="474"/>
      <c r="F2084" s="474"/>
      <c r="G2084" s="696"/>
      <c r="H2084" s="474"/>
      <c r="I2084" s="696"/>
    </row>
    <row r="2085" spans="1:9" ht="12.75">
      <c r="A2085" s="998"/>
      <c r="B2085" s="999"/>
      <c r="C2085" s="474"/>
      <c r="D2085" s="474"/>
      <c r="E2085" s="474"/>
      <c r="F2085" s="474"/>
      <c r="G2085" s="696"/>
      <c r="H2085" s="474"/>
      <c r="I2085" s="696"/>
    </row>
    <row r="2086" spans="1:9" ht="12.75">
      <c r="A2086" s="998"/>
      <c r="B2086" s="999"/>
      <c r="C2086" s="474"/>
      <c r="D2086" s="474"/>
      <c r="E2086" s="474"/>
      <c r="F2086" s="474"/>
      <c r="G2086" s="696"/>
      <c r="H2086" s="474"/>
      <c r="I2086" s="696"/>
    </row>
    <row r="2087" spans="1:9" ht="12.75">
      <c r="A2087" s="998"/>
      <c r="B2087" s="999"/>
      <c r="C2087" s="474"/>
      <c r="D2087" s="474"/>
      <c r="E2087" s="474"/>
      <c r="F2087" s="474"/>
      <c r="G2087" s="696"/>
      <c r="H2087" s="474"/>
      <c r="I2087" s="696"/>
    </row>
    <row r="2088" spans="1:9" ht="12.75">
      <c r="A2088" s="998"/>
      <c r="B2088" s="999"/>
      <c r="C2088" s="474"/>
      <c r="D2088" s="474"/>
      <c r="E2088" s="474"/>
      <c r="F2088" s="474"/>
      <c r="G2088" s="696"/>
      <c r="H2088" s="474"/>
      <c r="I2088" s="696"/>
    </row>
    <row r="2089" spans="1:9" ht="12.75">
      <c r="A2089" s="998"/>
      <c r="B2089" s="999"/>
      <c r="C2089" s="474"/>
      <c r="D2089" s="474"/>
      <c r="E2089" s="474"/>
      <c r="F2089" s="474"/>
      <c r="G2089" s="696"/>
      <c r="H2089" s="474"/>
      <c r="I2089" s="696"/>
    </row>
    <row r="2090" spans="1:9" ht="12.75">
      <c r="A2090" s="998"/>
      <c r="B2090" s="999"/>
      <c r="C2090" s="474"/>
      <c r="D2090" s="474"/>
      <c r="E2090" s="474"/>
      <c r="F2090" s="474"/>
      <c r="G2090" s="696"/>
      <c r="H2090" s="474"/>
      <c r="I2090" s="696"/>
    </row>
    <row r="2091" spans="1:9" ht="12.75">
      <c r="A2091" s="998"/>
      <c r="B2091" s="999"/>
      <c r="C2091" s="474"/>
      <c r="D2091" s="474"/>
      <c r="E2091" s="474"/>
      <c r="F2091" s="474"/>
      <c r="G2091" s="696"/>
      <c r="H2091" s="474"/>
      <c r="I2091" s="696"/>
    </row>
    <row r="2092" spans="1:9" ht="12.75">
      <c r="A2092" s="998"/>
      <c r="B2092" s="999"/>
      <c r="C2092" s="474"/>
      <c r="D2092" s="474"/>
      <c r="E2092" s="474"/>
      <c r="F2092" s="474"/>
      <c r="G2092" s="696"/>
      <c r="H2092" s="474"/>
      <c r="I2092" s="696"/>
    </row>
    <row r="2093" spans="1:9" ht="12.75">
      <c r="A2093" s="998"/>
      <c r="B2093" s="999"/>
      <c r="C2093" s="474"/>
      <c r="D2093" s="474"/>
      <c r="E2093" s="474"/>
      <c r="F2093" s="474"/>
      <c r="G2093" s="696"/>
      <c r="H2093" s="474"/>
      <c r="I2093" s="696"/>
    </row>
    <row r="2094" spans="1:9" ht="12.75">
      <c r="A2094" s="998"/>
      <c r="B2094" s="999"/>
      <c r="C2094" s="474"/>
      <c r="D2094" s="474"/>
      <c r="E2094" s="474"/>
      <c r="F2094" s="474"/>
      <c r="G2094" s="696"/>
      <c r="H2094" s="474"/>
      <c r="I2094" s="696"/>
    </row>
    <row r="2095" spans="1:9" ht="12.75">
      <c r="A2095" s="998"/>
      <c r="B2095" s="999"/>
      <c r="C2095" s="474"/>
      <c r="D2095" s="474"/>
      <c r="E2095" s="474"/>
      <c r="F2095" s="474"/>
      <c r="G2095" s="696"/>
      <c r="H2095" s="474"/>
      <c r="I2095" s="696"/>
    </row>
    <row r="2096" spans="1:9" ht="12.75">
      <c r="A2096" s="998"/>
      <c r="B2096" s="999"/>
      <c r="C2096" s="474"/>
      <c r="D2096" s="474"/>
      <c r="E2096" s="474"/>
      <c r="F2096" s="474"/>
      <c r="G2096" s="696"/>
      <c r="H2096" s="474"/>
      <c r="I2096" s="696"/>
    </row>
    <row r="2097" spans="1:9" ht="12.75">
      <c r="A2097" s="998"/>
      <c r="B2097" s="999"/>
      <c r="C2097" s="474"/>
      <c r="D2097" s="474"/>
      <c r="E2097" s="474"/>
      <c r="F2097" s="474"/>
      <c r="G2097" s="696"/>
      <c r="H2097" s="474"/>
      <c r="I2097" s="696"/>
    </row>
    <row r="2098" spans="1:9" ht="12.75">
      <c r="A2098" s="998"/>
      <c r="B2098" s="999"/>
      <c r="C2098" s="474"/>
      <c r="D2098" s="474"/>
      <c r="E2098" s="474"/>
      <c r="F2098" s="474"/>
      <c r="G2098" s="696"/>
      <c r="H2098" s="474"/>
      <c r="I2098" s="696"/>
    </row>
    <row r="2099" spans="1:9" ht="12.75">
      <c r="A2099" s="998"/>
      <c r="B2099" s="999"/>
      <c r="C2099" s="474"/>
      <c r="D2099" s="474"/>
      <c r="E2099" s="474"/>
      <c r="F2099" s="474"/>
      <c r="G2099" s="696"/>
      <c r="H2099" s="474"/>
      <c r="I2099" s="696"/>
    </row>
    <row r="2100" spans="1:9" ht="12.75">
      <c r="A2100" s="998"/>
      <c r="B2100" s="999"/>
      <c r="C2100" s="474"/>
      <c r="D2100" s="474"/>
      <c r="E2100" s="474"/>
      <c r="F2100" s="474"/>
      <c r="G2100" s="696"/>
      <c r="H2100" s="474"/>
      <c r="I2100" s="696"/>
    </row>
    <row r="2101" spans="1:9" ht="12.75">
      <c r="A2101" s="998"/>
      <c r="B2101" s="999"/>
      <c r="C2101" s="474"/>
      <c r="D2101" s="474"/>
      <c r="E2101" s="474"/>
      <c r="F2101" s="474"/>
      <c r="G2101" s="696"/>
      <c r="H2101" s="474"/>
      <c r="I2101" s="696"/>
    </row>
    <row r="2102" spans="1:9" ht="12.75">
      <c r="A2102" s="998"/>
      <c r="B2102" s="999"/>
      <c r="C2102" s="474"/>
      <c r="D2102" s="474"/>
      <c r="E2102" s="474"/>
      <c r="F2102" s="474"/>
      <c r="G2102" s="696"/>
      <c r="H2102" s="474"/>
      <c r="I2102" s="696"/>
    </row>
    <row r="2103" spans="1:9" ht="12.75">
      <c r="A2103" s="998"/>
      <c r="B2103" s="999"/>
      <c r="C2103" s="474"/>
      <c r="D2103" s="474"/>
      <c r="E2103" s="474"/>
      <c r="F2103" s="474"/>
      <c r="G2103" s="696"/>
      <c r="H2103" s="474"/>
      <c r="I2103" s="696"/>
    </row>
    <row r="2104" spans="1:9" ht="12.75">
      <c r="A2104" s="998"/>
      <c r="B2104" s="999"/>
      <c r="C2104" s="474"/>
      <c r="D2104" s="474"/>
      <c r="E2104" s="474"/>
      <c r="F2104" s="474"/>
      <c r="G2104" s="696"/>
      <c r="H2104" s="474"/>
      <c r="I2104" s="696"/>
    </row>
    <row r="2105" spans="1:9" ht="12.75">
      <c r="A2105" s="998"/>
      <c r="B2105" s="999"/>
      <c r="C2105" s="474"/>
      <c r="D2105" s="474"/>
      <c r="E2105" s="474"/>
      <c r="F2105" s="474"/>
      <c r="G2105" s="696"/>
      <c r="H2105" s="474"/>
      <c r="I2105" s="696"/>
    </row>
    <row r="2106" spans="1:9" ht="12.75">
      <c r="A2106" s="998"/>
      <c r="B2106" s="999"/>
      <c r="C2106" s="474"/>
      <c r="D2106" s="474"/>
      <c r="E2106" s="474"/>
      <c r="F2106" s="474"/>
      <c r="G2106" s="696"/>
      <c r="H2106" s="474"/>
      <c r="I2106" s="696"/>
    </row>
    <row r="2107" spans="1:9" ht="12.75">
      <c r="A2107" s="998"/>
      <c r="B2107" s="999"/>
      <c r="C2107" s="474"/>
      <c r="D2107" s="474"/>
      <c r="E2107" s="474"/>
      <c r="F2107" s="474"/>
      <c r="G2107" s="696"/>
      <c r="H2107" s="474"/>
      <c r="I2107" s="696"/>
    </row>
    <row r="2108" spans="1:9" ht="12.75">
      <c r="A2108" s="998"/>
      <c r="B2108" s="999"/>
      <c r="C2108" s="474"/>
      <c r="D2108" s="474"/>
      <c r="E2108" s="474"/>
      <c r="F2108" s="474"/>
      <c r="G2108" s="696"/>
      <c r="H2108" s="474"/>
      <c r="I2108" s="696"/>
    </row>
    <row r="2109" spans="1:9" ht="12.75">
      <c r="A2109" s="998"/>
      <c r="B2109" s="999"/>
      <c r="C2109" s="474"/>
      <c r="D2109" s="474"/>
      <c r="E2109" s="474"/>
      <c r="F2109" s="474"/>
      <c r="G2109" s="696"/>
      <c r="H2109" s="474"/>
      <c r="I2109" s="696"/>
    </row>
    <row r="2110" spans="1:9" ht="12.75">
      <c r="A2110" s="998"/>
      <c r="B2110" s="999"/>
      <c r="C2110" s="474"/>
      <c r="D2110" s="474"/>
      <c r="E2110" s="474"/>
      <c r="F2110" s="474"/>
      <c r="G2110" s="696"/>
      <c r="H2110" s="474"/>
      <c r="I2110" s="696"/>
    </row>
    <row r="2111" spans="1:9" ht="12.75">
      <c r="A2111" s="998"/>
      <c r="B2111" s="999"/>
      <c r="C2111" s="474"/>
      <c r="D2111" s="474"/>
      <c r="E2111" s="474"/>
      <c r="F2111" s="474"/>
      <c r="G2111" s="696"/>
      <c r="H2111" s="474"/>
      <c r="I2111" s="696"/>
    </row>
    <row r="2112" spans="1:9" ht="12.75">
      <c r="A2112" s="998"/>
      <c r="B2112" s="999"/>
      <c r="C2112" s="474"/>
      <c r="D2112" s="474"/>
      <c r="E2112" s="474"/>
      <c r="F2112" s="474"/>
      <c r="G2112" s="696"/>
      <c r="H2112" s="474"/>
      <c r="I2112" s="696"/>
    </row>
    <row r="2113" spans="1:9" ht="12.75">
      <c r="A2113" s="998"/>
      <c r="B2113" s="999"/>
      <c r="C2113" s="474"/>
      <c r="D2113" s="474"/>
      <c r="E2113" s="474"/>
      <c r="F2113" s="474"/>
      <c r="G2113" s="696"/>
      <c r="H2113" s="474"/>
      <c r="I2113" s="696"/>
    </row>
    <row r="2114" spans="1:9" ht="12.75">
      <c r="A2114" s="998"/>
      <c r="B2114" s="999"/>
      <c r="C2114" s="474"/>
      <c r="D2114" s="474"/>
      <c r="E2114" s="474"/>
      <c r="F2114" s="474"/>
      <c r="G2114" s="696"/>
      <c r="H2114" s="474"/>
      <c r="I2114" s="696"/>
    </row>
    <row r="2115" spans="1:9" ht="12.75">
      <c r="A2115" s="998"/>
      <c r="B2115" s="999"/>
      <c r="C2115" s="474"/>
      <c r="D2115" s="474"/>
      <c r="E2115" s="474"/>
      <c r="F2115" s="474"/>
      <c r="G2115" s="696"/>
      <c r="H2115" s="474"/>
      <c r="I2115" s="696"/>
    </row>
    <row r="2116" spans="1:9" ht="12.75">
      <c r="A2116" s="998"/>
      <c r="B2116" s="999"/>
      <c r="C2116" s="474"/>
      <c r="D2116" s="474"/>
      <c r="E2116" s="474"/>
      <c r="F2116" s="474"/>
      <c r="G2116" s="696"/>
      <c r="H2116" s="474"/>
      <c r="I2116" s="696"/>
    </row>
    <row r="2117" spans="1:9" ht="12.75">
      <c r="A2117" s="998"/>
      <c r="B2117" s="999"/>
      <c r="C2117" s="474"/>
      <c r="D2117" s="474"/>
      <c r="E2117" s="474"/>
      <c r="F2117" s="474"/>
      <c r="G2117" s="696"/>
      <c r="H2117" s="474"/>
      <c r="I2117" s="696"/>
    </row>
    <row r="2118" spans="1:9" ht="12.75">
      <c r="A2118" s="998"/>
      <c r="B2118" s="999"/>
      <c r="C2118" s="474"/>
      <c r="D2118" s="474"/>
      <c r="E2118" s="474"/>
      <c r="F2118" s="474"/>
      <c r="G2118" s="696"/>
      <c r="H2118" s="474"/>
      <c r="I2118" s="696"/>
    </row>
    <row r="2119" spans="1:9" ht="12.75">
      <c r="A2119" s="998"/>
      <c r="B2119" s="999"/>
      <c r="C2119" s="474"/>
      <c r="D2119" s="474"/>
      <c r="E2119" s="474"/>
      <c r="F2119" s="474"/>
      <c r="G2119" s="696"/>
      <c r="H2119" s="474"/>
      <c r="I2119" s="696"/>
    </row>
    <row r="2120" spans="1:9" ht="12.75">
      <c r="A2120" s="998"/>
      <c r="B2120" s="999"/>
      <c r="C2120" s="474"/>
      <c r="D2120" s="474"/>
      <c r="E2120" s="474"/>
      <c r="F2120" s="474"/>
      <c r="G2120" s="696"/>
      <c r="H2120" s="474"/>
      <c r="I2120" s="696"/>
    </row>
    <row r="2121" spans="1:9" ht="12.75">
      <c r="A2121" s="998"/>
      <c r="B2121" s="999"/>
      <c r="C2121" s="474"/>
      <c r="D2121" s="474"/>
      <c r="E2121" s="474"/>
      <c r="F2121" s="474"/>
      <c r="G2121" s="696"/>
      <c r="H2121" s="474"/>
      <c r="I2121" s="696"/>
    </row>
    <row r="2122" spans="1:9" ht="12.75">
      <c r="A2122" s="998"/>
      <c r="B2122" s="999"/>
      <c r="C2122" s="474"/>
      <c r="D2122" s="474"/>
      <c r="E2122" s="474"/>
      <c r="F2122" s="474"/>
      <c r="G2122" s="696"/>
      <c r="H2122" s="474"/>
      <c r="I2122" s="696"/>
    </row>
    <row r="2123" spans="1:9" ht="12.75">
      <c r="A2123" s="998"/>
      <c r="B2123" s="999"/>
      <c r="C2123" s="474"/>
      <c r="D2123" s="474"/>
      <c r="E2123" s="474"/>
      <c r="F2123" s="474"/>
      <c r="G2123" s="696"/>
      <c r="H2123" s="474"/>
      <c r="I2123" s="696"/>
    </row>
    <row r="2124" spans="1:9" ht="12.75">
      <c r="A2124" s="998"/>
      <c r="B2124" s="999"/>
      <c r="C2124" s="474"/>
      <c r="D2124" s="474"/>
      <c r="E2124" s="474"/>
      <c r="F2124" s="474"/>
      <c r="G2124" s="696"/>
      <c r="H2124" s="474"/>
      <c r="I2124" s="696"/>
    </row>
    <row r="2125" spans="1:9" ht="12.75">
      <c r="A2125" s="998"/>
      <c r="B2125" s="999"/>
      <c r="C2125" s="474"/>
      <c r="D2125" s="474"/>
      <c r="E2125" s="474"/>
      <c r="F2125" s="474"/>
      <c r="G2125" s="696"/>
      <c r="H2125" s="474"/>
      <c r="I2125" s="696"/>
    </row>
    <row r="2126" spans="1:9" ht="12.75">
      <c r="A2126" s="998"/>
      <c r="B2126" s="999"/>
      <c r="C2126" s="474"/>
      <c r="D2126" s="474"/>
      <c r="E2126" s="474"/>
      <c r="F2126" s="474"/>
      <c r="G2126" s="696"/>
      <c r="H2126" s="474"/>
      <c r="I2126" s="696"/>
    </row>
    <row r="2127" spans="1:9" ht="12.75">
      <c r="A2127" s="998"/>
      <c r="B2127" s="999"/>
      <c r="C2127" s="474"/>
      <c r="D2127" s="474"/>
      <c r="E2127" s="474"/>
      <c r="F2127" s="474"/>
      <c r="G2127" s="696"/>
      <c r="H2127" s="474"/>
      <c r="I2127" s="696"/>
    </row>
    <row r="2128" spans="1:9" ht="12.75">
      <c r="A2128" s="998"/>
      <c r="B2128" s="999"/>
      <c r="C2128" s="474"/>
      <c r="D2128" s="474"/>
      <c r="E2128" s="474"/>
      <c r="F2128" s="474"/>
      <c r="G2128" s="696"/>
      <c r="H2128" s="474"/>
      <c r="I2128" s="696"/>
    </row>
    <row r="2129" spans="1:9" ht="12.75">
      <c r="A2129" s="998"/>
      <c r="B2129" s="999"/>
      <c r="C2129" s="474"/>
      <c r="D2129" s="474"/>
      <c r="E2129" s="474"/>
      <c r="F2129" s="474"/>
      <c r="G2129" s="696"/>
      <c r="H2129" s="474"/>
      <c r="I2129" s="696"/>
    </row>
    <row r="2130" spans="1:9" ht="12.75">
      <c r="A2130" s="998"/>
      <c r="B2130" s="999"/>
      <c r="C2130" s="474"/>
      <c r="D2130" s="474"/>
      <c r="E2130" s="474"/>
      <c r="F2130" s="474"/>
      <c r="G2130" s="696"/>
      <c r="H2130" s="474"/>
      <c r="I2130" s="696"/>
    </row>
    <row r="2131" spans="1:9" ht="12.75">
      <c r="A2131" s="998"/>
      <c r="B2131" s="999"/>
      <c r="C2131" s="474"/>
      <c r="D2131" s="474"/>
      <c r="E2131" s="474"/>
      <c r="F2131" s="474"/>
      <c r="G2131" s="696"/>
      <c r="H2131" s="474"/>
      <c r="I2131" s="696"/>
    </row>
    <row r="2132" spans="1:9" ht="12.75">
      <c r="A2132" s="998"/>
      <c r="B2132" s="999"/>
      <c r="C2132" s="474"/>
      <c r="D2132" s="474"/>
      <c r="E2132" s="474"/>
      <c r="F2132" s="474"/>
      <c r="G2132" s="696"/>
      <c r="H2132" s="474"/>
      <c r="I2132" s="696"/>
    </row>
    <row r="2133" spans="1:9" ht="12.75">
      <c r="A2133" s="998"/>
      <c r="B2133" s="999"/>
      <c r="C2133" s="474"/>
      <c r="D2133" s="474"/>
      <c r="E2133" s="474"/>
      <c r="F2133" s="474"/>
      <c r="G2133" s="696"/>
      <c r="H2133" s="474"/>
      <c r="I2133" s="696"/>
    </row>
    <row r="2134" spans="1:9" ht="12.75">
      <c r="A2134" s="998"/>
      <c r="B2134" s="999"/>
      <c r="C2134" s="474"/>
      <c r="D2134" s="474"/>
      <c r="E2134" s="474"/>
      <c r="F2134" s="474"/>
      <c r="G2134" s="696"/>
      <c r="H2134" s="474"/>
      <c r="I2134" s="696"/>
    </row>
    <row r="2135" spans="1:9" ht="12.75">
      <c r="A2135" s="998"/>
      <c r="B2135" s="999"/>
      <c r="C2135" s="474"/>
      <c r="D2135" s="474"/>
      <c r="E2135" s="474"/>
      <c r="F2135" s="474"/>
      <c r="G2135" s="696"/>
      <c r="H2135" s="474"/>
      <c r="I2135" s="696"/>
    </row>
    <row r="2136" spans="1:9" ht="12.75">
      <c r="A2136" s="998"/>
      <c r="B2136" s="999"/>
      <c r="C2136" s="474"/>
      <c r="D2136" s="474"/>
      <c r="E2136" s="474"/>
      <c r="F2136" s="474"/>
      <c r="G2136" s="696"/>
      <c r="H2136" s="474"/>
      <c r="I2136" s="696"/>
    </row>
    <row r="2137" spans="1:9" ht="12.75">
      <c r="A2137" s="998"/>
      <c r="B2137" s="999"/>
      <c r="C2137" s="474"/>
      <c r="D2137" s="474"/>
      <c r="E2137" s="474"/>
      <c r="F2137" s="474"/>
      <c r="G2137" s="696"/>
      <c r="H2137" s="474"/>
      <c r="I2137" s="696"/>
    </row>
    <row r="2138" spans="1:9" ht="12.75">
      <c r="A2138" s="998"/>
      <c r="B2138" s="999"/>
      <c r="C2138" s="474"/>
      <c r="D2138" s="474"/>
      <c r="E2138" s="474"/>
      <c r="F2138" s="474"/>
      <c r="G2138" s="696"/>
      <c r="H2138" s="474"/>
      <c r="I2138" s="696"/>
    </row>
    <row r="2139" spans="1:9" ht="12.75">
      <c r="A2139" s="998"/>
      <c r="B2139" s="999"/>
      <c r="C2139" s="474"/>
      <c r="D2139" s="474"/>
      <c r="E2139" s="474"/>
      <c r="F2139" s="474"/>
      <c r="G2139" s="696"/>
      <c r="H2139" s="474"/>
      <c r="I2139" s="696"/>
    </row>
    <row r="2140" spans="1:9" ht="12.75">
      <c r="A2140" s="998"/>
      <c r="B2140" s="999"/>
      <c r="C2140" s="474"/>
      <c r="D2140" s="474"/>
      <c r="E2140" s="474"/>
      <c r="F2140" s="474"/>
      <c r="G2140" s="696"/>
      <c r="H2140" s="474"/>
      <c r="I2140" s="696"/>
    </row>
    <row r="2141" spans="1:9" ht="12.75">
      <c r="A2141" s="998"/>
      <c r="B2141" s="999"/>
      <c r="C2141" s="474"/>
      <c r="D2141" s="474"/>
      <c r="E2141" s="474"/>
      <c r="F2141" s="474"/>
      <c r="G2141" s="696"/>
      <c r="H2141" s="474"/>
      <c r="I2141" s="696"/>
    </row>
    <row r="2142" spans="1:9" ht="12.75">
      <c r="A2142" s="998"/>
      <c r="B2142" s="999"/>
      <c r="C2142" s="474"/>
      <c r="D2142" s="474"/>
      <c r="E2142" s="474"/>
      <c r="F2142" s="474"/>
      <c r="G2142" s="696"/>
      <c r="H2142" s="474"/>
      <c r="I2142" s="696"/>
    </row>
    <row r="2143" spans="1:9" ht="12.75">
      <c r="A2143" s="998"/>
      <c r="B2143" s="999"/>
      <c r="C2143" s="474"/>
      <c r="D2143" s="474"/>
      <c r="E2143" s="474"/>
      <c r="F2143" s="474"/>
      <c r="G2143" s="696"/>
      <c r="H2143" s="474"/>
      <c r="I2143" s="696"/>
    </row>
    <row r="2144" spans="1:9" ht="12.75">
      <c r="A2144" s="998"/>
      <c r="B2144" s="999"/>
      <c r="C2144" s="474"/>
      <c r="D2144" s="474"/>
      <c r="E2144" s="474"/>
      <c r="F2144" s="474"/>
      <c r="G2144" s="696"/>
      <c r="H2144" s="474"/>
      <c r="I2144" s="696"/>
    </row>
    <row r="2145" spans="1:9" ht="12.75">
      <c r="A2145" s="998"/>
      <c r="B2145" s="999"/>
      <c r="C2145" s="474"/>
      <c r="D2145" s="474"/>
      <c r="E2145" s="474"/>
      <c r="F2145" s="474"/>
      <c r="G2145" s="696"/>
      <c r="H2145" s="474"/>
      <c r="I2145" s="696"/>
    </row>
    <row r="2146" spans="1:9" ht="12.75">
      <c r="A2146" s="998"/>
      <c r="B2146" s="999"/>
      <c r="C2146" s="474"/>
      <c r="D2146" s="474"/>
      <c r="E2146" s="474"/>
      <c r="F2146" s="474"/>
      <c r="G2146" s="696"/>
      <c r="H2146" s="474"/>
      <c r="I2146" s="696"/>
    </row>
    <row r="2147" spans="1:9" ht="12.75">
      <c r="A2147" s="998"/>
      <c r="B2147" s="999"/>
      <c r="C2147" s="474"/>
      <c r="D2147" s="474"/>
      <c r="E2147" s="474"/>
      <c r="F2147" s="474"/>
      <c r="G2147" s="696"/>
      <c r="H2147" s="474"/>
      <c r="I2147" s="696"/>
    </row>
    <row r="2148" spans="1:9" ht="12.75">
      <c r="A2148" s="998"/>
      <c r="B2148" s="999"/>
      <c r="C2148" s="474"/>
      <c r="D2148" s="474"/>
      <c r="E2148" s="474"/>
      <c r="F2148" s="474"/>
      <c r="G2148" s="696"/>
      <c r="H2148" s="474"/>
      <c r="I2148" s="696"/>
    </row>
    <row r="2149" spans="1:9" ht="12.75">
      <c r="A2149" s="998"/>
      <c r="B2149" s="999"/>
      <c r="C2149" s="474"/>
      <c r="D2149" s="474"/>
      <c r="E2149" s="474"/>
      <c r="F2149" s="474"/>
      <c r="G2149" s="696"/>
      <c r="H2149" s="474"/>
      <c r="I2149" s="696"/>
    </row>
    <row r="2150" spans="1:9" ht="12.75">
      <c r="A2150" s="998"/>
      <c r="B2150" s="999"/>
      <c r="C2150" s="474"/>
      <c r="D2150" s="474"/>
      <c r="E2150" s="474"/>
      <c r="F2150" s="474"/>
      <c r="G2150" s="696"/>
      <c r="H2150" s="474"/>
      <c r="I2150" s="696"/>
    </row>
    <row r="2151" spans="1:9" ht="12.75">
      <c r="A2151" s="998"/>
      <c r="B2151" s="999"/>
      <c r="C2151" s="474"/>
      <c r="D2151" s="474"/>
      <c r="E2151" s="474"/>
      <c r="F2151" s="474"/>
      <c r="G2151" s="696"/>
      <c r="H2151" s="474"/>
      <c r="I2151" s="696"/>
    </row>
    <row r="2152" spans="1:9" ht="12.75">
      <c r="A2152" s="998"/>
      <c r="B2152" s="999"/>
      <c r="C2152" s="474"/>
      <c r="D2152" s="474"/>
      <c r="E2152" s="474"/>
      <c r="F2152" s="474"/>
      <c r="G2152" s="696"/>
      <c r="H2152" s="474"/>
      <c r="I2152" s="696"/>
    </row>
    <row r="2153" spans="1:9" ht="12.75">
      <c r="A2153" s="998"/>
      <c r="B2153" s="999"/>
      <c r="C2153" s="474"/>
      <c r="D2153" s="474"/>
      <c r="E2153" s="474"/>
      <c r="F2153" s="474"/>
      <c r="G2153" s="696"/>
      <c r="H2153" s="474"/>
      <c r="I2153" s="696"/>
    </row>
    <row r="2154" spans="1:9" ht="12.75">
      <c r="A2154" s="998"/>
      <c r="B2154" s="999"/>
      <c r="C2154" s="474"/>
      <c r="D2154" s="474"/>
      <c r="E2154" s="474"/>
      <c r="F2154" s="474"/>
      <c r="G2154" s="696"/>
      <c r="H2154" s="474"/>
      <c r="I2154" s="696"/>
    </row>
    <row r="2155" spans="1:9" ht="12.75">
      <c r="A2155" s="998"/>
      <c r="B2155" s="999"/>
      <c r="C2155" s="474"/>
      <c r="D2155" s="474"/>
      <c r="E2155" s="474"/>
      <c r="F2155" s="474"/>
      <c r="G2155" s="696"/>
      <c r="H2155" s="474"/>
      <c r="I2155" s="696"/>
    </row>
    <row r="2156" spans="1:9" ht="12.75">
      <c r="A2156" s="998"/>
      <c r="B2156" s="999"/>
      <c r="C2156" s="474"/>
      <c r="D2156" s="474"/>
      <c r="E2156" s="474"/>
      <c r="F2156" s="474"/>
      <c r="G2156" s="696"/>
      <c r="H2156" s="474"/>
      <c r="I2156" s="696"/>
    </row>
    <row r="2157" spans="1:9" ht="12.75">
      <c r="A2157" s="998"/>
      <c r="B2157" s="999"/>
      <c r="C2157" s="474"/>
      <c r="D2157" s="474"/>
      <c r="E2157" s="474"/>
      <c r="F2157" s="474"/>
      <c r="G2157" s="696"/>
      <c r="H2157" s="474"/>
      <c r="I2157" s="696"/>
    </row>
    <row r="2158" spans="1:9" ht="12.75">
      <c r="A2158" s="998"/>
      <c r="B2158" s="999"/>
      <c r="C2158" s="474"/>
      <c r="D2158" s="474"/>
      <c r="E2158" s="474"/>
      <c r="F2158" s="474"/>
      <c r="G2158" s="696"/>
      <c r="H2158" s="474"/>
      <c r="I2158" s="696"/>
    </row>
    <row r="2159" spans="1:9" ht="12.75">
      <c r="A2159" s="998"/>
      <c r="B2159" s="999"/>
      <c r="C2159" s="474"/>
      <c r="D2159" s="474"/>
      <c r="E2159" s="474"/>
      <c r="F2159" s="474"/>
      <c r="G2159" s="696"/>
      <c r="H2159" s="474"/>
      <c r="I2159" s="696"/>
    </row>
    <row r="2160" spans="1:9" ht="12.75">
      <c r="A2160" s="998"/>
      <c r="B2160" s="999"/>
      <c r="C2160" s="474"/>
      <c r="D2160" s="474"/>
      <c r="E2160" s="474"/>
      <c r="F2160" s="474"/>
      <c r="G2160" s="696"/>
      <c r="H2160" s="474"/>
      <c r="I2160" s="696"/>
    </row>
    <row r="2161" spans="1:9" ht="12.75">
      <c r="A2161" s="998"/>
      <c r="B2161" s="999"/>
      <c r="C2161" s="474"/>
      <c r="D2161" s="474"/>
      <c r="E2161" s="474"/>
      <c r="F2161" s="474"/>
      <c r="G2161" s="696"/>
      <c r="H2161" s="474"/>
      <c r="I2161" s="696"/>
    </row>
    <row r="2162" spans="1:9" ht="12.75">
      <c r="A2162" s="998"/>
      <c r="B2162" s="999"/>
      <c r="C2162" s="474"/>
      <c r="D2162" s="474"/>
      <c r="E2162" s="474"/>
      <c r="F2162" s="474"/>
      <c r="G2162" s="696"/>
      <c r="H2162" s="474"/>
      <c r="I2162" s="696"/>
    </row>
    <row r="2163" spans="1:9" ht="12.75">
      <c r="A2163" s="998"/>
      <c r="B2163" s="999"/>
      <c r="C2163" s="474"/>
      <c r="D2163" s="474"/>
      <c r="E2163" s="474"/>
      <c r="F2163" s="474"/>
      <c r="G2163" s="696"/>
      <c r="H2163" s="474"/>
      <c r="I2163" s="696"/>
    </row>
    <row r="2164" spans="1:9" ht="12.75">
      <c r="A2164" s="998"/>
      <c r="B2164" s="999"/>
      <c r="C2164" s="474"/>
      <c r="D2164" s="474"/>
      <c r="E2164" s="474"/>
      <c r="F2164" s="474"/>
      <c r="G2164" s="696"/>
      <c r="H2164" s="474"/>
      <c r="I2164" s="696"/>
    </row>
    <row r="2165" spans="1:9" ht="12.75">
      <c r="A2165" s="998"/>
      <c r="B2165" s="999"/>
      <c r="C2165" s="474"/>
      <c r="D2165" s="474"/>
      <c r="E2165" s="474"/>
      <c r="F2165" s="474"/>
      <c r="G2165" s="696"/>
      <c r="H2165" s="474"/>
      <c r="I2165" s="696"/>
    </row>
    <row r="2166" spans="1:9" ht="12.75">
      <c r="A2166" s="998"/>
      <c r="B2166" s="999"/>
      <c r="C2166" s="474"/>
      <c r="D2166" s="474"/>
      <c r="E2166" s="474"/>
      <c r="F2166" s="474"/>
      <c r="G2166" s="696"/>
      <c r="H2166" s="474"/>
      <c r="I2166" s="696"/>
    </row>
    <row r="2167" spans="1:9" ht="12.75">
      <c r="A2167" s="998"/>
      <c r="B2167" s="999"/>
      <c r="C2167" s="474"/>
      <c r="D2167" s="474"/>
      <c r="E2167" s="474"/>
      <c r="F2167" s="474"/>
      <c r="G2167" s="696"/>
      <c r="H2167" s="474"/>
      <c r="I2167" s="696"/>
    </row>
    <row r="2168" spans="1:9" ht="12.75">
      <c r="A2168" s="998"/>
      <c r="B2168" s="999"/>
      <c r="C2168" s="474"/>
      <c r="D2168" s="474"/>
      <c r="E2168" s="474"/>
      <c r="F2168" s="474"/>
      <c r="G2168" s="696"/>
      <c r="H2168" s="474"/>
      <c r="I2168" s="696"/>
    </row>
    <row r="2169" spans="1:9" ht="12.75">
      <c r="A2169" s="998"/>
      <c r="B2169" s="999"/>
      <c r="C2169" s="474"/>
      <c r="D2169" s="474"/>
      <c r="E2169" s="474"/>
      <c r="F2169" s="474"/>
      <c r="G2169" s="696"/>
      <c r="H2169" s="474"/>
      <c r="I2169" s="696"/>
    </row>
    <row r="2170" spans="1:9" ht="12.75">
      <c r="A2170" s="998"/>
      <c r="B2170" s="999"/>
      <c r="C2170" s="474"/>
      <c r="D2170" s="474"/>
      <c r="E2170" s="474"/>
      <c r="F2170" s="474"/>
      <c r="G2170" s="696"/>
      <c r="H2170" s="474"/>
      <c r="I2170" s="696"/>
    </row>
    <row r="2171" spans="1:9" ht="12.75">
      <c r="A2171" s="998"/>
      <c r="B2171" s="999"/>
      <c r="C2171" s="474"/>
      <c r="D2171" s="474"/>
      <c r="E2171" s="474"/>
      <c r="F2171" s="474"/>
      <c r="G2171" s="696"/>
      <c r="H2171" s="474"/>
      <c r="I2171" s="696"/>
    </row>
    <row r="2172" spans="1:9" ht="12.75">
      <c r="A2172" s="998"/>
      <c r="B2172" s="999"/>
      <c r="C2172" s="474"/>
      <c r="D2172" s="474"/>
      <c r="E2172" s="474"/>
      <c r="F2172" s="474"/>
      <c r="G2172" s="696"/>
      <c r="H2172" s="474"/>
      <c r="I2172" s="696"/>
    </row>
    <row r="2173" spans="1:9" ht="12.75">
      <c r="A2173" s="998"/>
      <c r="B2173" s="999"/>
      <c r="C2173" s="474"/>
      <c r="D2173" s="474"/>
      <c r="E2173" s="474"/>
      <c r="F2173" s="474"/>
      <c r="G2173" s="696"/>
      <c r="H2173" s="474"/>
      <c r="I2173" s="696"/>
    </row>
    <row r="2174" spans="1:9" ht="12.75">
      <c r="A2174" s="998"/>
      <c r="B2174" s="999"/>
      <c r="C2174" s="474"/>
      <c r="D2174" s="474"/>
      <c r="E2174" s="474"/>
      <c r="F2174" s="474"/>
      <c r="G2174" s="696"/>
      <c r="H2174" s="474"/>
      <c r="I2174" s="696"/>
    </row>
    <row r="2175" spans="1:9" ht="12.75">
      <c r="A2175" s="998"/>
      <c r="B2175" s="999"/>
      <c r="C2175" s="474"/>
      <c r="D2175" s="474"/>
      <c r="E2175" s="474"/>
      <c r="F2175" s="474"/>
      <c r="G2175" s="696"/>
      <c r="H2175" s="474"/>
      <c r="I2175" s="696"/>
    </row>
    <row r="2176" spans="1:9" ht="12.75">
      <c r="A2176" s="998"/>
      <c r="B2176" s="999"/>
      <c r="C2176" s="474"/>
      <c r="D2176" s="474"/>
      <c r="E2176" s="474"/>
      <c r="F2176" s="474"/>
      <c r="G2176" s="696"/>
      <c r="H2176" s="474"/>
      <c r="I2176" s="696"/>
    </row>
    <row r="2177" spans="1:9" ht="12.75">
      <c r="A2177" s="998"/>
      <c r="B2177" s="999"/>
      <c r="C2177" s="474"/>
      <c r="D2177" s="474"/>
      <c r="E2177" s="474"/>
      <c r="F2177" s="474"/>
      <c r="G2177" s="696"/>
      <c r="H2177" s="474"/>
      <c r="I2177" s="696"/>
    </row>
    <row r="2178" spans="1:9" ht="12.75">
      <c r="A2178" s="998"/>
      <c r="B2178" s="999"/>
      <c r="C2178" s="474"/>
      <c r="D2178" s="474"/>
      <c r="E2178" s="474"/>
      <c r="F2178" s="474"/>
      <c r="G2178" s="696"/>
      <c r="H2178" s="474"/>
      <c r="I2178" s="696"/>
    </row>
    <row r="2179" spans="1:9" ht="12.75">
      <c r="A2179" s="998"/>
      <c r="B2179" s="999"/>
      <c r="C2179" s="474"/>
      <c r="D2179" s="474"/>
      <c r="E2179" s="474"/>
      <c r="F2179" s="474"/>
      <c r="G2179" s="696"/>
      <c r="H2179" s="474"/>
      <c r="I2179" s="696"/>
    </row>
    <row r="2180" spans="1:9" ht="12.75">
      <c r="A2180" s="998"/>
      <c r="B2180" s="999"/>
      <c r="C2180" s="474"/>
      <c r="D2180" s="474"/>
      <c r="E2180" s="474"/>
      <c r="F2180" s="474"/>
      <c r="G2180" s="696"/>
      <c r="H2180" s="474"/>
      <c r="I2180" s="696"/>
    </row>
    <row r="2181" spans="1:9" ht="12.75">
      <c r="A2181" s="998"/>
      <c r="B2181" s="999"/>
      <c r="C2181" s="474"/>
      <c r="D2181" s="474"/>
      <c r="E2181" s="474"/>
      <c r="F2181" s="474"/>
      <c r="G2181" s="696"/>
      <c r="H2181" s="474"/>
      <c r="I2181" s="696"/>
    </row>
    <row r="2182" spans="1:9" ht="12.75">
      <c r="A2182" s="998"/>
      <c r="B2182" s="999"/>
      <c r="C2182" s="474"/>
      <c r="D2182" s="474"/>
      <c r="E2182" s="474"/>
      <c r="F2182" s="474"/>
      <c r="G2182" s="696"/>
      <c r="H2182" s="474"/>
      <c r="I2182" s="696"/>
    </row>
    <row r="2183" spans="1:9" ht="12.75">
      <c r="A2183" s="998"/>
      <c r="B2183" s="999"/>
      <c r="C2183" s="474"/>
      <c r="D2183" s="474"/>
      <c r="E2183" s="474"/>
      <c r="F2183" s="474"/>
      <c r="G2183" s="696"/>
      <c r="H2183" s="474"/>
      <c r="I2183" s="696"/>
    </row>
    <row r="2184" spans="1:9" ht="12.75">
      <c r="A2184" s="998"/>
      <c r="B2184" s="999"/>
      <c r="C2184" s="474"/>
      <c r="D2184" s="474"/>
      <c r="E2184" s="474"/>
      <c r="F2184" s="474"/>
      <c r="G2184" s="696"/>
      <c r="H2184" s="474"/>
      <c r="I2184" s="696"/>
    </row>
    <row r="2185" spans="1:9" ht="12.75">
      <c r="A2185" s="998"/>
      <c r="B2185" s="999"/>
      <c r="C2185" s="474"/>
      <c r="D2185" s="474"/>
      <c r="E2185" s="474"/>
      <c r="F2185" s="474"/>
      <c r="G2185" s="696"/>
      <c r="H2185" s="474"/>
      <c r="I2185" s="696"/>
    </row>
    <row r="2186" spans="1:9" ht="12.75">
      <c r="A2186" s="998"/>
      <c r="B2186" s="999"/>
      <c r="C2186" s="474"/>
      <c r="D2186" s="474"/>
      <c r="E2186" s="474"/>
      <c r="F2186" s="474"/>
      <c r="G2186" s="696"/>
      <c r="H2186" s="474"/>
      <c r="I2186" s="696"/>
    </row>
    <row r="2187" spans="1:9" ht="12.75">
      <c r="A2187" s="998"/>
      <c r="B2187" s="999"/>
      <c r="C2187" s="474"/>
      <c r="D2187" s="474"/>
      <c r="E2187" s="474"/>
      <c r="F2187" s="474"/>
      <c r="G2187" s="696"/>
      <c r="H2187" s="474"/>
      <c r="I2187" s="696"/>
    </row>
    <row r="2188" spans="1:9" ht="12.75">
      <c r="A2188" s="998"/>
      <c r="B2188" s="999"/>
      <c r="C2188" s="474"/>
      <c r="D2188" s="474"/>
      <c r="E2188" s="474"/>
      <c r="F2188" s="474"/>
      <c r="G2188" s="696"/>
      <c r="H2188" s="474"/>
      <c r="I2188" s="696"/>
    </row>
    <row r="2189" spans="1:9" ht="12.75">
      <c r="A2189" s="998"/>
      <c r="B2189" s="999"/>
      <c r="C2189" s="474"/>
      <c r="D2189" s="474"/>
      <c r="E2189" s="474"/>
      <c r="F2189" s="474"/>
      <c r="G2189" s="696"/>
      <c r="H2189" s="474"/>
      <c r="I2189" s="696"/>
    </row>
    <row r="2190" spans="1:9" ht="12.75">
      <c r="A2190" s="998"/>
      <c r="B2190" s="999"/>
      <c r="C2190" s="474"/>
      <c r="D2190" s="474"/>
      <c r="E2190" s="474"/>
      <c r="F2190" s="474"/>
      <c r="G2190" s="696"/>
      <c r="H2190" s="474"/>
      <c r="I2190" s="696"/>
    </row>
    <row r="2191" spans="1:9" ht="12.75">
      <c r="A2191" s="998"/>
      <c r="B2191" s="999"/>
      <c r="C2191" s="474"/>
      <c r="D2191" s="474"/>
      <c r="E2191" s="474"/>
      <c r="F2191" s="474"/>
      <c r="G2191" s="696"/>
      <c r="H2191" s="474"/>
      <c r="I2191" s="696"/>
    </row>
    <row r="2192" spans="1:9" ht="12.75">
      <c r="A2192" s="998"/>
      <c r="B2192" s="999"/>
      <c r="C2192" s="474"/>
      <c r="D2192" s="474"/>
      <c r="E2192" s="474"/>
      <c r="F2192" s="474"/>
      <c r="G2192" s="696"/>
      <c r="H2192" s="474"/>
      <c r="I2192" s="696"/>
    </row>
    <row r="2193" spans="1:9" ht="12.75">
      <c r="A2193" s="998"/>
      <c r="B2193" s="999"/>
      <c r="C2193" s="474"/>
      <c r="D2193" s="474"/>
      <c r="E2193" s="474"/>
      <c r="F2193" s="474"/>
      <c r="G2193" s="696"/>
      <c r="H2193" s="474"/>
      <c r="I2193" s="696"/>
    </row>
    <row r="2194" spans="1:9" ht="12.75">
      <c r="A2194" s="998"/>
      <c r="B2194" s="999"/>
      <c r="C2194" s="474"/>
      <c r="D2194" s="474"/>
      <c r="E2194" s="474"/>
      <c r="F2194" s="474"/>
      <c r="G2194" s="696"/>
      <c r="H2194" s="474"/>
      <c r="I2194" s="696"/>
    </row>
    <row r="2195" spans="1:9" ht="12.75">
      <c r="A2195" s="998"/>
      <c r="B2195" s="999"/>
      <c r="C2195" s="474"/>
      <c r="D2195" s="474"/>
      <c r="E2195" s="474"/>
      <c r="F2195" s="474"/>
      <c r="G2195" s="696"/>
      <c r="H2195" s="474"/>
      <c r="I2195" s="696"/>
    </row>
    <row r="2196" spans="1:9" ht="12.75">
      <c r="A2196" s="998"/>
      <c r="B2196" s="999"/>
      <c r="C2196" s="474"/>
      <c r="D2196" s="474"/>
      <c r="E2196" s="474"/>
      <c r="F2196" s="474"/>
      <c r="G2196" s="696"/>
      <c r="H2196" s="474"/>
      <c r="I2196" s="696"/>
    </row>
    <row r="2197" spans="1:9" ht="12.75">
      <c r="A2197" s="998"/>
      <c r="B2197" s="999"/>
      <c r="C2197" s="474"/>
      <c r="D2197" s="474"/>
      <c r="E2197" s="474"/>
      <c r="F2197" s="474"/>
      <c r="G2197" s="696"/>
      <c r="H2197" s="474"/>
      <c r="I2197" s="696"/>
    </row>
    <row r="2198" spans="1:9" ht="12.75">
      <c r="A2198" s="998"/>
      <c r="B2198" s="999"/>
      <c r="C2198" s="474"/>
      <c r="D2198" s="474"/>
      <c r="E2198" s="474"/>
      <c r="F2198" s="474"/>
      <c r="G2198" s="696"/>
      <c r="H2198" s="474"/>
      <c r="I2198" s="696"/>
    </row>
    <row r="2199" spans="1:9" ht="12.75">
      <c r="A2199" s="998"/>
      <c r="B2199" s="999"/>
      <c r="C2199" s="474"/>
      <c r="D2199" s="474"/>
      <c r="E2199" s="474"/>
      <c r="F2199" s="474"/>
      <c r="G2199" s="696"/>
      <c r="H2199" s="474"/>
      <c r="I2199" s="696"/>
    </row>
    <row r="2200" spans="1:9" ht="12.75">
      <c r="A2200" s="998"/>
      <c r="B2200" s="999"/>
      <c r="C2200" s="474"/>
      <c r="D2200" s="474"/>
      <c r="E2200" s="474"/>
      <c r="F2200" s="474"/>
      <c r="G2200" s="696"/>
      <c r="H2200" s="474"/>
      <c r="I2200" s="696"/>
    </row>
    <row r="2201" spans="1:9" ht="12.75">
      <c r="A2201" s="998"/>
      <c r="B2201" s="999"/>
      <c r="C2201" s="474"/>
      <c r="D2201" s="474"/>
      <c r="E2201" s="474"/>
      <c r="F2201" s="474"/>
      <c r="G2201" s="696"/>
      <c r="H2201" s="474"/>
      <c r="I2201" s="696"/>
    </row>
    <row r="2202" spans="1:9" ht="12.75">
      <c r="A2202" s="998"/>
      <c r="B2202" s="999"/>
      <c r="C2202" s="474"/>
      <c r="D2202" s="474"/>
      <c r="E2202" s="474"/>
      <c r="F2202" s="474"/>
      <c r="G2202" s="696"/>
      <c r="H2202" s="474"/>
      <c r="I2202" s="696"/>
    </row>
    <row r="2203" spans="1:9" ht="12.75">
      <c r="A2203" s="998"/>
      <c r="B2203" s="999"/>
      <c r="C2203" s="474"/>
      <c r="D2203" s="474"/>
      <c r="E2203" s="474"/>
      <c r="F2203" s="474"/>
      <c r="G2203" s="696"/>
      <c r="H2203" s="474"/>
      <c r="I2203" s="696"/>
    </row>
    <row r="2204" spans="1:9" ht="12.75">
      <c r="A2204" s="998"/>
      <c r="B2204" s="999"/>
      <c r="C2204" s="474"/>
      <c r="D2204" s="474"/>
      <c r="E2204" s="474"/>
      <c r="F2204" s="474"/>
      <c r="G2204" s="696"/>
      <c r="H2204" s="474"/>
      <c r="I2204" s="696"/>
    </row>
    <row r="2205" spans="1:9" ht="12.75">
      <c r="A2205" s="998"/>
      <c r="B2205" s="999"/>
      <c r="C2205" s="474"/>
      <c r="D2205" s="474"/>
      <c r="E2205" s="474"/>
      <c r="F2205" s="474"/>
      <c r="G2205" s="696"/>
      <c r="H2205" s="474"/>
      <c r="I2205" s="696"/>
    </row>
    <row r="2206" spans="1:9" ht="12.75">
      <c r="A2206" s="998"/>
      <c r="B2206" s="999"/>
      <c r="C2206" s="474"/>
      <c r="D2206" s="474"/>
      <c r="E2206" s="474"/>
      <c r="F2206" s="474"/>
      <c r="G2206" s="696"/>
      <c r="H2206" s="474"/>
      <c r="I2206" s="696"/>
    </row>
    <row r="2207" spans="1:9" ht="12.75">
      <c r="A2207" s="998"/>
      <c r="B2207" s="999"/>
      <c r="C2207" s="474"/>
      <c r="D2207" s="474"/>
      <c r="E2207" s="474"/>
      <c r="F2207" s="474"/>
      <c r="G2207" s="696"/>
      <c r="H2207" s="474"/>
      <c r="I2207" s="696"/>
    </row>
    <row r="2208" spans="1:9" ht="12.75">
      <c r="A2208" s="998"/>
      <c r="B2208" s="999"/>
      <c r="C2208" s="474"/>
      <c r="D2208" s="474"/>
      <c r="E2208" s="474"/>
      <c r="F2208" s="474"/>
      <c r="G2208" s="696"/>
      <c r="H2208" s="474"/>
      <c r="I2208" s="696"/>
    </row>
    <row r="2209" spans="1:9" ht="12.75">
      <c r="A2209" s="998"/>
      <c r="B2209" s="999"/>
      <c r="C2209" s="474"/>
      <c r="D2209" s="474"/>
      <c r="E2209" s="474"/>
      <c r="F2209" s="474"/>
      <c r="G2209" s="696"/>
      <c r="H2209" s="474"/>
      <c r="I2209" s="696"/>
    </row>
    <row r="2210" spans="1:9" ht="12.75">
      <c r="A2210" s="998"/>
      <c r="B2210" s="999"/>
      <c r="C2210" s="474"/>
      <c r="D2210" s="474"/>
      <c r="E2210" s="474"/>
      <c r="F2210" s="474"/>
      <c r="G2210" s="696"/>
      <c r="H2210" s="474"/>
      <c r="I2210" s="696"/>
    </row>
    <row r="2211" spans="1:9" ht="12.75">
      <c r="A2211" s="998"/>
      <c r="B2211" s="999"/>
      <c r="C2211" s="474"/>
      <c r="D2211" s="474"/>
      <c r="E2211" s="474"/>
      <c r="F2211" s="474"/>
      <c r="G2211" s="696"/>
      <c r="H2211" s="474"/>
      <c r="I2211" s="696"/>
    </row>
    <row r="2212" spans="1:9" ht="12.75">
      <c r="A2212" s="998"/>
      <c r="B2212" s="999"/>
      <c r="C2212" s="474"/>
      <c r="D2212" s="474"/>
      <c r="E2212" s="474"/>
      <c r="F2212" s="474"/>
      <c r="G2212" s="696"/>
      <c r="H2212" s="474"/>
      <c r="I2212" s="696"/>
    </row>
    <row r="2213" spans="1:9" ht="12.75">
      <c r="A2213" s="998"/>
      <c r="B2213" s="999"/>
      <c r="C2213" s="474"/>
      <c r="D2213" s="474"/>
      <c r="E2213" s="474"/>
      <c r="F2213" s="474"/>
      <c r="G2213" s="696"/>
      <c r="H2213" s="474"/>
      <c r="I2213" s="696"/>
    </row>
    <row r="2214" spans="1:9" ht="12.75">
      <c r="A2214" s="998"/>
      <c r="B2214" s="999"/>
      <c r="C2214" s="474"/>
      <c r="D2214" s="474"/>
      <c r="E2214" s="474"/>
      <c r="F2214" s="474"/>
      <c r="G2214" s="696"/>
      <c r="H2214" s="474"/>
      <c r="I2214" s="696"/>
    </row>
    <row r="2215" spans="1:9" ht="12.75">
      <c r="A2215" s="998"/>
      <c r="B2215" s="999"/>
      <c r="C2215" s="474"/>
      <c r="D2215" s="474"/>
      <c r="E2215" s="474"/>
      <c r="F2215" s="474"/>
      <c r="G2215" s="696"/>
      <c r="H2215" s="474"/>
      <c r="I2215" s="696"/>
    </row>
    <row r="2216" spans="1:9" ht="12.75">
      <c r="A2216" s="998"/>
      <c r="B2216" s="999"/>
      <c r="C2216" s="474"/>
      <c r="D2216" s="474"/>
      <c r="E2216" s="474"/>
      <c r="F2216" s="474"/>
      <c r="G2216" s="696"/>
      <c r="H2216" s="474"/>
      <c r="I2216" s="696"/>
    </row>
    <row r="2217" spans="1:9" ht="12.75">
      <c r="A2217" s="998"/>
      <c r="B2217" s="999"/>
      <c r="C2217" s="474"/>
      <c r="D2217" s="474"/>
      <c r="E2217" s="474"/>
      <c r="F2217" s="474"/>
      <c r="G2217" s="696"/>
      <c r="H2217" s="474"/>
      <c r="I2217" s="696"/>
    </row>
    <row r="2218" spans="1:9" ht="12.75">
      <c r="A2218" s="998"/>
      <c r="B2218" s="999"/>
      <c r="C2218" s="474"/>
      <c r="D2218" s="474"/>
      <c r="E2218" s="474"/>
      <c r="F2218" s="474"/>
      <c r="G2218" s="696"/>
      <c r="H2218" s="474"/>
      <c r="I2218" s="696"/>
    </row>
    <row r="2219" spans="1:9" ht="12.75">
      <c r="A2219" s="998"/>
      <c r="B2219" s="999"/>
      <c r="C2219" s="474"/>
      <c r="D2219" s="474"/>
      <c r="E2219" s="474"/>
      <c r="F2219" s="474"/>
      <c r="G2219" s="696"/>
      <c r="H2219" s="474"/>
      <c r="I2219" s="696"/>
    </row>
    <row r="2220" spans="1:9" ht="12.75">
      <c r="A2220" s="998"/>
      <c r="B2220" s="999"/>
      <c r="C2220" s="474"/>
      <c r="D2220" s="474"/>
      <c r="E2220" s="474"/>
      <c r="F2220" s="474"/>
      <c r="G2220" s="696"/>
      <c r="H2220" s="474"/>
      <c r="I2220" s="696"/>
    </row>
    <row r="2221" spans="1:9" ht="12.75">
      <c r="A2221" s="998"/>
      <c r="B2221" s="999"/>
      <c r="C2221" s="474"/>
      <c r="D2221" s="474"/>
      <c r="E2221" s="474"/>
      <c r="F2221" s="474"/>
      <c r="G2221" s="696"/>
      <c r="H2221" s="474"/>
      <c r="I2221" s="696"/>
    </row>
    <row r="2222" spans="1:9" ht="12.75">
      <c r="A2222" s="998"/>
      <c r="B2222" s="999"/>
      <c r="C2222" s="474"/>
      <c r="D2222" s="474"/>
      <c r="E2222" s="474"/>
      <c r="F2222" s="474"/>
      <c r="G2222" s="696"/>
      <c r="H2222" s="474"/>
      <c r="I2222" s="696"/>
    </row>
    <row r="2223" spans="1:9" ht="12.75">
      <c r="A2223" s="998"/>
      <c r="B2223" s="999"/>
      <c r="C2223" s="474"/>
      <c r="D2223" s="474"/>
      <c r="E2223" s="474"/>
      <c r="F2223" s="474"/>
      <c r="G2223" s="696"/>
      <c r="H2223" s="474"/>
      <c r="I2223" s="696"/>
    </row>
    <row r="2224" spans="1:9" ht="12.75">
      <c r="A2224" s="998"/>
      <c r="B2224" s="999"/>
      <c r="C2224" s="474"/>
      <c r="D2224" s="474"/>
      <c r="E2224" s="474"/>
      <c r="F2224" s="474"/>
      <c r="G2224" s="696"/>
      <c r="H2224" s="474"/>
      <c r="I2224" s="696"/>
    </row>
    <row r="2225" spans="1:9" ht="12.75">
      <c r="A2225" s="998"/>
      <c r="B2225" s="999"/>
      <c r="C2225" s="474"/>
      <c r="D2225" s="474"/>
      <c r="E2225" s="474"/>
      <c r="F2225" s="474"/>
      <c r="G2225" s="696"/>
      <c r="H2225" s="474"/>
      <c r="I2225" s="696"/>
    </row>
    <row r="2226" spans="1:9" ht="12.75">
      <c r="A2226" s="998"/>
      <c r="B2226" s="999"/>
      <c r="C2226" s="474"/>
      <c r="D2226" s="474"/>
      <c r="E2226" s="474"/>
      <c r="F2226" s="474"/>
      <c r="G2226" s="696"/>
      <c r="H2226" s="474"/>
      <c r="I2226" s="696"/>
    </row>
    <row r="2227" spans="1:9" ht="12.75">
      <c r="A2227" s="998"/>
      <c r="B2227" s="999"/>
      <c r="C2227" s="474"/>
      <c r="D2227" s="474"/>
      <c r="E2227" s="474"/>
      <c r="F2227" s="474"/>
      <c r="G2227" s="696"/>
      <c r="H2227" s="474"/>
      <c r="I2227" s="696"/>
    </row>
    <row r="2228" spans="1:9" ht="12.75">
      <c r="A2228" s="998"/>
      <c r="B2228" s="999"/>
      <c r="C2228" s="474"/>
      <c r="D2228" s="474"/>
      <c r="E2228" s="474"/>
      <c r="F2228" s="474"/>
      <c r="G2228" s="696"/>
      <c r="H2228" s="474"/>
      <c r="I2228" s="696"/>
    </row>
    <row r="2229" spans="1:9" ht="12.75">
      <c r="A2229" s="998"/>
      <c r="B2229" s="999"/>
      <c r="C2229" s="474"/>
      <c r="D2229" s="474"/>
      <c r="E2229" s="474"/>
      <c r="F2229" s="474"/>
      <c r="G2229" s="696"/>
      <c r="H2229" s="474"/>
      <c r="I2229" s="696"/>
    </row>
    <row r="2230" spans="1:9" ht="12.75">
      <c r="A2230" s="998"/>
      <c r="B2230" s="999"/>
      <c r="C2230" s="474"/>
      <c r="D2230" s="474"/>
      <c r="E2230" s="474"/>
      <c r="F2230" s="474"/>
      <c r="G2230" s="696"/>
      <c r="H2230" s="474"/>
      <c r="I2230" s="696"/>
    </row>
    <row r="2231" spans="1:9" ht="12.75">
      <c r="A2231" s="998"/>
      <c r="B2231" s="999"/>
      <c r="C2231" s="474"/>
      <c r="D2231" s="474"/>
      <c r="E2231" s="474"/>
      <c r="F2231" s="474"/>
      <c r="G2231" s="696"/>
      <c r="H2231" s="474"/>
      <c r="I2231" s="696"/>
    </row>
    <row r="2232" spans="1:9" ht="12.75">
      <c r="A2232" s="998"/>
      <c r="B2232" s="999"/>
      <c r="C2232" s="474"/>
      <c r="D2232" s="474"/>
      <c r="E2232" s="474"/>
      <c r="F2232" s="474"/>
      <c r="G2232" s="696"/>
      <c r="H2232" s="474"/>
      <c r="I2232" s="696"/>
    </row>
    <row r="2233" spans="1:9" ht="12.75">
      <c r="A2233" s="998"/>
      <c r="B2233" s="999"/>
      <c r="C2233" s="474"/>
      <c r="D2233" s="474"/>
      <c r="E2233" s="474"/>
      <c r="F2233" s="474"/>
      <c r="G2233" s="696"/>
      <c r="H2233" s="474"/>
      <c r="I2233" s="696"/>
    </row>
    <row r="2234" spans="1:9" ht="12.75">
      <c r="A2234" s="998"/>
      <c r="B2234" s="999"/>
      <c r="C2234" s="474"/>
      <c r="D2234" s="474"/>
      <c r="E2234" s="474"/>
      <c r="F2234" s="474"/>
      <c r="G2234" s="696"/>
      <c r="H2234" s="474"/>
      <c r="I2234" s="696"/>
    </row>
    <row r="2235" spans="1:9" ht="12.75">
      <c r="A2235" s="998"/>
      <c r="B2235" s="999"/>
      <c r="C2235" s="474"/>
      <c r="D2235" s="474"/>
      <c r="E2235" s="474"/>
      <c r="F2235" s="474"/>
      <c r="G2235" s="696"/>
      <c r="H2235" s="474"/>
      <c r="I2235" s="696"/>
    </row>
    <row r="2236" spans="1:9" ht="12.75">
      <c r="A2236" s="998"/>
      <c r="B2236" s="999"/>
      <c r="C2236" s="474"/>
      <c r="D2236" s="474"/>
      <c r="E2236" s="474"/>
      <c r="F2236" s="474"/>
      <c r="G2236" s="696"/>
      <c r="H2236" s="474"/>
      <c r="I2236" s="696"/>
    </row>
    <row r="2237" spans="1:9" ht="12.75">
      <c r="A2237" s="998"/>
      <c r="B2237" s="999"/>
      <c r="C2237" s="474"/>
      <c r="D2237" s="474"/>
      <c r="E2237" s="474"/>
      <c r="F2237" s="474"/>
      <c r="G2237" s="696"/>
      <c r="H2237" s="474"/>
      <c r="I2237" s="696"/>
    </row>
    <row r="2238" spans="1:9" ht="12.75">
      <c r="A2238" s="998"/>
      <c r="B2238" s="999"/>
      <c r="C2238" s="474"/>
      <c r="D2238" s="474"/>
      <c r="E2238" s="474"/>
      <c r="F2238" s="474"/>
      <c r="G2238" s="696"/>
      <c r="H2238" s="474"/>
      <c r="I2238" s="696"/>
    </row>
    <row r="2239" spans="1:9" ht="12.75">
      <c r="A2239" s="998"/>
      <c r="B2239" s="999"/>
      <c r="C2239" s="474"/>
      <c r="D2239" s="474"/>
      <c r="E2239" s="474"/>
      <c r="F2239" s="474"/>
      <c r="G2239" s="696"/>
      <c r="H2239" s="474"/>
      <c r="I2239" s="696"/>
    </row>
    <row r="2240" spans="1:9" ht="12.75">
      <c r="A2240" s="998"/>
      <c r="B2240" s="999"/>
      <c r="C2240" s="474"/>
      <c r="D2240" s="474"/>
      <c r="E2240" s="474"/>
      <c r="F2240" s="474"/>
      <c r="G2240" s="696"/>
      <c r="H2240" s="474"/>
      <c r="I2240" s="696"/>
    </row>
    <row r="2241" spans="1:9" ht="12.75">
      <c r="A2241" s="998"/>
      <c r="B2241" s="999"/>
      <c r="C2241" s="474"/>
      <c r="D2241" s="474"/>
      <c r="E2241" s="474"/>
      <c r="F2241" s="474"/>
      <c r="G2241" s="696"/>
      <c r="H2241" s="474"/>
      <c r="I2241" s="696"/>
    </row>
    <row r="2242" spans="1:9" ht="12.75">
      <c r="A2242" s="998"/>
      <c r="B2242" s="999"/>
      <c r="C2242" s="474"/>
      <c r="D2242" s="474"/>
      <c r="E2242" s="474"/>
      <c r="F2242" s="474"/>
      <c r="G2242" s="696"/>
      <c r="H2242" s="474"/>
      <c r="I2242" s="696"/>
    </row>
    <row r="2243" spans="1:9" ht="12.75">
      <c r="A2243" s="998"/>
      <c r="B2243" s="999"/>
      <c r="C2243" s="474"/>
      <c r="D2243" s="474"/>
      <c r="E2243" s="474"/>
      <c r="F2243" s="474"/>
      <c r="G2243" s="696"/>
      <c r="H2243" s="474"/>
      <c r="I2243" s="696"/>
    </row>
    <row r="2244" spans="1:9" ht="12.75">
      <c r="A2244" s="998"/>
      <c r="B2244" s="999"/>
      <c r="C2244" s="474"/>
      <c r="D2244" s="474"/>
      <c r="E2244" s="474"/>
      <c r="F2244" s="474"/>
      <c r="G2244" s="696"/>
      <c r="H2244" s="474"/>
      <c r="I2244" s="696"/>
    </row>
    <row r="2245" spans="1:9" ht="12.75">
      <c r="A2245" s="998"/>
      <c r="B2245" s="999"/>
      <c r="C2245" s="474"/>
      <c r="D2245" s="474"/>
      <c r="E2245" s="474"/>
      <c r="F2245" s="474"/>
      <c r="G2245" s="696"/>
      <c r="H2245" s="474"/>
      <c r="I2245" s="696"/>
    </row>
    <row r="2246" spans="1:9" ht="12.75">
      <c r="A2246" s="998"/>
      <c r="B2246" s="999"/>
      <c r="C2246" s="474"/>
      <c r="D2246" s="474"/>
      <c r="E2246" s="474"/>
      <c r="F2246" s="474"/>
      <c r="G2246" s="696"/>
      <c r="H2246" s="474"/>
      <c r="I2246" s="696"/>
    </row>
    <row r="2247" spans="1:9" ht="12.75">
      <c r="A2247" s="998"/>
      <c r="B2247" s="999"/>
      <c r="C2247" s="474"/>
      <c r="D2247" s="474"/>
      <c r="E2247" s="474"/>
      <c r="F2247" s="474"/>
      <c r="G2247" s="696"/>
      <c r="H2247" s="474"/>
      <c r="I2247" s="696"/>
    </row>
    <row r="2248" spans="1:9" ht="12.75">
      <c r="A2248" s="998"/>
      <c r="B2248" s="999"/>
      <c r="C2248" s="474"/>
      <c r="D2248" s="474"/>
      <c r="E2248" s="474"/>
      <c r="F2248" s="474"/>
      <c r="G2248" s="696"/>
      <c r="H2248" s="474"/>
      <c r="I2248" s="696"/>
    </row>
    <row r="2249" spans="1:9" ht="12.75">
      <c r="A2249" s="998"/>
      <c r="B2249" s="999"/>
      <c r="C2249" s="474"/>
      <c r="D2249" s="474"/>
      <c r="E2249" s="474"/>
      <c r="F2249" s="474"/>
      <c r="G2249" s="696"/>
      <c r="H2249" s="474"/>
      <c r="I2249" s="696"/>
    </row>
    <row r="2250" spans="1:9" ht="12.75">
      <c r="A2250" s="998"/>
      <c r="B2250" s="999"/>
      <c r="C2250" s="474"/>
      <c r="D2250" s="474"/>
      <c r="E2250" s="474"/>
      <c r="F2250" s="474"/>
      <c r="G2250" s="696"/>
      <c r="H2250" s="474"/>
      <c r="I2250" s="696"/>
    </row>
    <row r="2251" spans="1:9" ht="12.75">
      <c r="A2251" s="998"/>
      <c r="B2251" s="999"/>
      <c r="C2251" s="474"/>
      <c r="D2251" s="474"/>
      <c r="E2251" s="474"/>
      <c r="F2251" s="474"/>
      <c r="G2251" s="696"/>
      <c r="H2251" s="474"/>
      <c r="I2251" s="696"/>
    </row>
    <row r="2252" spans="1:9" ht="12.75">
      <c r="A2252" s="998"/>
      <c r="B2252" s="999"/>
      <c r="C2252" s="474"/>
      <c r="D2252" s="474"/>
      <c r="E2252" s="474"/>
      <c r="F2252" s="474"/>
      <c r="G2252" s="696"/>
      <c r="H2252" s="474"/>
      <c r="I2252" s="696"/>
    </row>
    <row r="2253" spans="1:9" ht="12.75">
      <c r="A2253" s="998"/>
      <c r="B2253" s="999"/>
      <c r="C2253" s="474"/>
      <c r="D2253" s="474"/>
      <c r="E2253" s="474"/>
      <c r="F2253" s="474"/>
      <c r="G2253" s="696"/>
      <c r="H2253" s="474"/>
      <c r="I2253" s="696"/>
    </row>
    <row r="2254" spans="1:9" ht="12.75">
      <c r="A2254" s="998"/>
      <c r="B2254" s="999"/>
      <c r="C2254" s="474"/>
      <c r="D2254" s="474"/>
      <c r="E2254" s="474"/>
      <c r="F2254" s="474"/>
      <c r="G2254" s="696"/>
      <c r="H2254" s="474"/>
      <c r="I2254" s="696"/>
    </row>
    <row r="2255" spans="1:9" ht="12.75">
      <c r="A2255" s="998"/>
      <c r="B2255" s="999"/>
      <c r="C2255" s="474"/>
      <c r="D2255" s="474"/>
      <c r="E2255" s="474"/>
      <c r="F2255" s="474"/>
      <c r="G2255" s="696"/>
      <c r="H2255" s="474"/>
      <c r="I2255" s="696"/>
    </row>
    <row r="2256" spans="1:9" ht="12.75">
      <c r="A2256" s="998"/>
      <c r="B2256" s="999"/>
      <c r="C2256" s="474"/>
      <c r="D2256" s="474"/>
      <c r="E2256" s="474"/>
      <c r="F2256" s="474"/>
      <c r="G2256" s="696"/>
      <c r="H2256" s="474"/>
      <c r="I2256" s="696"/>
    </row>
    <row r="2257" spans="1:9" ht="12.75">
      <c r="A2257" s="998"/>
      <c r="B2257" s="999"/>
      <c r="C2257" s="474"/>
      <c r="D2257" s="474"/>
      <c r="E2257" s="474"/>
      <c r="F2257" s="474"/>
      <c r="G2257" s="696"/>
      <c r="H2257" s="474"/>
      <c r="I2257" s="696"/>
    </row>
    <row r="2258" spans="1:9" ht="12.75">
      <c r="A2258" s="998"/>
      <c r="B2258" s="999"/>
      <c r="C2258" s="474"/>
      <c r="D2258" s="474"/>
      <c r="E2258" s="474"/>
      <c r="F2258" s="474"/>
      <c r="G2258" s="696"/>
      <c r="H2258" s="474"/>
      <c r="I2258" s="696"/>
    </row>
    <row r="2259" spans="1:9" ht="12.75">
      <c r="A2259" s="998"/>
      <c r="B2259" s="999"/>
      <c r="C2259" s="474"/>
      <c r="D2259" s="474"/>
      <c r="E2259" s="474"/>
      <c r="F2259" s="474"/>
      <c r="G2259" s="696"/>
      <c r="H2259" s="474"/>
      <c r="I2259" s="696"/>
    </row>
    <row r="2260" spans="1:9" ht="12.75">
      <c r="A2260" s="998"/>
      <c r="B2260" s="999"/>
      <c r="C2260" s="474"/>
      <c r="D2260" s="474"/>
      <c r="E2260" s="474"/>
      <c r="F2260" s="474"/>
      <c r="G2260" s="696"/>
      <c r="H2260" s="474"/>
      <c r="I2260" s="696"/>
    </row>
    <row r="2261" spans="1:9" ht="12.75">
      <c r="A2261" s="998"/>
      <c r="B2261" s="999"/>
      <c r="C2261" s="474"/>
      <c r="D2261" s="474"/>
      <c r="E2261" s="474"/>
      <c r="F2261" s="474"/>
      <c r="G2261" s="696"/>
      <c r="H2261" s="474"/>
      <c r="I2261" s="696"/>
    </row>
    <row r="2262" spans="1:9" ht="12.75">
      <c r="A2262" s="998"/>
      <c r="B2262" s="999"/>
      <c r="C2262" s="474"/>
      <c r="D2262" s="474"/>
      <c r="E2262" s="474"/>
      <c r="F2262" s="474"/>
      <c r="G2262" s="696"/>
      <c r="H2262" s="474"/>
      <c r="I2262" s="696"/>
    </row>
    <row r="2263" spans="1:9" ht="12.75">
      <c r="A2263" s="998"/>
      <c r="B2263" s="999"/>
      <c r="C2263" s="474"/>
      <c r="D2263" s="474"/>
      <c r="E2263" s="474"/>
      <c r="F2263" s="474"/>
      <c r="G2263" s="696"/>
      <c r="H2263" s="474"/>
      <c r="I2263" s="696"/>
    </row>
    <row r="2264" spans="1:9" ht="12.75">
      <c r="A2264" s="998"/>
      <c r="B2264" s="999"/>
      <c r="C2264" s="474"/>
      <c r="D2264" s="474"/>
      <c r="E2264" s="474"/>
      <c r="F2264" s="474"/>
      <c r="G2264" s="696"/>
      <c r="H2264" s="474"/>
      <c r="I2264" s="696"/>
    </row>
    <row r="2265" spans="1:9" ht="12.75">
      <c r="A2265" s="998"/>
      <c r="B2265" s="999"/>
      <c r="C2265" s="474"/>
      <c r="D2265" s="474"/>
      <c r="E2265" s="474"/>
      <c r="F2265" s="474"/>
      <c r="G2265" s="696"/>
      <c r="H2265" s="474"/>
      <c r="I2265" s="696"/>
    </row>
    <row r="2266" spans="1:9" ht="12.75">
      <c r="A2266" s="998"/>
      <c r="B2266" s="999"/>
      <c r="C2266" s="474"/>
      <c r="D2266" s="474"/>
      <c r="E2266" s="474"/>
      <c r="F2266" s="474"/>
      <c r="G2266" s="696"/>
      <c r="H2266" s="474"/>
      <c r="I2266" s="696"/>
    </row>
    <row r="2267" spans="1:9" ht="12.75">
      <c r="A2267" s="998"/>
      <c r="B2267" s="999"/>
      <c r="C2267" s="474"/>
      <c r="D2267" s="474"/>
      <c r="E2267" s="474"/>
      <c r="F2267" s="474"/>
      <c r="G2267" s="696"/>
      <c r="H2267" s="474"/>
      <c r="I2267" s="696"/>
    </row>
    <row r="2268" spans="1:9" ht="12.75">
      <c r="A2268" s="998"/>
      <c r="B2268" s="999"/>
      <c r="C2268" s="474"/>
      <c r="D2268" s="474"/>
      <c r="E2268" s="474"/>
      <c r="F2268" s="474"/>
      <c r="G2268" s="696"/>
      <c r="H2268" s="474"/>
      <c r="I2268" s="696"/>
    </row>
    <row r="2269" spans="1:9" ht="12.75">
      <c r="A2269" s="998"/>
      <c r="B2269" s="999"/>
      <c r="C2269" s="474"/>
      <c r="D2269" s="474"/>
      <c r="E2269" s="474"/>
      <c r="F2269" s="474"/>
      <c r="G2269" s="696"/>
      <c r="H2269" s="474"/>
      <c r="I2269" s="696"/>
    </row>
    <row r="2270" spans="1:9" ht="12.75">
      <c r="A2270" s="998"/>
      <c r="B2270" s="999"/>
      <c r="C2270" s="474"/>
      <c r="D2270" s="474"/>
      <c r="E2270" s="474"/>
      <c r="F2270" s="474"/>
      <c r="G2270" s="696"/>
      <c r="H2270" s="474"/>
      <c r="I2270" s="696"/>
    </row>
    <row r="2271" spans="1:9" ht="12.75">
      <c r="A2271" s="998"/>
      <c r="B2271" s="999"/>
      <c r="C2271" s="474"/>
      <c r="D2271" s="474"/>
      <c r="E2271" s="474"/>
      <c r="F2271" s="474"/>
      <c r="G2271" s="696"/>
      <c r="H2271" s="474"/>
      <c r="I2271" s="696"/>
    </row>
    <row r="2272" spans="1:9" ht="12.75">
      <c r="A2272" s="998"/>
      <c r="B2272" s="999"/>
      <c r="C2272" s="474"/>
      <c r="D2272" s="474"/>
      <c r="E2272" s="474"/>
      <c r="F2272" s="474"/>
      <c r="G2272" s="696"/>
      <c r="H2272" s="474"/>
      <c r="I2272" s="696"/>
    </row>
    <row r="2273" spans="1:9" ht="12.75">
      <c r="A2273" s="998"/>
      <c r="B2273" s="999"/>
      <c r="C2273" s="474"/>
      <c r="D2273" s="474"/>
      <c r="E2273" s="474"/>
      <c r="F2273" s="474"/>
      <c r="G2273" s="696"/>
      <c r="H2273" s="474"/>
      <c r="I2273" s="696"/>
    </row>
    <row r="2274" spans="1:9" ht="12.75">
      <c r="A2274" s="998"/>
      <c r="B2274" s="999"/>
      <c r="C2274" s="474"/>
      <c r="D2274" s="474"/>
      <c r="E2274" s="474"/>
      <c r="F2274" s="474"/>
      <c r="G2274" s="696"/>
      <c r="H2274" s="474"/>
      <c r="I2274" s="696"/>
    </row>
    <row r="2275" spans="1:9" ht="12.75">
      <c r="A2275" s="998"/>
      <c r="B2275" s="999"/>
      <c r="C2275" s="474"/>
      <c r="D2275" s="474"/>
      <c r="E2275" s="474"/>
      <c r="F2275" s="474"/>
      <c r="G2275" s="696"/>
      <c r="H2275" s="474"/>
      <c r="I2275" s="696"/>
    </row>
    <row r="2276" spans="1:9" ht="12.75">
      <c r="A2276" s="998"/>
      <c r="B2276" s="999"/>
      <c r="C2276" s="474"/>
      <c r="D2276" s="474"/>
      <c r="E2276" s="474"/>
      <c r="F2276" s="474"/>
      <c r="G2276" s="696"/>
      <c r="H2276" s="474"/>
      <c r="I2276" s="696"/>
    </row>
    <row r="2277" spans="1:9" ht="12.75">
      <c r="A2277" s="998"/>
      <c r="B2277" s="999"/>
      <c r="C2277" s="474"/>
      <c r="D2277" s="474"/>
      <c r="E2277" s="474"/>
      <c r="F2277" s="474"/>
      <c r="G2277" s="696"/>
      <c r="H2277" s="474"/>
      <c r="I2277" s="696"/>
    </row>
    <row r="2278" spans="1:9" ht="12.75">
      <c r="A2278" s="998"/>
      <c r="B2278" s="999"/>
      <c r="C2278" s="474"/>
      <c r="D2278" s="474"/>
      <c r="E2278" s="474"/>
      <c r="F2278" s="474"/>
      <c r="G2278" s="696"/>
      <c r="H2278" s="474"/>
      <c r="I2278" s="696"/>
    </row>
    <row r="2279" spans="1:9" ht="12.75">
      <c r="A2279" s="998"/>
      <c r="B2279" s="999"/>
      <c r="C2279" s="474"/>
      <c r="D2279" s="474"/>
      <c r="E2279" s="474"/>
      <c r="F2279" s="474"/>
      <c r="G2279" s="696"/>
      <c r="H2279" s="474"/>
      <c r="I2279" s="696"/>
    </row>
    <row r="2280" spans="1:9" ht="12.75">
      <c r="A2280" s="998"/>
      <c r="B2280" s="999"/>
      <c r="C2280" s="474"/>
      <c r="D2280" s="474"/>
      <c r="E2280" s="474"/>
      <c r="F2280" s="474"/>
      <c r="G2280" s="696"/>
      <c r="H2280" s="474"/>
      <c r="I2280" s="696"/>
    </row>
    <row r="2281" spans="1:9" ht="12.75">
      <c r="A2281" s="998"/>
      <c r="B2281" s="999"/>
      <c r="C2281" s="474"/>
      <c r="D2281" s="474"/>
      <c r="E2281" s="474"/>
      <c r="F2281" s="474"/>
      <c r="G2281" s="696"/>
      <c r="H2281" s="474"/>
      <c r="I2281" s="696"/>
    </row>
    <row r="2282" spans="1:9" ht="12.75">
      <c r="A2282" s="998"/>
      <c r="B2282" s="999"/>
      <c r="C2282" s="474"/>
      <c r="D2282" s="474"/>
      <c r="E2282" s="474"/>
      <c r="F2282" s="474"/>
      <c r="G2282" s="696"/>
      <c r="H2282" s="474"/>
      <c r="I2282" s="696"/>
    </row>
    <row r="2283" spans="1:9" ht="12.75">
      <c r="A2283" s="998"/>
      <c r="B2283" s="999"/>
      <c r="C2283" s="474"/>
      <c r="D2283" s="474"/>
      <c r="E2283" s="474"/>
      <c r="F2283" s="474"/>
      <c r="G2283" s="696"/>
      <c r="H2283" s="474"/>
      <c r="I2283" s="696"/>
    </row>
    <row r="2284" spans="1:9" ht="12.75">
      <c r="A2284" s="998"/>
      <c r="B2284" s="999"/>
      <c r="C2284" s="474"/>
      <c r="D2284" s="474"/>
      <c r="E2284" s="474"/>
      <c r="F2284" s="474"/>
      <c r="G2284" s="696"/>
      <c r="H2284" s="474"/>
      <c r="I2284" s="696"/>
    </row>
    <row r="2285" spans="1:9" ht="12.75">
      <c r="A2285" s="998"/>
      <c r="B2285" s="999"/>
      <c r="C2285" s="474"/>
      <c r="D2285" s="474"/>
      <c r="E2285" s="474"/>
      <c r="F2285" s="474"/>
      <c r="G2285" s="696"/>
      <c r="H2285" s="474"/>
      <c r="I2285" s="696"/>
    </row>
    <row r="2286" spans="1:9" ht="12.75">
      <c r="A2286" s="998"/>
      <c r="B2286" s="999"/>
      <c r="C2286" s="474"/>
      <c r="D2286" s="474"/>
      <c r="E2286" s="474"/>
      <c r="F2286" s="474"/>
      <c r="G2286" s="696"/>
      <c r="H2286" s="474"/>
      <c r="I2286" s="696"/>
    </row>
    <row r="2287" spans="1:9" ht="12.75">
      <c r="A2287" s="998"/>
      <c r="B2287" s="999"/>
      <c r="C2287" s="474"/>
      <c r="D2287" s="474"/>
      <c r="E2287" s="474"/>
      <c r="F2287" s="474"/>
      <c r="G2287" s="696"/>
      <c r="H2287" s="474"/>
      <c r="I2287" s="696"/>
    </row>
    <row r="2288" spans="1:9" ht="12.75">
      <c r="A2288" s="998"/>
      <c r="B2288" s="999"/>
      <c r="C2288" s="474"/>
      <c r="D2288" s="474"/>
      <c r="E2288" s="474"/>
      <c r="F2288" s="474"/>
      <c r="G2288" s="696"/>
      <c r="H2288" s="474"/>
      <c r="I2288" s="696"/>
    </row>
    <row r="2289" spans="1:9" ht="12.75">
      <c r="A2289" s="998"/>
      <c r="B2289" s="999"/>
      <c r="C2289" s="474"/>
      <c r="D2289" s="474"/>
      <c r="E2289" s="474"/>
      <c r="F2289" s="474"/>
      <c r="G2289" s="696"/>
      <c r="H2289" s="474"/>
      <c r="I2289" s="696"/>
    </row>
    <row r="2290" spans="1:9" ht="12.75">
      <c r="A2290" s="998"/>
      <c r="B2290" s="999"/>
      <c r="C2290" s="474"/>
      <c r="D2290" s="474"/>
      <c r="E2290" s="474"/>
      <c r="F2290" s="474"/>
      <c r="G2290" s="696"/>
      <c r="H2290" s="474"/>
      <c r="I2290" s="696"/>
    </row>
    <row r="2291" spans="1:9" ht="12.75">
      <c r="A2291" s="998"/>
      <c r="B2291" s="999"/>
      <c r="C2291" s="474"/>
      <c r="D2291" s="474"/>
      <c r="E2291" s="474"/>
      <c r="F2291" s="474"/>
      <c r="G2291" s="696"/>
      <c r="H2291" s="474"/>
      <c r="I2291" s="696"/>
    </row>
    <row r="2292" spans="1:9" ht="12.75">
      <c r="A2292" s="998"/>
      <c r="B2292" s="999"/>
      <c r="C2292" s="474"/>
      <c r="D2292" s="474"/>
      <c r="E2292" s="474"/>
      <c r="F2292" s="474"/>
      <c r="G2292" s="696"/>
      <c r="H2292" s="474"/>
      <c r="I2292" s="696"/>
    </row>
    <row r="2293" spans="1:9" ht="12.75">
      <c r="A2293" s="998"/>
      <c r="B2293" s="999"/>
      <c r="C2293" s="474"/>
      <c r="D2293" s="474"/>
      <c r="E2293" s="474"/>
      <c r="F2293" s="474"/>
      <c r="G2293" s="696"/>
      <c r="H2293" s="474"/>
      <c r="I2293" s="696"/>
    </row>
    <row r="2294" spans="1:9" ht="12.75">
      <c r="A2294" s="998"/>
      <c r="B2294" s="999"/>
      <c r="C2294" s="474"/>
      <c r="D2294" s="474"/>
      <c r="E2294" s="474"/>
      <c r="F2294" s="474"/>
      <c r="G2294" s="696"/>
      <c r="H2294" s="474"/>
      <c r="I2294" s="696"/>
    </row>
    <row r="2295" spans="1:9" ht="12.75">
      <c r="A2295" s="998"/>
      <c r="B2295" s="999"/>
      <c r="C2295" s="474"/>
      <c r="D2295" s="474"/>
      <c r="E2295" s="474"/>
      <c r="F2295" s="474"/>
      <c r="G2295" s="696"/>
      <c r="H2295" s="474"/>
      <c r="I2295" s="696"/>
    </row>
    <row r="2296" spans="1:9" ht="12.75">
      <c r="A2296" s="998"/>
      <c r="B2296" s="999"/>
      <c r="C2296" s="474"/>
      <c r="D2296" s="474"/>
      <c r="E2296" s="474"/>
      <c r="F2296" s="474"/>
      <c r="G2296" s="696"/>
      <c r="H2296" s="474"/>
      <c r="I2296" s="696"/>
    </row>
    <row r="2297" spans="1:9" ht="12.75">
      <c r="A2297" s="998"/>
      <c r="B2297" s="999"/>
      <c r="C2297" s="474"/>
      <c r="D2297" s="474"/>
      <c r="E2297" s="474"/>
      <c r="F2297" s="474"/>
      <c r="G2297" s="696"/>
      <c r="H2297" s="474"/>
      <c r="I2297" s="696"/>
    </row>
    <row r="2298" spans="1:9" ht="12.75">
      <c r="A2298" s="998"/>
      <c r="B2298" s="999"/>
      <c r="C2298" s="474"/>
      <c r="D2298" s="474"/>
      <c r="E2298" s="474"/>
      <c r="F2298" s="474"/>
      <c r="G2298" s="696"/>
      <c r="H2298" s="474"/>
      <c r="I2298" s="696"/>
    </row>
    <row r="2299" spans="1:9" ht="12.75">
      <c r="A2299" s="998"/>
      <c r="B2299" s="999"/>
      <c r="C2299" s="474"/>
      <c r="D2299" s="474"/>
      <c r="E2299" s="474"/>
      <c r="F2299" s="474"/>
      <c r="G2299" s="696"/>
      <c r="H2299" s="474"/>
      <c r="I2299" s="696"/>
    </row>
    <row r="2300" spans="1:9" ht="12.75">
      <c r="A2300" s="998"/>
      <c r="B2300" s="999"/>
      <c r="C2300" s="474"/>
      <c r="D2300" s="474"/>
      <c r="E2300" s="474"/>
      <c r="F2300" s="474"/>
      <c r="G2300" s="696"/>
      <c r="H2300" s="474"/>
      <c r="I2300" s="696"/>
    </row>
    <row r="2301" spans="1:9" ht="12.75">
      <c r="A2301" s="998"/>
      <c r="B2301" s="999"/>
      <c r="C2301" s="474"/>
      <c r="D2301" s="474"/>
      <c r="E2301" s="474"/>
      <c r="F2301" s="474"/>
      <c r="G2301" s="696"/>
      <c r="H2301" s="474"/>
      <c r="I2301" s="696"/>
    </row>
    <row r="2302" spans="1:9" ht="12.75">
      <c r="A2302" s="998"/>
      <c r="B2302" s="999"/>
      <c r="C2302" s="474"/>
      <c r="D2302" s="474"/>
      <c r="E2302" s="474"/>
      <c r="F2302" s="474"/>
      <c r="G2302" s="696"/>
      <c r="H2302" s="474"/>
      <c r="I2302" s="696"/>
    </row>
    <row r="2303" spans="1:9" ht="12.75">
      <c r="A2303" s="998"/>
      <c r="B2303" s="999"/>
      <c r="C2303" s="474"/>
      <c r="D2303" s="474"/>
      <c r="E2303" s="474"/>
      <c r="F2303" s="474"/>
      <c r="G2303" s="696"/>
      <c r="H2303" s="474"/>
      <c r="I2303" s="696"/>
    </row>
    <row r="2304" spans="1:9" ht="12.75">
      <c r="A2304" s="998"/>
      <c r="B2304" s="999"/>
      <c r="C2304" s="474"/>
      <c r="D2304" s="474"/>
      <c r="E2304" s="474"/>
      <c r="F2304" s="474"/>
      <c r="G2304" s="696"/>
      <c r="H2304" s="474"/>
      <c r="I2304" s="696"/>
    </row>
    <row r="2305" spans="1:9" ht="12.75">
      <c r="A2305" s="998"/>
      <c r="B2305" s="999"/>
      <c r="C2305" s="474"/>
      <c r="D2305" s="474"/>
      <c r="E2305" s="474"/>
      <c r="F2305" s="474"/>
      <c r="G2305" s="696"/>
      <c r="H2305" s="474"/>
      <c r="I2305" s="696"/>
    </row>
    <row r="2306" spans="1:9" ht="12.75">
      <c r="A2306" s="998"/>
      <c r="B2306" s="999"/>
      <c r="C2306" s="474"/>
      <c r="D2306" s="474"/>
      <c r="E2306" s="474"/>
      <c r="F2306" s="474"/>
      <c r="G2306" s="696"/>
      <c r="H2306" s="474"/>
      <c r="I2306" s="696"/>
    </row>
    <row r="2307" spans="1:9" ht="12.75">
      <c r="A2307" s="998"/>
      <c r="B2307" s="999"/>
      <c r="C2307" s="474"/>
      <c r="D2307" s="474"/>
      <c r="E2307" s="474"/>
      <c r="F2307" s="474"/>
      <c r="G2307" s="696"/>
      <c r="H2307" s="474"/>
      <c r="I2307" s="696"/>
    </row>
    <row r="2308" spans="1:9" ht="12.75">
      <c r="A2308" s="998"/>
      <c r="B2308" s="999"/>
      <c r="C2308" s="474"/>
      <c r="D2308" s="474"/>
      <c r="E2308" s="474"/>
      <c r="F2308" s="474"/>
      <c r="G2308" s="696"/>
      <c r="H2308" s="474"/>
      <c r="I2308" s="696"/>
    </row>
    <row r="2309" spans="1:9" ht="12.75">
      <c r="A2309" s="998"/>
      <c r="B2309" s="999"/>
      <c r="C2309" s="474"/>
      <c r="D2309" s="474"/>
      <c r="E2309" s="474"/>
      <c r="F2309" s="474"/>
      <c r="G2309" s="696"/>
      <c r="H2309" s="474"/>
      <c r="I2309" s="696"/>
    </row>
    <row r="2310" spans="1:9" ht="12.75">
      <c r="A2310" s="998"/>
      <c r="B2310" s="999"/>
      <c r="C2310" s="474"/>
      <c r="D2310" s="474"/>
      <c r="E2310" s="474"/>
      <c r="F2310" s="474"/>
      <c r="G2310" s="696"/>
      <c r="H2310" s="474"/>
      <c r="I2310" s="696"/>
    </row>
    <row r="2311" spans="1:9" ht="12.75">
      <c r="A2311" s="998"/>
      <c r="B2311" s="999"/>
      <c r="C2311" s="474"/>
      <c r="D2311" s="474"/>
      <c r="E2311" s="474"/>
      <c r="F2311" s="474"/>
      <c r="G2311" s="696"/>
      <c r="H2311" s="474"/>
      <c r="I2311" s="696"/>
    </row>
    <row r="2312" spans="1:9" ht="12.75">
      <c r="A2312" s="998"/>
      <c r="B2312" s="999"/>
      <c r="C2312" s="474"/>
      <c r="D2312" s="474"/>
      <c r="E2312" s="474"/>
      <c r="F2312" s="474"/>
      <c r="G2312" s="696"/>
      <c r="H2312" s="474"/>
      <c r="I2312" s="696"/>
    </row>
    <row r="2313" spans="1:9" ht="12.75">
      <c r="A2313" s="998"/>
      <c r="B2313" s="999"/>
      <c r="C2313" s="474"/>
      <c r="D2313" s="474"/>
      <c r="E2313" s="474"/>
      <c r="F2313" s="474"/>
      <c r="G2313" s="696"/>
      <c r="H2313" s="474"/>
      <c r="I2313" s="696"/>
    </row>
    <row r="2314" spans="1:9" ht="12.75">
      <c r="A2314" s="998"/>
      <c r="B2314" s="999"/>
      <c r="C2314" s="474"/>
      <c r="D2314" s="474"/>
      <c r="E2314" s="474"/>
      <c r="F2314" s="474"/>
      <c r="G2314" s="696"/>
      <c r="H2314" s="474"/>
      <c r="I2314" s="696"/>
    </row>
    <row r="2315" spans="1:9" ht="12.75">
      <c r="A2315" s="998"/>
      <c r="B2315" s="999"/>
      <c r="C2315" s="474"/>
      <c r="D2315" s="474"/>
      <c r="E2315" s="474"/>
      <c r="F2315" s="474"/>
      <c r="G2315" s="696"/>
      <c r="H2315" s="474"/>
      <c r="I2315" s="696"/>
    </row>
    <row r="2316" spans="1:9" ht="12.75">
      <c r="A2316" s="998"/>
      <c r="B2316" s="999"/>
      <c r="C2316" s="474"/>
      <c r="D2316" s="474"/>
      <c r="E2316" s="474"/>
      <c r="F2316" s="474"/>
      <c r="G2316" s="696"/>
      <c r="H2316" s="474"/>
      <c r="I2316" s="696"/>
    </row>
    <row r="2317" spans="1:9" ht="12.75">
      <c r="A2317" s="998"/>
      <c r="B2317" s="999"/>
      <c r="C2317" s="474"/>
      <c r="D2317" s="474"/>
      <c r="E2317" s="474"/>
      <c r="F2317" s="474"/>
      <c r="G2317" s="696"/>
      <c r="H2317" s="474"/>
      <c r="I2317" s="696"/>
    </row>
    <row r="2318" spans="1:9" ht="12.75">
      <c r="A2318" s="998"/>
      <c r="B2318" s="999"/>
      <c r="C2318" s="474"/>
      <c r="D2318" s="474"/>
      <c r="E2318" s="474"/>
      <c r="F2318" s="474"/>
      <c r="G2318" s="696"/>
      <c r="H2318" s="474"/>
      <c r="I2318" s="696"/>
    </row>
    <row r="2319" spans="1:9" ht="12.75">
      <c r="A2319" s="998"/>
      <c r="B2319" s="999"/>
      <c r="C2319" s="474"/>
      <c r="D2319" s="474"/>
      <c r="E2319" s="474"/>
      <c r="F2319" s="474"/>
      <c r="G2319" s="696"/>
      <c r="H2319" s="474"/>
      <c r="I2319" s="696"/>
    </row>
    <row r="2320" spans="1:9" ht="12.75">
      <c r="A2320" s="998"/>
      <c r="B2320" s="999"/>
      <c r="C2320" s="474"/>
      <c r="D2320" s="474"/>
      <c r="E2320" s="474"/>
      <c r="F2320" s="474"/>
      <c r="G2320" s="696"/>
      <c r="H2320" s="474"/>
      <c r="I2320" s="696"/>
    </row>
    <row r="2321" spans="1:9" ht="12.75">
      <c r="A2321" s="998"/>
      <c r="B2321" s="999"/>
      <c r="C2321" s="474"/>
      <c r="D2321" s="474"/>
      <c r="E2321" s="474"/>
      <c r="F2321" s="474"/>
      <c r="G2321" s="696"/>
      <c r="H2321" s="474"/>
      <c r="I2321" s="696"/>
    </row>
    <row r="2322" spans="1:9" ht="12.75">
      <c r="A2322" s="998"/>
      <c r="B2322" s="999"/>
      <c r="C2322" s="474"/>
      <c r="D2322" s="474"/>
      <c r="E2322" s="474"/>
      <c r="F2322" s="474"/>
      <c r="G2322" s="696"/>
      <c r="H2322" s="474"/>
      <c r="I2322" s="696"/>
    </row>
    <row r="2323" spans="1:9" ht="12.75">
      <c r="A2323" s="998"/>
      <c r="B2323" s="999"/>
      <c r="C2323" s="474"/>
      <c r="D2323" s="474"/>
      <c r="E2323" s="474"/>
      <c r="F2323" s="474"/>
      <c r="G2323" s="696"/>
      <c r="H2323" s="474"/>
      <c r="I2323" s="696"/>
    </row>
    <row r="2324" spans="1:9" ht="12.75">
      <c r="A2324" s="998"/>
      <c r="B2324" s="999"/>
      <c r="C2324" s="474"/>
      <c r="D2324" s="474"/>
      <c r="E2324" s="474"/>
      <c r="F2324" s="474"/>
      <c r="G2324" s="696"/>
      <c r="H2324" s="474"/>
      <c r="I2324" s="696"/>
    </row>
    <row r="2325" spans="1:9" ht="12.75">
      <c r="A2325" s="998"/>
      <c r="B2325" s="999"/>
      <c r="C2325" s="474"/>
      <c r="D2325" s="474"/>
      <c r="E2325" s="474"/>
      <c r="F2325" s="474"/>
      <c r="G2325" s="696"/>
      <c r="H2325" s="474"/>
      <c r="I2325" s="696"/>
    </row>
    <row r="2326" spans="1:9" ht="12.75">
      <c r="A2326" s="998"/>
      <c r="B2326" s="999"/>
      <c r="C2326" s="474"/>
      <c r="D2326" s="474"/>
      <c r="E2326" s="474"/>
      <c r="F2326" s="474"/>
      <c r="G2326" s="696"/>
      <c r="H2326" s="474"/>
      <c r="I2326" s="696"/>
    </row>
    <row r="2327" spans="1:9" ht="12.75">
      <c r="A2327" s="998"/>
      <c r="B2327" s="999"/>
      <c r="C2327" s="474"/>
      <c r="D2327" s="474"/>
      <c r="E2327" s="474"/>
      <c r="F2327" s="474"/>
      <c r="G2327" s="696"/>
      <c r="H2327" s="474"/>
      <c r="I2327" s="696"/>
    </row>
    <row r="2328" spans="1:9" ht="12.75">
      <c r="A2328" s="998"/>
      <c r="B2328" s="999"/>
      <c r="C2328" s="474"/>
      <c r="D2328" s="474"/>
      <c r="E2328" s="474"/>
      <c r="F2328" s="474"/>
      <c r="G2328" s="696"/>
      <c r="H2328" s="474"/>
      <c r="I2328" s="696"/>
    </row>
    <row r="2329" spans="1:9" ht="12.75">
      <c r="A2329" s="998"/>
      <c r="B2329" s="999"/>
      <c r="C2329" s="474"/>
      <c r="D2329" s="474"/>
      <c r="E2329" s="474"/>
      <c r="F2329" s="474"/>
      <c r="G2329" s="696"/>
      <c r="H2329" s="474"/>
      <c r="I2329" s="696"/>
    </row>
    <row r="2330" spans="1:9" ht="12.75">
      <c r="A2330" s="998"/>
      <c r="B2330" s="999"/>
      <c r="C2330" s="474"/>
      <c r="D2330" s="474"/>
      <c r="E2330" s="474"/>
      <c r="F2330" s="474"/>
      <c r="G2330" s="696"/>
      <c r="H2330" s="474"/>
      <c r="I2330" s="696"/>
    </row>
    <row r="2331" spans="1:9" ht="12.75">
      <c r="A2331" s="998"/>
      <c r="B2331" s="999"/>
      <c r="C2331" s="474"/>
      <c r="D2331" s="474"/>
      <c r="E2331" s="474"/>
      <c r="F2331" s="474"/>
      <c r="G2331" s="696"/>
      <c r="H2331" s="474"/>
      <c r="I2331" s="696"/>
    </row>
    <row r="2332" spans="1:9" ht="12.75">
      <c r="A2332" s="998"/>
      <c r="B2332" s="999"/>
      <c r="C2332" s="474"/>
      <c r="D2332" s="474"/>
      <c r="E2332" s="474"/>
      <c r="F2332" s="474"/>
      <c r="G2332" s="696"/>
      <c r="H2332" s="474"/>
      <c r="I2332" s="696"/>
    </row>
    <row r="2333" spans="1:9" ht="12.75">
      <c r="A2333" s="998"/>
      <c r="B2333" s="999"/>
      <c r="C2333" s="474"/>
      <c r="D2333" s="474"/>
      <c r="E2333" s="474"/>
      <c r="F2333" s="474"/>
      <c r="G2333" s="696"/>
      <c r="H2333" s="474"/>
      <c r="I2333" s="696"/>
    </row>
    <row r="2334" spans="1:9" ht="12.75">
      <c r="A2334" s="998"/>
      <c r="B2334" s="999"/>
      <c r="C2334" s="474"/>
      <c r="D2334" s="474"/>
      <c r="E2334" s="474"/>
      <c r="F2334" s="474"/>
      <c r="G2334" s="696"/>
      <c r="H2334" s="474"/>
      <c r="I2334" s="696"/>
    </row>
    <row r="2335" spans="1:9" ht="12.75">
      <c r="A2335" s="998"/>
      <c r="B2335" s="999"/>
      <c r="C2335" s="474"/>
      <c r="D2335" s="474"/>
      <c r="E2335" s="474"/>
      <c r="F2335" s="474"/>
      <c r="G2335" s="696"/>
      <c r="H2335" s="474"/>
      <c r="I2335" s="696"/>
    </row>
    <row r="2336" spans="1:9" ht="12.75">
      <c r="A2336" s="998"/>
      <c r="B2336" s="999"/>
      <c r="C2336" s="474"/>
      <c r="D2336" s="474"/>
      <c r="E2336" s="474"/>
      <c r="F2336" s="474"/>
      <c r="G2336" s="696"/>
      <c r="H2336" s="474"/>
      <c r="I2336" s="696"/>
    </row>
    <row r="2337" spans="1:9" ht="12.75">
      <c r="A2337" s="998"/>
      <c r="B2337" s="999"/>
      <c r="C2337" s="474"/>
      <c r="D2337" s="474"/>
      <c r="E2337" s="474"/>
      <c r="F2337" s="474"/>
      <c r="G2337" s="696"/>
      <c r="H2337" s="474"/>
      <c r="I2337" s="696"/>
    </row>
    <row r="2338" spans="1:9" ht="12.75">
      <c r="A2338" s="998"/>
      <c r="B2338" s="999"/>
      <c r="C2338" s="474"/>
      <c r="D2338" s="474"/>
      <c r="E2338" s="474"/>
      <c r="F2338" s="474"/>
      <c r="G2338" s="696"/>
      <c r="H2338" s="474"/>
      <c r="I2338" s="696"/>
    </row>
    <row r="2339" spans="1:9" ht="12.75">
      <c r="A2339" s="998"/>
      <c r="B2339" s="999"/>
      <c r="C2339" s="474"/>
      <c r="D2339" s="474"/>
      <c r="E2339" s="474"/>
      <c r="F2339" s="474"/>
      <c r="G2339" s="696"/>
      <c r="H2339" s="474"/>
      <c r="I2339" s="696"/>
    </row>
    <row r="2340" spans="1:9" ht="12.75">
      <c r="A2340" s="998"/>
      <c r="B2340" s="999"/>
      <c r="C2340" s="474"/>
      <c r="D2340" s="474"/>
      <c r="E2340" s="474"/>
      <c r="F2340" s="474"/>
      <c r="G2340" s="696"/>
      <c r="H2340" s="474"/>
      <c r="I2340" s="696"/>
    </row>
    <row r="2341" spans="1:9" ht="12.75">
      <c r="A2341" s="998"/>
      <c r="B2341" s="999"/>
      <c r="C2341" s="474"/>
      <c r="D2341" s="474"/>
      <c r="E2341" s="474"/>
      <c r="F2341" s="474"/>
      <c r="G2341" s="696"/>
      <c r="H2341" s="474"/>
      <c r="I2341" s="696"/>
    </row>
    <row r="2342" spans="1:9" ht="12.75">
      <c r="A2342" s="998"/>
      <c r="B2342" s="999"/>
      <c r="C2342" s="474"/>
      <c r="D2342" s="474"/>
      <c r="E2342" s="474"/>
      <c r="F2342" s="474"/>
      <c r="G2342" s="696"/>
      <c r="H2342" s="474"/>
      <c r="I2342" s="696"/>
    </row>
    <row r="2343" spans="1:9" ht="12.75">
      <c r="A2343" s="998"/>
      <c r="B2343" s="999"/>
      <c r="C2343" s="474"/>
      <c r="D2343" s="474"/>
      <c r="E2343" s="474"/>
      <c r="F2343" s="474"/>
      <c r="G2343" s="696"/>
      <c r="H2343" s="474"/>
      <c r="I2343" s="696"/>
    </row>
    <row r="2344" spans="1:9" ht="12.75">
      <c r="A2344" s="998"/>
      <c r="B2344" s="999"/>
      <c r="C2344" s="474"/>
      <c r="D2344" s="474"/>
      <c r="E2344" s="474"/>
      <c r="F2344" s="474"/>
      <c r="G2344" s="696"/>
      <c r="H2344" s="474"/>
      <c r="I2344" s="696"/>
    </row>
    <row r="2345" spans="1:9" ht="12.75">
      <c r="A2345" s="998"/>
      <c r="B2345" s="999"/>
      <c r="C2345" s="474"/>
      <c r="D2345" s="474"/>
      <c r="E2345" s="474"/>
      <c r="F2345" s="474"/>
      <c r="G2345" s="696"/>
      <c r="H2345" s="474"/>
      <c r="I2345" s="696"/>
    </row>
    <row r="2346" spans="1:9" ht="12.75">
      <c r="A2346" s="998"/>
      <c r="B2346" s="999"/>
      <c r="C2346" s="474"/>
      <c r="D2346" s="474"/>
      <c r="E2346" s="474"/>
      <c r="F2346" s="474"/>
      <c r="G2346" s="696"/>
      <c r="H2346" s="474"/>
      <c r="I2346" s="696"/>
    </row>
    <row r="2347" spans="1:9" ht="12.75">
      <c r="A2347" s="998"/>
      <c r="B2347" s="999"/>
      <c r="C2347" s="474"/>
      <c r="D2347" s="474"/>
      <c r="E2347" s="474"/>
      <c r="F2347" s="474"/>
      <c r="G2347" s="696"/>
      <c r="H2347" s="474"/>
      <c r="I2347" s="696"/>
    </row>
    <row r="2348" spans="1:9" ht="12.75">
      <c r="A2348" s="998"/>
      <c r="B2348" s="999"/>
      <c r="C2348" s="474"/>
      <c r="D2348" s="474"/>
      <c r="E2348" s="474"/>
      <c r="F2348" s="474"/>
      <c r="G2348" s="696"/>
      <c r="H2348" s="474"/>
      <c r="I2348" s="696"/>
    </row>
    <row r="2349" spans="1:9" ht="12.75">
      <c r="A2349" s="998"/>
      <c r="B2349" s="999"/>
      <c r="C2349" s="474"/>
      <c r="D2349" s="474"/>
      <c r="E2349" s="474"/>
      <c r="F2349" s="474"/>
      <c r="G2349" s="696"/>
      <c r="H2349" s="474"/>
      <c r="I2349" s="696"/>
    </row>
    <row r="2350" spans="1:9" ht="12.75">
      <c r="A2350" s="998"/>
      <c r="B2350" s="999"/>
      <c r="C2350" s="474"/>
      <c r="D2350" s="474"/>
      <c r="E2350" s="474"/>
      <c r="F2350" s="474"/>
      <c r="G2350" s="696"/>
      <c r="H2350" s="474"/>
      <c r="I2350" s="696"/>
    </row>
    <row r="2351" spans="1:9" ht="12.75">
      <c r="A2351" s="998"/>
      <c r="B2351" s="999"/>
      <c r="C2351" s="474"/>
      <c r="D2351" s="474"/>
      <c r="E2351" s="474"/>
      <c r="F2351" s="474"/>
      <c r="G2351" s="696"/>
      <c r="H2351" s="474"/>
      <c r="I2351" s="696"/>
    </row>
    <row r="2352" spans="1:9" ht="12.75">
      <c r="A2352" s="998"/>
      <c r="B2352" s="999"/>
      <c r="C2352" s="474"/>
      <c r="D2352" s="474"/>
      <c r="E2352" s="474"/>
      <c r="F2352" s="474"/>
      <c r="G2352" s="696"/>
      <c r="H2352" s="474"/>
      <c r="I2352" s="696"/>
    </row>
    <row r="2353" spans="1:9" ht="12.75">
      <c r="A2353" s="998"/>
      <c r="B2353" s="999"/>
      <c r="C2353" s="474"/>
      <c r="D2353" s="474"/>
      <c r="E2353" s="474"/>
      <c r="F2353" s="474"/>
      <c r="G2353" s="696"/>
      <c r="H2353" s="474"/>
      <c r="I2353" s="696"/>
    </row>
    <row r="2354" spans="1:9" ht="12.75">
      <c r="A2354" s="998"/>
      <c r="B2354" s="999"/>
      <c r="C2354" s="474"/>
      <c r="D2354" s="474"/>
      <c r="E2354" s="474"/>
      <c r="F2354" s="474"/>
      <c r="G2354" s="696"/>
      <c r="H2354" s="474"/>
      <c r="I2354" s="696"/>
    </row>
    <row r="2355" spans="1:9" ht="12.75">
      <c r="A2355" s="998"/>
      <c r="B2355" s="999"/>
      <c r="C2355" s="474"/>
      <c r="D2355" s="474"/>
      <c r="E2355" s="474"/>
      <c r="F2355" s="474"/>
      <c r="G2355" s="696"/>
      <c r="H2355" s="474"/>
      <c r="I2355" s="696"/>
    </row>
    <row r="2356" spans="1:9" ht="12.75">
      <c r="A2356" s="998"/>
      <c r="B2356" s="999"/>
      <c r="C2356" s="474"/>
      <c r="D2356" s="474"/>
      <c r="E2356" s="474"/>
      <c r="F2356" s="474"/>
      <c r="G2356" s="696"/>
      <c r="H2356" s="474"/>
      <c r="I2356" s="696"/>
    </row>
    <row r="2357" spans="1:9" ht="12.75">
      <c r="A2357" s="998"/>
      <c r="B2357" s="999"/>
      <c r="C2357" s="474"/>
      <c r="D2357" s="474"/>
      <c r="E2357" s="474"/>
      <c r="F2357" s="474"/>
      <c r="G2357" s="696"/>
      <c r="H2357" s="474"/>
      <c r="I2357" s="696"/>
    </row>
    <row r="2358" spans="1:9" ht="12.75">
      <c r="A2358" s="998"/>
      <c r="B2358" s="999"/>
      <c r="C2358" s="474"/>
      <c r="D2358" s="474"/>
      <c r="E2358" s="474"/>
      <c r="F2358" s="474"/>
      <c r="G2358" s="696"/>
      <c r="H2358" s="474"/>
      <c r="I2358" s="696"/>
    </row>
    <row r="2359" spans="1:9" ht="12.75">
      <c r="A2359" s="998"/>
      <c r="B2359" s="999"/>
      <c r="C2359" s="474"/>
      <c r="D2359" s="474"/>
      <c r="E2359" s="474"/>
      <c r="F2359" s="474"/>
      <c r="G2359" s="696"/>
      <c r="H2359" s="474"/>
      <c r="I2359" s="696"/>
    </row>
    <row r="2360" spans="1:9" ht="12.75">
      <c r="A2360" s="998"/>
      <c r="B2360" s="999"/>
      <c r="C2360" s="474"/>
      <c r="D2360" s="474"/>
      <c r="E2360" s="474"/>
      <c r="F2360" s="474"/>
      <c r="G2360" s="696"/>
      <c r="H2360" s="474"/>
      <c r="I2360" s="696"/>
    </row>
    <row r="2361" spans="1:9" ht="12.75">
      <c r="A2361" s="998"/>
      <c r="B2361" s="999"/>
      <c r="C2361" s="474"/>
      <c r="D2361" s="474"/>
      <c r="E2361" s="474"/>
      <c r="F2361" s="474"/>
      <c r="G2361" s="696"/>
      <c r="H2361" s="474"/>
      <c r="I2361" s="696"/>
    </row>
    <row r="2362" spans="1:9" ht="12.75">
      <c r="A2362" s="998"/>
      <c r="B2362" s="999"/>
      <c r="C2362" s="474"/>
      <c r="D2362" s="474"/>
      <c r="E2362" s="474"/>
      <c r="F2362" s="474"/>
      <c r="G2362" s="696"/>
      <c r="H2362" s="474"/>
      <c r="I2362" s="696"/>
    </row>
    <row r="2363" spans="1:9" ht="12.75">
      <c r="A2363" s="998"/>
      <c r="B2363" s="999"/>
      <c r="C2363" s="474"/>
      <c r="D2363" s="474"/>
      <c r="E2363" s="474"/>
      <c r="F2363" s="474"/>
      <c r="G2363" s="696"/>
      <c r="H2363" s="474"/>
      <c r="I2363" s="696"/>
    </row>
    <row r="2364" spans="1:9" ht="12.75">
      <c r="A2364" s="998"/>
      <c r="B2364" s="999"/>
      <c r="C2364" s="474"/>
      <c r="D2364" s="474"/>
      <c r="E2364" s="474"/>
      <c r="F2364" s="474"/>
      <c r="G2364" s="696"/>
      <c r="H2364" s="474"/>
      <c r="I2364" s="696"/>
    </row>
    <row r="2365" spans="1:9" ht="12.75">
      <c r="A2365" s="998"/>
      <c r="B2365" s="999"/>
      <c r="C2365" s="474"/>
      <c r="D2365" s="474"/>
      <c r="E2365" s="474"/>
      <c r="F2365" s="474"/>
      <c r="G2365" s="696"/>
      <c r="H2365" s="474"/>
      <c r="I2365" s="696"/>
    </row>
    <row r="2366" spans="1:9" ht="12.75">
      <c r="A2366" s="998"/>
      <c r="B2366" s="999"/>
      <c r="C2366" s="474"/>
      <c r="D2366" s="474"/>
      <c r="E2366" s="474"/>
      <c r="F2366" s="474"/>
      <c r="G2366" s="696"/>
      <c r="H2366" s="474"/>
      <c r="I2366" s="696"/>
    </row>
    <row r="2367" spans="1:9" ht="12.75">
      <c r="A2367" s="998"/>
      <c r="B2367" s="999"/>
      <c r="C2367" s="474"/>
      <c r="D2367" s="474"/>
      <c r="E2367" s="474"/>
      <c r="F2367" s="474"/>
      <c r="G2367" s="696"/>
      <c r="H2367" s="474"/>
      <c r="I2367" s="696"/>
    </row>
    <row r="2368" spans="1:9" ht="12.75">
      <c r="A2368" s="998"/>
      <c r="B2368" s="999"/>
      <c r="C2368" s="474"/>
      <c r="D2368" s="474"/>
      <c r="E2368" s="474"/>
      <c r="F2368" s="474"/>
      <c r="G2368" s="696"/>
      <c r="H2368" s="474"/>
      <c r="I2368" s="696"/>
    </row>
    <row r="2369" spans="1:9" ht="12.75">
      <c r="A2369" s="998"/>
      <c r="B2369" s="999"/>
      <c r="C2369" s="474"/>
      <c r="D2369" s="474"/>
      <c r="E2369" s="474"/>
      <c r="F2369" s="474"/>
      <c r="G2369" s="696"/>
      <c r="H2369" s="474"/>
      <c r="I2369" s="696"/>
    </row>
    <row r="2370" spans="1:9" ht="12.75">
      <c r="A2370" s="998"/>
      <c r="B2370" s="999"/>
      <c r="C2370" s="474"/>
      <c r="D2370" s="474"/>
      <c r="E2370" s="474"/>
      <c r="F2370" s="474"/>
      <c r="G2370" s="696"/>
      <c r="H2370" s="474"/>
      <c r="I2370" s="696"/>
    </row>
    <row r="2371" spans="1:9" ht="12.75">
      <c r="A2371" s="998"/>
      <c r="B2371" s="999"/>
      <c r="C2371" s="474"/>
      <c r="D2371" s="474"/>
      <c r="E2371" s="474"/>
      <c r="F2371" s="474"/>
      <c r="G2371" s="696"/>
      <c r="H2371" s="474"/>
      <c r="I2371" s="696"/>
    </row>
    <row r="2372" spans="1:9" ht="12.75">
      <c r="A2372" s="998"/>
      <c r="B2372" s="999"/>
      <c r="C2372" s="474"/>
      <c r="D2372" s="474"/>
      <c r="E2372" s="474"/>
      <c r="F2372" s="474"/>
      <c r="G2372" s="696"/>
      <c r="H2372" s="474"/>
      <c r="I2372" s="696"/>
    </row>
    <row r="2373" spans="1:9" ht="12.75">
      <c r="A2373" s="998"/>
      <c r="B2373" s="999"/>
      <c r="C2373" s="474"/>
      <c r="D2373" s="474"/>
      <c r="E2373" s="474"/>
      <c r="F2373" s="474"/>
      <c r="G2373" s="696"/>
      <c r="H2373" s="474"/>
      <c r="I2373" s="696"/>
    </row>
    <row r="2374" spans="1:9" ht="12.75">
      <c r="A2374" s="998"/>
      <c r="B2374" s="999"/>
      <c r="C2374" s="474"/>
      <c r="D2374" s="474"/>
      <c r="E2374" s="474"/>
      <c r="F2374" s="474"/>
      <c r="G2374" s="696"/>
      <c r="H2374" s="474"/>
      <c r="I2374" s="696"/>
    </row>
    <row r="2375" spans="1:9" ht="12.75">
      <c r="A2375" s="998"/>
      <c r="B2375" s="999"/>
      <c r="C2375" s="474"/>
      <c r="D2375" s="474"/>
      <c r="E2375" s="474"/>
      <c r="F2375" s="474"/>
      <c r="G2375" s="696"/>
      <c r="H2375" s="474"/>
      <c r="I2375" s="696"/>
    </row>
    <row r="2376" spans="1:9" ht="12.75">
      <c r="A2376" s="998"/>
      <c r="B2376" s="999"/>
      <c r="C2376" s="474"/>
      <c r="D2376" s="474"/>
      <c r="E2376" s="474"/>
      <c r="F2376" s="474"/>
      <c r="G2376" s="696"/>
      <c r="H2376" s="474"/>
      <c r="I2376" s="696"/>
    </row>
    <row r="2377" spans="1:9" ht="12.75">
      <c r="A2377" s="998"/>
      <c r="B2377" s="999"/>
      <c r="C2377" s="474"/>
      <c r="D2377" s="474"/>
      <c r="E2377" s="474"/>
      <c r="F2377" s="474"/>
      <c r="G2377" s="696"/>
      <c r="H2377" s="474"/>
      <c r="I2377" s="696"/>
    </row>
    <row r="2378" spans="1:9" ht="12.75">
      <c r="A2378" s="998"/>
      <c r="B2378" s="999"/>
      <c r="C2378" s="474"/>
      <c r="D2378" s="474"/>
      <c r="E2378" s="474"/>
      <c r="F2378" s="474"/>
      <c r="G2378" s="696"/>
      <c r="H2378" s="474"/>
      <c r="I2378" s="696"/>
    </row>
    <row r="2379" spans="1:9" ht="12.75">
      <c r="A2379" s="998"/>
      <c r="B2379" s="999"/>
      <c r="C2379" s="474"/>
      <c r="D2379" s="474"/>
      <c r="E2379" s="474"/>
      <c r="F2379" s="474"/>
      <c r="G2379" s="696"/>
      <c r="H2379" s="474"/>
      <c r="I2379" s="696"/>
    </row>
    <row r="2380" spans="1:9" ht="12.75">
      <c r="A2380" s="998"/>
      <c r="B2380" s="999"/>
      <c r="C2380" s="474"/>
      <c r="D2380" s="474"/>
      <c r="E2380" s="474"/>
      <c r="F2380" s="474"/>
      <c r="G2380" s="696"/>
      <c r="H2380" s="474"/>
      <c r="I2380" s="696"/>
    </row>
    <row r="2381" spans="1:9" ht="12.75">
      <c r="A2381" s="998"/>
      <c r="B2381" s="999"/>
      <c r="C2381" s="474"/>
      <c r="D2381" s="474"/>
      <c r="E2381" s="474"/>
      <c r="F2381" s="474"/>
      <c r="G2381" s="696"/>
      <c r="H2381" s="474"/>
      <c r="I2381" s="696"/>
    </row>
    <row r="2382" spans="1:9" ht="12.75">
      <c r="A2382" s="998"/>
      <c r="B2382" s="999"/>
      <c r="C2382" s="474"/>
      <c r="D2382" s="474"/>
      <c r="E2382" s="474"/>
      <c r="F2382" s="474"/>
      <c r="G2382" s="696"/>
      <c r="H2382" s="474"/>
      <c r="I2382" s="696"/>
    </row>
    <row r="2383" spans="1:9" ht="12.75">
      <c r="A2383" s="998"/>
      <c r="B2383" s="999"/>
      <c r="C2383" s="474"/>
      <c r="D2383" s="474"/>
      <c r="E2383" s="474"/>
      <c r="F2383" s="474"/>
      <c r="G2383" s="696"/>
      <c r="H2383" s="474"/>
      <c r="I2383" s="696"/>
    </row>
    <row r="2384" spans="1:9" ht="12.75">
      <c r="A2384" s="998"/>
      <c r="B2384" s="999"/>
      <c r="C2384" s="474"/>
      <c r="D2384" s="474"/>
      <c r="E2384" s="474"/>
      <c r="F2384" s="474"/>
      <c r="G2384" s="696"/>
      <c r="H2384" s="474"/>
      <c r="I2384" s="696"/>
    </row>
    <row r="2385" spans="1:9" ht="12.75">
      <c r="A2385" s="998"/>
      <c r="B2385" s="999"/>
      <c r="C2385" s="474"/>
      <c r="D2385" s="474"/>
      <c r="E2385" s="474"/>
      <c r="F2385" s="474"/>
      <c r="G2385" s="696"/>
      <c r="H2385" s="474"/>
      <c r="I2385" s="696"/>
    </row>
    <row r="2386" spans="1:9" ht="12.75">
      <c r="A2386" s="998"/>
      <c r="B2386" s="999"/>
      <c r="C2386" s="474"/>
      <c r="D2386" s="474"/>
      <c r="E2386" s="474"/>
      <c r="F2386" s="474"/>
      <c r="G2386" s="696"/>
      <c r="H2386" s="474"/>
      <c r="I2386" s="696"/>
    </row>
    <row r="2387" spans="1:9" ht="12.75">
      <c r="A2387" s="998"/>
      <c r="B2387" s="999"/>
      <c r="C2387" s="474"/>
      <c r="D2387" s="474"/>
      <c r="E2387" s="474"/>
      <c r="F2387" s="474"/>
      <c r="G2387" s="696"/>
      <c r="H2387" s="474"/>
      <c r="I2387" s="696"/>
    </row>
    <row r="2388" spans="1:9" ht="12.75">
      <c r="A2388" s="998"/>
      <c r="B2388" s="999"/>
      <c r="C2388" s="474"/>
      <c r="D2388" s="474"/>
      <c r="E2388" s="474"/>
      <c r="F2388" s="474"/>
      <c r="G2388" s="696"/>
      <c r="H2388" s="474"/>
      <c r="I2388" s="696"/>
    </row>
    <row r="2389" spans="1:9" ht="12.75">
      <c r="A2389" s="998"/>
      <c r="B2389" s="999"/>
      <c r="C2389" s="474"/>
      <c r="D2389" s="474"/>
      <c r="E2389" s="474"/>
      <c r="F2389" s="474"/>
      <c r="G2389" s="696"/>
      <c r="H2389" s="474"/>
      <c r="I2389" s="696"/>
    </row>
    <row r="2390" spans="1:9" ht="12.75">
      <c r="A2390" s="998"/>
      <c r="B2390" s="999"/>
      <c r="C2390" s="474"/>
      <c r="D2390" s="474"/>
      <c r="E2390" s="474"/>
      <c r="F2390" s="474"/>
      <c r="G2390" s="696"/>
      <c r="H2390" s="474"/>
      <c r="I2390" s="696"/>
    </row>
    <row r="2391" spans="1:9" ht="12.75">
      <c r="A2391" s="998"/>
      <c r="B2391" s="999"/>
      <c r="C2391" s="474"/>
      <c r="D2391" s="474"/>
      <c r="E2391" s="474"/>
      <c r="F2391" s="474"/>
      <c r="G2391" s="696"/>
      <c r="H2391" s="474"/>
      <c r="I2391" s="696"/>
    </row>
    <row r="2392" spans="1:9" ht="12.75">
      <c r="A2392" s="998"/>
      <c r="B2392" s="999"/>
      <c r="C2392" s="474"/>
      <c r="D2392" s="474"/>
      <c r="E2392" s="474"/>
      <c r="F2392" s="474"/>
      <c r="G2392" s="696"/>
      <c r="H2392" s="474"/>
      <c r="I2392" s="696"/>
    </row>
    <row r="2393" spans="1:9" ht="12.75">
      <c r="A2393" s="998"/>
      <c r="B2393" s="999"/>
      <c r="C2393" s="474"/>
      <c r="D2393" s="474"/>
      <c r="E2393" s="474"/>
      <c r="F2393" s="474"/>
      <c r="G2393" s="696"/>
      <c r="H2393" s="474"/>
      <c r="I2393" s="696"/>
    </row>
    <row r="2394" spans="1:9" ht="12.75">
      <c r="A2394" s="998"/>
      <c r="B2394" s="999"/>
      <c r="C2394" s="474"/>
      <c r="D2394" s="474"/>
      <c r="E2394" s="474"/>
      <c r="F2394" s="474"/>
      <c r="G2394" s="696"/>
      <c r="H2394" s="474"/>
      <c r="I2394" s="696"/>
    </row>
    <row r="2395" spans="1:9" ht="12.75">
      <c r="A2395" s="998"/>
      <c r="B2395" s="999"/>
      <c r="C2395" s="474"/>
      <c r="D2395" s="474"/>
      <c r="E2395" s="474"/>
      <c r="F2395" s="474"/>
      <c r="G2395" s="696"/>
      <c r="H2395" s="474"/>
      <c r="I2395" s="696"/>
    </row>
    <row r="2396" spans="1:9" ht="12.75">
      <c r="A2396" s="998"/>
      <c r="B2396" s="999"/>
      <c r="C2396" s="474"/>
      <c r="D2396" s="474"/>
      <c r="E2396" s="474"/>
      <c r="F2396" s="474"/>
      <c r="G2396" s="696"/>
      <c r="H2396" s="474"/>
      <c r="I2396" s="696"/>
    </row>
    <row r="2397" spans="1:9" ht="12.75">
      <c r="A2397" s="998"/>
      <c r="B2397" s="999"/>
      <c r="C2397" s="474"/>
      <c r="D2397" s="474"/>
      <c r="E2397" s="474"/>
      <c r="F2397" s="474"/>
      <c r="G2397" s="696"/>
      <c r="H2397" s="474"/>
      <c r="I2397" s="696"/>
    </row>
    <row r="2398" spans="1:9" ht="12.75">
      <c r="A2398" s="998"/>
      <c r="B2398" s="999"/>
      <c r="C2398" s="474"/>
      <c r="D2398" s="474"/>
      <c r="E2398" s="474"/>
      <c r="F2398" s="474"/>
      <c r="G2398" s="696"/>
      <c r="H2398" s="474"/>
      <c r="I2398" s="696"/>
    </row>
    <row r="2399" spans="1:9" ht="12.75">
      <c r="A2399" s="998"/>
      <c r="B2399" s="999"/>
      <c r="C2399" s="474"/>
      <c r="D2399" s="474"/>
      <c r="E2399" s="474"/>
      <c r="F2399" s="474"/>
      <c r="G2399" s="696"/>
      <c r="H2399" s="474"/>
      <c r="I2399" s="696"/>
    </row>
    <row r="2400" spans="1:9" ht="12.75">
      <c r="A2400" s="998"/>
      <c r="B2400" s="999"/>
      <c r="C2400" s="474"/>
      <c r="D2400" s="474"/>
      <c r="E2400" s="474"/>
      <c r="F2400" s="474"/>
      <c r="G2400" s="696"/>
      <c r="H2400" s="474"/>
      <c r="I2400" s="696"/>
    </row>
    <row r="2401" spans="1:9" ht="12.75">
      <c r="A2401" s="998"/>
      <c r="B2401" s="999"/>
      <c r="C2401" s="474"/>
      <c r="D2401" s="474"/>
      <c r="E2401" s="474"/>
      <c r="F2401" s="474"/>
      <c r="G2401" s="696"/>
      <c r="H2401" s="474"/>
      <c r="I2401" s="696"/>
    </row>
    <row r="2402" spans="1:9" ht="12.75">
      <c r="A2402" s="998"/>
      <c r="B2402" s="999"/>
      <c r="C2402" s="474"/>
      <c r="D2402" s="474"/>
      <c r="E2402" s="474"/>
      <c r="F2402" s="474"/>
      <c r="G2402" s="696"/>
      <c r="H2402" s="474"/>
      <c r="I2402" s="696"/>
    </row>
    <row r="2403" spans="1:9" ht="12.75">
      <c r="A2403" s="998"/>
      <c r="B2403" s="999"/>
      <c r="C2403" s="474"/>
      <c r="D2403" s="474"/>
      <c r="E2403" s="474"/>
      <c r="F2403" s="474"/>
      <c r="G2403" s="696"/>
      <c r="H2403" s="474"/>
      <c r="I2403" s="696"/>
    </row>
    <row r="2404" spans="1:9" ht="12.75">
      <c r="A2404" s="998"/>
      <c r="B2404" s="999"/>
      <c r="C2404" s="474"/>
      <c r="D2404" s="474"/>
      <c r="E2404" s="474"/>
      <c r="F2404" s="474"/>
      <c r="G2404" s="696"/>
      <c r="H2404" s="474"/>
      <c r="I2404" s="696"/>
    </row>
    <row r="2405" spans="1:9" ht="12.75">
      <c r="A2405" s="998"/>
      <c r="B2405" s="999"/>
      <c r="C2405" s="474"/>
      <c r="D2405" s="474"/>
      <c r="E2405" s="474"/>
      <c r="F2405" s="474"/>
      <c r="G2405" s="696"/>
      <c r="H2405" s="474"/>
      <c r="I2405" s="696"/>
    </row>
    <row r="2406" spans="1:9" ht="12.75">
      <c r="A2406" s="998"/>
      <c r="B2406" s="999"/>
      <c r="C2406" s="474"/>
      <c r="D2406" s="474"/>
      <c r="E2406" s="474"/>
      <c r="F2406" s="474"/>
      <c r="G2406" s="696"/>
      <c r="H2406" s="474"/>
      <c r="I2406" s="696"/>
    </row>
    <row r="2407" spans="1:9" ht="12.75">
      <c r="A2407" s="998"/>
      <c r="B2407" s="999"/>
      <c r="C2407" s="474"/>
      <c r="D2407" s="474"/>
      <c r="E2407" s="474"/>
      <c r="F2407" s="474"/>
      <c r="G2407" s="696"/>
      <c r="H2407" s="474"/>
      <c r="I2407" s="696"/>
    </row>
    <row r="2408" spans="1:9" ht="12.75">
      <c r="A2408" s="998"/>
      <c r="B2408" s="999"/>
      <c r="C2408" s="474"/>
      <c r="D2408" s="474"/>
      <c r="E2408" s="474"/>
      <c r="F2408" s="474"/>
      <c r="G2408" s="696"/>
      <c r="H2408" s="474"/>
      <c r="I2408" s="696"/>
    </row>
    <row r="2409" spans="1:9" ht="12.75">
      <c r="A2409" s="998"/>
      <c r="B2409" s="999"/>
      <c r="C2409" s="474"/>
      <c r="D2409" s="474"/>
      <c r="E2409" s="474"/>
      <c r="F2409" s="474"/>
      <c r="G2409" s="696"/>
      <c r="H2409" s="474"/>
      <c r="I2409" s="696"/>
    </row>
    <row r="2410" spans="1:9" ht="12.75">
      <c r="A2410" s="998"/>
      <c r="B2410" s="999"/>
      <c r="C2410" s="474"/>
      <c r="D2410" s="474"/>
      <c r="E2410" s="474"/>
      <c r="F2410" s="474"/>
      <c r="G2410" s="696"/>
      <c r="H2410" s="474"/>
      <c r="I2410" s="696"/>
    </row>
    <row r="2411" spans="1:9" ht="12.75">
      <c r="A2411" s="998"/>
      <c r="B2411" s="999"/>
      <c r="C2411" s="474"/>
      <c r="D2411" s="474"/>
      <c r="E2411" s="474"/>
      <c r="F2411" s="474"/>
      <c r="G2411" s="696"/>
      <c r="H2411" s="474"/>
      <c r="I2411" s="696"/>
    </row>
    <row r="2412" spans="1:9" ht="12.75">
      <c r="A2412" s="998"/>
      <c r="B2412" s="999"/>
      <c r="C2412" s="474"/>
      <c r="D2412" s="474"/>
      <c r="E2412" s="474"/>
      <c r="F2412" s="474"/>
      <c r="G2412" s="696"/>
      <c r="H2412" s="474"/>
      <c r="I2412" s="696"/>
    </row>
    <row r="2413" spans="1:9" ht="12.75">
      <c r="A2413" s="998"/>
      <c r="B2413" s="999"/>
      <c r="C2413" s="474"/>
      <c r="D2413" s="474"/>
      <c r="E2413" s="474"/>
      <c r="F2413" s="474"/>
      <c r="G2413" s="696"/>
      <c r="H2413" s="474"/>
      <c r="I2413" s="696"/>
    </row>
    <row r="2414" spans="1:9" ht="12.75">
      <c r="A2414" s="998"/>
      <c r="B2414" s="999"/>
      <c r="C2414" s="474"/>
      <c r="D2414" s="474"/>
      <c r="E2414" s="474"/>
      <c r="F2414" s="474"/>
      <c r="G2414" s="696"/>
      <c r="H2414" s="474"/>
      <c r="I2414" s="696"/>
    </row>
    <row r="2415" spans="1:9" ht="12.75">
      <c r="A2415" s="998"/>
      <c r="B2415" s="999"/>
      <c r="C2415" s="474"/>
      <c r="D2415" s="474"/>
      <c r="E2415" s="474"/>
      <c r="F2415" s="474"/>
      <c r="G2415" s="696"/>
      <c r="H2415" s="474"/>
      <c r="I2415" s="696"/>
    </row>
    <row r="2416" spans="1:9" ht="12.75">
      <c r="A2416" s="998"/>
      <c r="B2416" s="999"/>
      <c r="C2416" s="474"/>
      <c r="D2416" s="474"/>
      <c r="E2416" s="474"/>
      <c r="F2416" s="474"/>
      <c r="G2416" s="696"/>
      <c r="H2416" s="474"/>
      <c r="I2416" s="696"/>
    </row>
    <row r="2417" spans="1:9" ht="12.75">
      <c r="A2417" s="998"/>
      <c r="B2417" s="999"/>
      <c r="C2417" s="474"/>
      <c r="D2417" s="474"/>
      <c r="E2417" s="474"/>
      <c r="F2417" s="474"/>
      <c r="G2417" s="696"/>
      <c r="H2417" s="474"/>
      <c r="I2417" s="696"/>
    </row>
    <row r="2418" spans="1:9" ht="12.75">
      <c r="A2418" s="998"/>
      <c r="B2418" s="999"/>
      <c r="C2418" s="474"/>
      <c r="D2418" s="474"/>
      <c r="E2418" s="474"/>
      <c r="F2418" s="474"/>
      <c r="G2418" s="696"/>
      <c r="H2418" s="474"/>
      <c r="I2418" s="696"/>
    </row>
    <row r="2419" spans="1:9" ht="12.75">
      <c r="A2419" s="998"/>
      <c r="B2419" s="999"/>
      <c r="C2419" s="474"/>
      <c r="D2419" s="474"/>
      <c r="E2419" s="474"/>
      <c r="F2419" s="474"/>
      <c r="G2419" s="696"/>
      <c r="H2419" s="474"/>
      <c r="I2419" s="696"/>
    </row>
    <row r="2420" spans="1:9" ht="12.75">
      <c r="A2420" s="998"/>
      <c r="B2420" s="999"/>
      <c r="C2420" s="474"/>
      <c r="D2420" s="474"/>
      <c r="E2420" s="474"/>
      <c r="F2420" s="474"/>
      <c r="G2420" s="696"/>
      <c r="H2420" s="474"/>
      <c r="I2420" s="696"/>
    </row>
    <row r="2421" spans="1:9" ht="12.75">
      <c r="A2421" s="998"/>
      <c r="B2421" s="999"/>
      <c r="C2421" s="474"/>
      <c r="D2421" s="474"/>
      <c r="E2421" s="474"/>
      <c r="F2421" s="474"/>
      <c r="G2421" s="696"/>
      <c r="H2421" s="474"/>
      <c r="I2421" s="696"/>
    </row>
    <row r="2422" spans="1:9" ht="12.75">
      <c r="A2422" s="998"/>
      <c r="B2422" s="999"/>
      <c r="C2422" s="474"/>
      <c r="D2422" s="474"/>
      <c r="E2422" s="474"/>
      <c r="F2422" s="474"/>
      <c r="G2422" s="696"/>
      <c r="H2422" s="474"/>
      <c r="I2422" s="696"/>
    </row>
    <row r="2423" spans="1:9" ht="12.75">
      <c r="A2423" s="998"/>
      <c r="B2423" s="999"/>
      <c r="C2423" s="474"/>
      <c r="D2423" s="474"/>
      <c r="E2423" s="474"/>
      <c r="F2423" s="474"/>
      <c r="G2423" s="696"/>
      <c r="H2423" s="474"/>
      <c r="I2423" s="696"/>
    </row>
    <row r="2424" spans="1:9" ht="12.75">
      <c r="A2424" s="998"/>
      <c r="B2424" s="999"/>
      <c r="C2424" s="474"/>
      <c r="D2424" s="474"/>
      <c r="E2424" s="474"/>
      <c r="F2424" s="474"/>
      <c r="G2424" s="696"/>
      <c r="H2424" s="474"/>
      <c r="I2424" s="696"/>
    </row>
    <row r="2425" spans="1:9" ht="12.75">
      <c r="A2425" s="998"/>
      <c r="B2425" s="999"/>
      <c r="C2425" s="474"/>
      <c r="D2425" s="474"/>
      <c r="E2425" s="474"/>
      <c r="F2425" s="474"/>
      <c r="G2425" s="696"/>
      <c r="H2425" s="474"/>
      <c r="I2425" s="696"/>
    </row>
    <row r="2426" spans="1:9" ht="12.75">
      <c r="A2426" s="998"/>
      <c r="B2426" s="999"/>
      <c r="C2426" s="474"/>
      <c r="D2426" s="474"/>
      <c r="E2426" s="474"/>
      <c r="F2426" s="474"/>
      <c r="G2426" s="696"/>
      <c r="H2426" s="474"/>
      <c r="I2426" s="696"/>
    </row>
    <row r="2427" spans="1:9" ht="12.75">
      <c r="A2427" s="998"/>
      <c r="B2427" s="999"/>
      <c r="C2427" s="474"/>
      <c r="D2427" s="474"/>
      <c r="E2427" s="474"/>
      <c r="F2427" s="474"/>
      <c r="G2427" s="696"/>
      <c r="H2427" s="474"/>
      <c r="I2427" s="696"/>
    </row>
    <row r="2428" spans="1:9" ht="12.75">
      <c r="A2428" s="998"/>
      <c r="B2428" s="999"/>
      <c r="C2428" s="474"/>
      <c r="D2428" s="474"/>
      <c r="E2428" s="474"/>
      <c r="F2428" s="474"/>
      <c r="G2428" s="696"/>
      <c r="H2428" s="474"/>
      <c r="I2428" s="696"/>
    </row>
    <row r="2429" spans="1:9" ht="12.75">
      <c r="A2429" s="998"/>
      <c r="B2429" s="999"/>
      <c r="C2429" s="474"/>
      <c r="D2429" s="474"/>
      <c r="E2429" s="474"/>
      <c r="F2429" s="474"/>
      <c r="G2429" s="696"/>
      <c r="H2429" s="474"/>
      <c r="I2429" s="696"/>
    </row>
    <row r="2430" spans="1:9" ht="12.75">
      <c r="A2430" s="998"/>
      <c r="B2430" s="999"/>
      <c r="C2430" s="474"/>
      <c r="D2430" s="474"/>
      <c r="E2430" s="474"/>
      <c r="F2430" s="474"/>
      <c r="G2430" s="696"/>
      <c r="H2430" s="474"/>
      <c r="I2430" s="696"/>
    </row>
    <row r="2431" spans="1:9" ht="12.75">
      <c r="A2431" s="998"/>
      <c r="B2431" s="999"/>
      <c r="C2431" s="474"/>
      <c r="D2431" s="474"/>
      <c r="E2431" s="474"/>
      <c r="F2431" s="474"/>
      <c r="G2431" s="696"/>
      <c r="H2431" s="474"/>
      <c r="I2431" s="696"/>
    </row>
    <row r="2432" spans="1:9" ht="12.75">
      <c r="A2432" s="998"/>
      <c r="B2432" s="999"/>
      <c r="C2432" s="474"/>
      <c r="D2432" s="474"/>
      <c r="E2432" s="474"/>
      <c r="F2432" s="474"/>
      <c r="G2432" s="696"/>
      <c r="H2432" s="474"/>
      <c r="I2432" s="696"/>
    </row>
    <row r="2433" spans="1:9" ht="12.75">
      <c r="A2433" s="998"/>
      <c r="B2433" s="999"/>
      <c r="C2433" s="474"/>
      <c r="D2433" s="474"/>
      <c r="E2433" s="474"/>
      <c r="F2433" s="474"/>
      <c r="G2433" s="696"/>
      <c r="H2433" s="474"/>
      <c r="I2433" s="696"/>
    </row>
    <row r="2434" spans="1:9" ht="12.75">
      <c r="A2434" s="998"/>
      <c r="B2434" s="999"/>
      <c r="C2434" s="474"/>
      <c r="D2434" s="474"/>
      <c r="E2434" s="474"/>
      <c r="F2434" s="474"/>
      <c r="G2434" s="696"/>
      <c r="H2434" s="474"/>
      <c r="I2434" s="696"/>
    </row>
    <row r="2435" spans="1:9" ht="12.75">
      <c r="A2435" s="998"/>
      <c r="B2435" s="999"/>
      <c r="C2435" s="474"/>
      <c r="D2435" s="474"/>
      <c r="E2435" s="474"/>
      <c r="F2435" s="474"/>
      <c r="G2435" s="696"/>
      <c r="H2435" s="474"/>
      <c r="I2435" s="696"/>
    </row>
    <row r="2436" spans="1:9" ht="12.75">
      <c r="A2436" s="998"/>
      <c r="B2436" s="999"/>
      <c r="C2436" s="474"/>
      <c r="D2436" s="474"/>
      <c r="E2436" s="474"/>
      <c r="F2436" s="474"/>
      <c r="G2436" s="696"/>
      <c r="H2436" s="474"/>
      <c r="I2436" s="696"/>
    </row>
    <row r="2437" spans="1:9" ht="12.75">
      <c r="A2437" s="998"/>
      <c r="B2437" s="999"/>
      <c r="C2437" s="474"/>
      <c r="D2437" s="474"/>
      <c r="E2437" s="474"/>
      <c r="F2437" s="474"/>
      <c r="G2437" s="696"/>
      <c r="H2437" s="474"/>
      <c r="I2437" s="696"/>
    </row>
    <row r="2438" spans="1:9" ht="12.75">
      <c r="A2438" s="998"/>
      <c r="B2438" s="999"/>
      <c r="C2438" s="474"/>
      <c r="D2438" s="474"/>
      <c r="E2438" s="474"/>
      <c r="F2438" s="474"/>
      <c r="G2438" s="696"/>
      <c r="H2438" s="474"/>
      <c r="I2438" s="696"/>
    </row>
    <row r="2439" spans="1:9" ht="12.75">
      <c r="A2439" s="998"/>
      <c r="B2439" s="999"/>
      <c r="C2439" s="474"/>
      <c r="D2439" s="474"/>
      <c r="E2439" s="474"/>
      <c r="F2439" s="474"/>
      <c r="G2439" s="696"/>
      <c r="H2439" s="474"/>
      <c r="I2439" s="696"/>
    </row>
    <row r="2440" spans="1:9" ht="12.75">
      <c r="A2440" s="998"/>
      <c r="B2440" s="999"/>
      <c r="C2440" s="474"/>
      <c r="D2440" s="474"/>
      <c r="E2440" s="474"/>
      <c r="F2440" s="474"/>
      <c r="G2440" s="696"/>
      <c r="H2440" s="474"/>
      <c r="I2440" s="696"/>
    </row>
    <row r="2441" spans="1:9" ht="12.75">
      <c r="A2441" s="998"/>
      <c r="B2441" s="999"/>
      <c r="C2441" s="474"/>
      <c r="D2441" s="474"/>
      <c r="E2441" s="474"/>
      <c r="F2441" s="474"/>
      <c r="G2441" s="696"/>
      <c r="H2441" s="474"/>
      <c r="I2441" s="696"/>
    </row>
    <row r="2442" spans="1:9" ht="12.75">
      <c r="A2442" s="998"/>
      <c r="B2442" s="999"/>
      <c r="C2442" s="474"/>
      <c r="D2442" s="474"/>
      <c r="E2442" s="474"/>
      <c r="F2442" s="474"/>
      <c r="G2442" s="696"/>
      <c r="H2442" s="474"/>
      <c r="I2442" s="696"/>
    </row>
    <row r="2443" spans="1:9" ht="12.75">
      <c r="A2443" s="998"/>
      <c r="B2443" s="999"/>
      <c r="C2443" s="474"/>
      <c r="D2443" s="474"/>
      <c r="E2443" s="474"/>
      <c r="F2443" s="474"/>
      <c r="G2443" s="696"/>
      <c r="H2443" s="474"/>
      <c r="I2443" s="696"/>
    </row>
    <row r="2444" spans="1:9" ht="12.75">
      <c r="A2444" s="998"/>
      <c r="B2444" s="999"/>
      <c r="C2444" s="474"/>
      <c r="D2444" s="474"/>
      <c r="E2444" s="474"/>
      <c r="F2444" s="474"/>
      <c r="G2444" s="696"/>
      <c r="H2444" s="474"/>
      <c r="I2444" s="696"/>
    </row>
    <row r="2445" spans="1:9" ht="12.75">
      <c r="A2445" s="998"/>
      <c r="B2445" s="999"/>
      <c r="C2445" s="474"/>
      <c r="D2445" s="474"/>
      <c r="E2445" s="474"/>
      <c r="F2445" s="474"/>
      <c r="G2445" s="696"/>
      <c r="H2445" s="474"/>
      <c r="I2445" s="696"/>
    </row>
    <row r="2446" spans="1:9" ht="12.75">
      <c r="A2446" s="998"/>
      <c r="B2446" s="999"/>
      <c r="C2446" s="474"/>
      <c r="D2446" s="474"/>
      <c r="E2446" s="474"/>
      <c r="F2446" s="474"/>
      <c r="G2446" s="696"/>
      <c r="H2446" s="474"/>
      <c r="I2446" s="696"/>
    </row>
    <row r="2447" spans="1:9" ht="12.75">
      <c r="A2447" s="998"/>
      <c r="B2447" s="999"/>
      <c r="C2447" s="474"/>
      <c r="D2447" s="474"/>
      <c r="E2447" s="474"/>
      <c r="F2447" s="474"/>
      <c r="G2447" s="696"/>
      <c r="H2447" s="474"/>
      <c r="I2447" s="696"/>
    </row>
    <row r="2448" spans="1:9" ht="12.75">
      <c r="A2448" s="998"/>
      <c r="B2448" s="999"/>
      <c r="C2448" s="474"/>
      <c r="D2448" s="474"/>
      <c r="E2448" s="474"/>
      <c r="F2448" s="474"/>
      <c r="G2448" s="696"/>
      <c r="H2448" s="474"/>
      <c r="I2448" s="696"/>
    </row>
    <row r="2449" spans="1:9" ht="12.75">
      <c r="A2449" s="998"/>
      <c r="B2449" s="999"/>
      <c r="C2449" s="474"/>
      <c r="D2449" s="474"/>
      <c r="E2449" s="474"/>
      <c r="F2449" s="474"/>
      <c r="G2449" s="696"/>
      <c r="H2449" s="474"/>
      <c r="I2449" s="696"/>
    </row>
    <row r="2450" spans="1:9" ht="12.75">
      <c r="A2450" s="998"/>
      <c r="B2450" s="999"/>
      <c r="C2450" s="474"/>
      <c r="D2450" s="474"/>
      <c r="E2450" s="474"/>
      <c r="F2450" s="474"/>
      <c r="G2450" s="696"/>
      <c r="H2450" s="474"/>
      <c r="I2450" s="696"/>
    </row>
    <row r="2451" spans="1:9" ht="12.75">
      <c r="A2451" s="998"/>
      <c r="B2451" s="999"/>
      <c r="C2451" s="474"/>
      <c r="D2451" s="474"/>
      <c r="E2451" s="474"/>
      <c r="F2451" s="474"/>
      <c r="G2451" s="696"/>
      <c r="H2451" s="474"/>
      <c r="I2451" s="696"/>
    </row>
    <row r="2452" spans="1:9" ht="12.75">
      <c r="A2452" s="998"/>
      <c r="B2452" s="999"/>
      <c r="C2452" s="474"/>
      <c r="D2452" s="474"/>
      <c r="E2452" s="474"/>
      <c r="F2452" s="474"/>
      <c r="G2452" s="696"/>
      <c r="H2452" s="474"/>
      <c r="I2452" s="696"/>
    </row>
    <row r="2453" spans="1:9" ht="12.75">
      <c r="A2453" s="998"/>
      <c r="B2453" s="999"/>
      <c r="C2453" s="474"/>
      <c r="D2453" s="474"/>
      <c r="E2453" s="474"/>
      <c r="F2453" s="474"/>
      <c r="G2453" s="696"/>
      <c r="H2453" s="474"/>
      <c r="I2453" s="696"/>
    </row>
    <row r="2454" spans="1:9" ht="12.75">
      <c r="A2454" s="998"/>
      <c r="B2454" s="999"/>
      <c r="C2454" s="474"/>
      <c r="D2454" s="474"/>
      <c r="E2454" s="474"/>
      <c r="F2454" s="474"/>
      <c r="G2454" s="696"/>
      <c r="H2454" s="474"/>
      <c r="I2454" s="696"/>
    </row>
    <row r="2455" spans="1:9" ht="12.75">
      <c r="A2455" s="998"/>
      <c r="B2455" s="999"/>
      <c r="C2455" s="474"/>
      <c r="D2455" s="474"/>
      <c r="E2455" s="474"/>
      <c r="F2455" s="474"/>
      <c r="G2455" s="696"/>
      <c r="H2455" s="474"/>
      <c r="I2455" s="696"/>
    </row>
    <row r="2456" spans="1:9" ht="12.75">
      <c r="A2456" s="998"/>
      <c r="B2456" s="999"/>
      <c r="C2456" s="474"/>
      <c r="D2456" s="474"/>
      <c r="E2456" s="474"/>
      <c r="F2456" s="474"/>
      <c r="G2456" s="696"/>
      <c r="H2456" s="474"/>
      <c r="I2456" s="696"/>
    </row>
    <row r="2457" spans="1:9" ht="12.75">
      <c r="A2457" s="998"/>
      <c r="B2457" s="999"/>
      <c r="C2457" s="474"/>
      <c r="D2457" s="474"/>
      <c r="E2457" s="474"/>
      <c r="F2457" s="474"/>
      <c r="G2457" s="696"/>
      <c r="H2457" s="474"/>
      <c r="I2457" s="696"/>
    </row>
    <row r="2458" spans="1:9" ht="12.75">
      <c r="A2458" s="998"/>
      <c r="B2458" s="999"/>
      <c r="C2458" s="474"/>
      <c r="D2458" s="474"/>
      <c r="E2458" s="474"/>
      <c r="F2458" s="474"/>
      <c r="G2458" s="696"/>
      <c r="H2458" s="474"/>
      <c r="I2458" s="696"/>
    </row>
    <row r="2459" spans="1:9" ht="12.75">
      <c r="A2459" s="998"/>
      <c r="B2459" s="999"/>
      <c r="C2459" s="474"/>
      <c r="D2459" s="474"/>
      <c r="E2459" s="474"/>
      <c r="F2459" s="474"/>
      <c r="G2459" s="696"/>
      <c r="H2459" s="474"/>
      <c r="I2459" s="696"/>
    </row>
    <row r="2460" spans="1:9" ht="12.75">
      <c r="A2460" s="998"/>
      <c r="B2460" s="999"/>
      <c r="C2460" s="474"/>
      <c r="D2460" s="474"/>
      <c r="E2460" s="474"/>
      <c r="F2460" s="474"/>
      <c r="G2460" s="696"/>
      <c r="H2460" s="474"/>
      <c r="I2460" s="696"/>
    </row>
    <row r="2461" spans="1:9" ht="12.75">
      <c r="A2461" s="998"/>
      <c r="B2461" s="999"/>
      <c r="C2461" s="474"/>
      <c r="D2461" s="474"/>
      <c r="E2461" s="474"/>
      <c r="F2461" s="474"/>
      <c r="G2461" s="696"/>
      <c r="H2461" s="474"/>
      <c r="I2461" s="696"/>
    </row>
    <row r="2462" spans="1:9" ht="12.75">
      <c r="A2462" s="998"/>
      <c r="B2462" s="999"/>
      <c r="C2462" s="474"/>
      <c r="D2462" s="474"/>
      <c r="E2462" s="474"/>
      <c r="F2462" s="474"/>
      <c r="G2462" s="696"/>
      <c r="H2462" s="474"/>
      <c r="I2462" s="696"/>
    </row>
    <row r="2463" spans="1:9" ht="12.75">
      <c r="A2463" s="998"/>
      <c r="B2463" s="999"/>
      <c r="C2463" s="474"/>
      <c r="D2463" s="474"/>
      <c r="E2463" s="474"/>
      <c r="F2463" s="474"/>
      <c r="G2463" s="696"/>
      <c r="H2463" s="474"/>
      <c r="I2463" s="696"/>
    </row>
    <row r="2464" spans="1:9" ht="12.75">
      <c r="A2464" s="998"/>
      <c r="B2464" s="999"/>
      <c r="C2464" s="474"/>
      <c r="D2464" s="474"/>
      <c r="E2464" s="474"/>
      <c r="F2464" s="474"/>
      <c r="G2464" s="696"/>
      <c r="H2464" s="474"/>
      <c r="I2464" s="696"/>
    </row>
    <row r="2465" spans="1:9" ht="12.75">
      <c r="A2465" s="998"/>
      <c r="B2465" s="999"/>
      <c r="C2465" s="474"/>
      <c r="D2465" s="474"/>
      <c r="E2465" s="474"/>
      <c r="F2465" s="474"/>
      <c r="G2465" s="696"/>
      <c r="H2465" s="474"/>
      <c r="I2465" s="696"/>
    </row>
    <row r="2466" spans="1:9" ht="12.75">
      <c r="A2466" s="998"/>
      <c r="B2466" s="999"/>
      <c r="C2466" s="474"/>
      <c r="D2466" s="474"/>
      <c r="E2466" s="474"/>
      <c r="F2466" s="474"/>
      <c r="G2466" s="696"/>
      <c r="H2466" s="474"/>
      <c r="I2466" s="696"/>
    </row>
    <row r="2467" spans="1:9" ht="12.75">
      <c r="A2467" s="998"/>
      <c r="B2467" s="999"/>
      <c r="C2467" s="474"/>
      <c r="D2467" s="474"/>
      <c r="E2467" s="474"/>
      <c r="F2467" s="474"/>
      <c r="G2467" s="696"/>
      <c r="H2467" s="474"/>
      <c r="I2467" s="696"/>
    </row>
    <row r="2468" spans="1:9" ht="12.75">
      <c r="A2468" s="998"/>
      <c r="B2468" s="999"/>
      <c r="C2468" s="474"/>
      <c r="D2468" s="474"/>
      <c r="E2468" s="474"/>
      <c r="F2468" s="474"/>
      <c r="G2468" s="696"/>
      <c r="H2468" s="474"/>
      <c r="I2468" s="696"/>
    </row>
    <row r="2469" spans="1:9" ht="12.75">
      <c r="A2469" s="998"/>
      <c r="B2469" s="999"/>
      <c r="C2469" s="474"/>
      <c r="D2469" s="474"/>
      <c r="E2469" s="474"/>
      <c r="F2469" s="474"/>
      <c r="G2469" s="696"/>
      <c r="H2469" s="474"/>
      <c r="I2469" s="696"/>
    </row>
    <row r="2470" spans="1:9" ht="12.75">
      <c r="A2470" s="998"/>
      <c r="B2470" s="999"/>
      <c r="C2470" s="474"/>
      <c r="D2470" s="474"/>
      <c r="E2470" s="474"/>
      <c r="F2470" s="474"/>
      <c r="G2470" s="696"/>
      <c r="H2470" s="474"/>
      <c r="I2470" s="696"/>
    </row>
    <row r="2471" spans="1:9" ht="12.75">
      <c r="A2471" s="998"/>
      <c r="B2471" s="999"/>
      <c r="C2471" s="474"/>
      <c r="D2471" s="474"/>
      <c r="E2471" s="474"/>
      <c r="F2471" s="474"/>
      <c r="G2471" s="696"/>
      <c r="H2471" s="474"/>
      <c r="I2471" s="696"/>
    </row>
    <row r="2472" spans="1:9" ht="12.75">
      <c r="A2472" s="998"/>
      <c r="B2472" s="999"/>
      <c r="C2472" s="474"/>
      <c r="D2472" s="474"/>
      <c r="E2472" s="474"/>
      <c r="F2472" s="474"/>
      <c r="G2472" s="696"/>
      <c r="H2472" s="474"/>
      <c r="I2472" s="696"/>
    </row>
    <row r="2473" spans="1:9" ht="12.75">
      <c r="A2473" s="998"/>
      <c r="B2473" s="999"/>
      <c r="C2473" s="474"/>
      <c r="D2473" s="474"/>
      <c r="E2473" s="474"/>
      <c r="F2473" s="474"/>
      <c r="G2473" s="696"/>
      <c r="H2473" s="474"/>
      <c r="I2473" s="696"/>
    </row>
    <row r="2474" spans="1:9" ht="12.75">
      <c r="A2474" s="998"/>
      <c r="B2474" s="999"/>
      <c r="C2474" s="474"/>
      <c r="D2474" s="474"/>
      <c r="E2474" s="474"/>
      <c r="F2474" s="474"/>
      <c r="G2474" s="696"/>
      <c r="H2474" s="474"/>
      <c r="I2474" s="696"/>
    </row>
    <row r="2475" spans="1:9" ht="12.75">
      <c r="A2475" s="998"/>
      <c r="B2475" s="999"/>
      <c r="C2475" s="474"/>
      <c r="D2475" s="474"/>
      <c r="E2475" s="474"/>
      <c r="F2475" s="474"/>
      <c r="G2475" s="696"/>
      <c r="H2475" s="474"/>
      <c r="I2475" s="696"/>
    </row>
    <row r="2476" spans="1:9" ht="12.75">
      <c r="A2476" s="998"/>
      <c r="B2476" s="999"/>
      <c r="C2476" s="474"/>
      <c r="D2476" s="474"/>
      <c r="E2476" s="474"/>
      <c r="F2476" s="474"/>
      <c r="G2476" s="696"/>
      <c r="H2476" s="474"/>
      <c r="I2476" s="696"/>
    </row>
    <row r="2477" spans="1:9" ht="12.75">
      <c r="A2477" s="998"/>
      <c r="B2477" s="999"/>
      <c r="C2477" s="474"/>
      <c r="D2477" s="474"/>
      <c r="E2477" s="474"/>
      <c r="F2477" s="474"/>
      <c r="G2477" s="696"/>
      <c r="H2477" s="474"/>
      <c r="I2477" s="696"/>
    </row>
    <row r="2478" spans="1:9" ht="12.75">
      <c r="A2478" s="998"/>
      <c r="B2478" s="999"/>
      <c r="C2478" s="474"/>
      <c r="D2478" s="474"/>
      <c r="E2478" s="474"/>
      <c r="F2478" s="474"/>
      <c r="G2478" s="696"/>
      <c r="H2478" s="474"/>
      <c r="I2478" s="696"/>
    </row>
    <row r="2479" spans="1:9" ht="12.75">
      <c r="A2479" s="998"/>
      <c r="B2479" s="999"/>
      <c r="C2479" s="474"/>
      <c r="D2479" s="474"/>
      <c r="E2479" s="474"/>
      <c r="F2479" s="474"/>
      <c r="G2479" s="696"/>
      <c r="H2479" s="474"/>
      <c r="I2479" s="696"/>
    </row>
    <row r="2480" spans="1:9" ht="12.75">
      <c r="A2480" s="998"/>
      <c r="B2480" s="999"/>
      <c r="C2480" s="474"/>
      <c r="D2480" s="474"/>
      <c r="E2480" s="474"/>
      <c r="F2480" s="474"/>
      <c r="G2480" s="696"/>
      <c r="H2480" s="474"/>
      <c r="I2480" s="696"/>
    </row>
    <row r="2481" spans="1:9" ht="12.75">
      <c r="A2481" s="998"/>
      <c r="B2481" s="999"/>
      <c r="C2481" s="474"/>
      <c r="D2481" s="474"/>
      <c r="E2481" s="474"/>
      <c r="F2481" s="474"/>
      <c r="G2481" s="696"/>
      <c r="H2481" s="474"/>
      <c r="I2481" s="696"/>
    </row>
    <row r="2482" spans="1:9" ht="12.75">
      <c r="A2482" s="998"/>
      <c r="B2482" s="999"/>
      <c r="C2482" s="474"/>
      <c r="D2482" s="474"/>
      <c r="E2482" s="474"/>
      <c r="F2482" s="474"/>
      <c r="G2482" s="696"/>
      <c r="H2482" s="474"/>
      <c r="I2482" s="696"/>
    </row>
    <row r="2483" spans="1:9" ht="12.75">
      <c r="A2483" s="998"/>
      <c r="B2483" s="999"/>
      <c r="C2483" s="474"/>
      <c r="D2483" s="474"/>
      <c r="E2483" s="474"/>
      <c r="F2483" s="474"/>
      <c r="G2483" s="696"/>
      <c r="H2483" s="474"/>
      <c r="I2483" s="696"/>
    </row>
    <row r="2484" spans="1:9" ht="12.75">
      <c r="A2484" s="998"/>
      <c r="B2484" s="999"/>
      <c r="C2484" s="474"/>
      <c r="D2484" s="474"/>
      <c r="E2484" s="474"/>
      <c r="F2484" s="474"/>
      <c r="G2484" s="696"/>
      <c r="H2484" s="474"/>
      <c r="I2484" s="696"/>
    </row>
    <row r="2485" spans="1:9" ht="12.75">
      <c r="A2485" s="998"/>
      <c r="B2485" s="999"/>
      <c r="C2485" s="474"/>
      <c r="D2485" s="474"/>
      <c r="E2485" s="474"/>
      <c r="F2485" s="474"/>
      <c r="G2485" s="696"/>
      <c r="H2485" s="474"/>
      <c r="I2485" s="696"/>
    </row>
    <row r="2486" spans="1:9" ht="12.75">
      <c r="A2486" s="998"/>
      <c r="B2486" s="999"/>
      <c r="C2486" s="474"/>
      <c r="D2486" s="474"/>
      <c r="E2486" s="474"/>
      <c r="F2486" s="474"/>
      <c r="G2486" s="696"/>
      <c r="H2486" s="474"/>
      <c r="I2486" s="696"/>
    </row>
    <row r="2487" spans="1:9" ht="12.75">
      <c r="A2487" s="998"/>
      <c r="B2487" s="999"/>
      <c r="C2487" s="474"/>
      <c r="D2487" s="474"/>
      <c r="E2487" s="474"/>
      <c r="F2487" s="474"/>
      <c r="G2487" s="696"/>
      <c r="H2487" s="474"/>
      <c r="I2487" s="696"/>
    </row>
    <row r="2488" spans="1:9" ht="12.75">
      <c r="A2488" s="998"/>
      <c r="B2488" s="999"/>
      <c r="C2488" s="474"/>
      <c r="D2488" s="474"/>
      <c r="E2488" s="474"/>
      <c r="F2488" s="474"/>
      <c r="G2488" s="696"/>
      <c r="H2488" s="474"/>
      <c r="I2488" s="696"/>
    </row>
    <row r="2489" spans="1:9" ht="12.75">
      <c r="A2489" s="998"/>
      <c r="B2489" s="999"/>
      <c r="C2489" s="474"/>
      <c r="D2489" s="474"/>
      <c r="E2489" s="474"/>
      <c r="F2489" s="474"/>
      <c r="G2489" s="696"/>
      <c r="H2489" s="474"/>
      <c r="I2489" s="696"/>
    </row>
    <row r="2490" spans="1:9" ht="12.75">
      <c r="A2490" s="998"/>
      <c r="B2490" s="999"/>
      <c r="C2490" s="474"/>
      <c r="D2490" s="474"/>
      <c r="E2490" s="474"/>
      <c r="F2490" s="474"/>
      <c r="G2490" s="696"/>
      <c r="H2490" s="474"/>
      <c r="I2490" s="696"/>
    </row>
    <row r="2491" spans="1:9" ht="12.75">
      <c r="A2491" s="998"/>
      <c r="B2491" s="999"/>
      <c r="C2491" s="474"/>
      <c r="D2491" s="474"/>
      <c r="E2491" s="474"/>
      <c r="F2491" s="474"/>
      <c r="G2491" s="696"/>
      <c r="H2491" s="474"/>
      <c r="I2491" s="696"/>
    </row>
    <row r="2492" spans="1:9" ht="12.75">
      <c r="A2492" s="998"/>
      <c r="B2492" s="999"/>
      <c r="C2492" s="474"/>
      <c r="D2492" s="474"/>
      <c r="E2492" s="474"/>
      <c r="F2492" s="474"/>
      <c r="G2492" s="696"/>
      <c r="H2492" s="474"/>
      <c r="I2492" s="696"/>
    </row>
    <row r="2493" spans="1:9" ht="12.75">
      <c r="A2493" s="998"/>
      <c r="B2493" s="999"/>
      <c r="C2493" s="474"/>
      <c r="D2493" s="474"/>
      <c r="E2493" s="474"/>
      <c r="F2493" s="474"/>
      <c r="G2493" s="696"/>
      <c r="H2493" s="474"/>
      <c r="I2493" s="696"/>
    </row>
    <row r="2494" spans="1:9" ht="12.75">
      <c r="A2494" s="998"/>
      <c r="B2494" s="999"/>
      <c r="C2494" s="474"/>
      <c r="D2494" s="474"/>
      <c r="E2494" s="474"/>
      <c r="F2494" s="474"/>
      <c r="G2494" s="696"/>
      <c r="H2494" s="474"/>
      <c r="I2494" s="696"/>
    </row>
    <row r="2495" spans="1:9" ht="12.75">
      <c r="A2495" s="998"/>
      <c r="B2495" s="999"/>
      <c r="C2495" s="474"/>
      <c r="D2495" s="474"/>
      <c r="E2495" s="474"/>
      <c r="F2495" s="474"/>
      <c r="G2495" s="696"/>
      <c r="H2495" s="474"/>
      <c r="I2495" s="696"/>
    </row>
    <row r="2496" spans="1:9" ht="12.75">
      <c r="A2496" s="998"/>
      <c r="B2496" s="999"/>
      <c r="C2496" s="474"/>
      <c r="D2496" s="474"/>
      <c r="E2496" s="474"/>
      <c r="F2496" s="474"/>
      <c r="G2496" s="696"/>
      <c r="H2496" s="474"/>
      <c r="I2496" s="696"/>
    </row>
    <row r="2497" spans="1:9" ht="12.75">
      <c r="A2497" s="998"/>
      <c r="B2497" s="999"/>
      <c r="C2497" s="474"/>
      <c r="D2497" s="474"/>
      <c r="E2497" s="474"/>
      <c r="F2497" s="474"/>
      <c r="G2497" s="696"/>
      <c r="H2497" s="474"/>
      <c r="I2497" s="696"/>
    </row>
    <row r="2498" spans="1:9" ht="12.75">
      <c r="A2498" s="998"/>
      <c r="B2498" s="999"/>
      <c r="C2498" s="474"/>
      <c r="D2498" s="474"/>
      <c r="E2498" s="474"/>
      <c r="F2498" s="474"/>
      <c r="G2498" s="696"/>
      <c r="H2498" s="474"/>
      <c r="I2498" s="696"/>
    </row>
    <row r="2499" spans="1:9" ht="12.75">
      <c r="A2499" s="998"/>
      <c r="B2499" s="999"/>
      <c r="C2499" s="474"/>
      <c r="D2499" s="474"/>
      <c r="E2499" s="474"/>
      <c r="F2499" s="474"/>
      <c r="G2499" s="696"/>
      <c r="H2499" s="474"/>
      <c r="I2499" s="696"/>
    </row>
    <row r="2500" spans="1:9" ht="12.75">
      <c r="A2500" s="998"/>
      <c r="B2500" s="999"/>
      <c r="C2500" s="474"/>
      <c r="D2500" s="474"/>
      <c r="E2500" s="474"/>
      <c r="F2500" s="474"/>
      <c r="G2500" s="696"/>
      <c r="H2500" s="474"/>
      <c r="I2500" s="696"/>
    </row>
    <row r="2501" spans="1:9" ht="12.75">
      <c r="A2501" s="998"/>
      <c r="B2501" s="999"/>
      <c r="C2501" s="474"/>
      <c r="D2501" s="474"/>
      <c r="E2501" s="474"/>
      <c r="F2501" s="474"/>
      <c r="G2501" s="696"/>
      <c r="H2501" s="474"/>
      <c r="I2501" s="696"/>
    </row>
    <row r="2502" spans="1:9" ht="12.75">
      <c r="A2502" s="998"/>
      <c r="B2502" s="999"/>
      <c r="C2502" s="474"/>
      <c r="D2502" s="474"/>
      <c r="E2502" s="474"/>
      <c r="F2502" s="474"/>
      <c r="G2502" s="696"/>
      <c r="H2502" s="474"/>
      <c r="I2502" s="696"/>
    </row>
    <row r="2503" spans="1:9" ht="12.75">
      <c r="A2503" s="998"/>
      <c r="B2503" s="999"/>
      <c r="C2503" s="474"/>
      <c r="D2503" s="474"/>
      <c r="E2503" s="474"/>
      <c r="F2503" s="474"/>
      <c r="G2503" s="696"/>
      <c r="H2503" s="474"/>
      <c r="I2503" s="696"/>
    </row>
    <row r="2504" spans="1:9" ht="12.75">
      <c r="A2504" s="998"/>
      <c r="B2504" s="999"/>
      <c r="C2504" s="474"/>
      <c r="D2504" s="474"/>
      <c r="E2504" s="474"/>
      <c r="F2504" s="474"/>
      <c r="G2504" s="696"/>
      <c r="H2504" s="474"/>
      <c r="I2504" s="696"/>
    </row>
    <row r="2505" spans="1:9" ht="12.75">
      <c r="A2505" s="998"/>
      <c r="B2505" s="999"/>
      <c r="C2505" s="474"/>
      <c r="D2505" s="474"/>
      <c r="E2505" s="474"/>
      <c r="F2505" s="474"/>
      <c r="G2505" s="696"/>
      <c r="H2505" s="474"/>
      <c r="I2505" s="696"/>
    </row>
    <row r="2506" spans="1:9" ht="12.75">
      <c r="A2506" s="998"/>
      <c r="B2506" s="999"/>
      <c r="C2506" s="474"/>
      <c r="D2506" s="474"/>
      <c r="E2506" s="474"/>
      <c r="F2506" s="474"/>
      <c r="G2506" s="696"/>
      <c r="H2506" s="474"/>
      <c r="I2506" s="696"/>
    </row>
    <row r="2507" spans="1:9" ht="12.75">
      <c r="A2507" s="998"/>
      <c r="B2507" s="999"/>
      <c r="C2507" s="474"/>
      <c r="D2507" s="474"/>
      <c r="E2507" s="474"/>
      <c r="F2507" s="474"/>
      <c r="G2507" s="696"/>
      <c r="H2507" s="474"/>
      <c r="I2507" s="696"/>
    </row>
    <row r="2508" spans="1:9" ht="12.75">
      <c r="A2508" s="998"/>
      <c r="B2508" s="999"/>
      <c r="C2508" s="474"/>
      <c r="D2508" s="474"/>
      <c r="E2508" s="474"/>
      <c r="F2508" s="474"/>
      <c r="G2508" s="696"/>
      <c r="H2508" s="474"/>
      <c r="I2508" s="696"/>
    </row>
    <row r="2509" spans="1:9" ht="12.75">
      <c r="A2509" s="998"/>
      <c r="B2509" s="999"/>
      <c r="C2509" s="474"/>
      <c r="D2509" s="474"/>
      <c r="E2509" s="474"/>
      <c r="F2509" s="474"/>
      <c r="G2509" s="696"/>
      <c r="H2509" s="474"/>
      <c r="I2509" s="696"/>
    </row>
    <row r="2510" spans="1:9" ht="12.75">
      <c r="A2510" s="998"/>
      <c r="B2510" s="999"/>
      <c r="C2510" s="474"/>
      <c r="D2510" s="474"/>
      <c r="E2510" s="474"/>
      <c r="F2510" s="474"/>
      <c r="G2510" s="696"/>
      <c r="H2510" s="474"/>
      <c r="I2510" s="696"/>
    </row>
    <row r="2511" spans="1:9" ht="12.75">
      <c r="A2511" s="998"/>
      <c r="B2511" s="999"/>
      <c r="C2511" s="474"/>
      <c r="D2511" s="474"/>
      <c r="E2511" s="474"/>
      <c r="F2511" s="474"/>
      <c r="G2511" s="696"/>
      <c r="H2511" s="474"/>
      <c r="I2511" s="696"/>
    </row>
    <row r="2512" spans="1:9" ht="12.75">
      <c r="A2512" s="998"/>
      <c r="B2512" s="999"/>
      <c r="C2512" s="474"/>
      <c r="D2512" s="474"/>
      <c r="E2512" s="474"/>
      <c r="F2512" s="474"/>
      <c r="G2512" s="696"/>
      <c r="H2512" s="474"/>
      <c r="I2512" s="696"/>
    </row>
    <row r="2513" spans="1:9" ht="12.75">
      <c r="A2513" s="998"/>
      <c r="B2513" s="999"/>
      <c r="C2513" s="474"/>
      <c r="D2513" s="474"/>
      <c r="E2513" s="474"/>
      <c r="F2513" s="474"/>
      <c r="G2513" s="696"/>
      <c r="H2513" s="474"/>
      <c r="I2513" s="696"/>
    </row>
    <row r="2514" spans="1:9" ht="12.75">
      <c r="A2514" s="998"/>
      <c r="B2514" s="999"/>
      <c r="C2514" s="474"/>
      <c r="D2514" s="474"/>
      <c r="E2514" s="474"/>
      <c r="F2514" s="474"/>
      <c r="G2514" s="696"/>
      <c r="H2514" s="474"/>
      <c r="I2514" s="696"/>
    </row>
    <row r="2515" spans="1:9" ht="12.75">
      <c r="A2515" s="998"/>
      <c r="B2515" s="999"/>
      <c r="C2515" s="474"/>
      <c r="D2515" s="474"/>
      <c r="E2515" s="474"/>
      <c r="F2515" s="474"/>
      <c r="G2515" s="696"/>
      <c r="H2515" s="474"/>
      <c r="I2515" s="696"/>
    </row>
    <row r="2516" spans="1:9" ht="12.75">
      <c r="A2516" s="998"/>
      <c r="B2516" s="999"/>
      <c r="C2516" s="474"/>
      <c r="D2516" s="474"/>
      <c r="E2516" s="474"/>
      <c r="F2516" s="474"/>
      <c r="G2516" s="696"/>
      <c r="H2516" s="474"/>
      <c r="I2516" s="696"/>
    </row>
    <row r="2517" spans="1:9" ht="12.75">
      <c r="A2517" s="998"/>
      <c r="B2517" s="999"/>
      <c r="C2517" s="474"/>
      <c r="D2517" s="474"/>
      <c r="E2517" s="474"/>
      <c r="F2517" s="474"/>
      <c r="G2517" s="696"/>
      <c r="H2517" s="474"/>
      <c r="I2517" s="696"/>
    </row>
    <row r="2518" spans="1:9" ht="12.75">
      <c r="A2518" s="998"/>
      <c r="B2518" s="999"/>
      <c r="C2518" s="474"/>
      <c r="D2518" s="474"/>
      <c r="E2518" s="474"/>
      <c r="F2518" s="474"/>
      <c r="G2518" s="696"/>
      <c r="H2518" s="474"/>
      <c r="I2518" s="696"/>
    </row>
    <row r="2519" spans="1:9" ht="12.75">
      <c r="A2519" s="998"/>
      <c r="B2519" s="999"/>
      <c r="C2519" s="474"/>
      <c r="D2519" s="474"/>
      <c r="E2519" s="474"/>
      <c r="F2519" s="474"/>
      <c r="G2519" s="696"/>
      <c r="H2519" s="474"/>
      <c r="I2519" s="696"/>
    </row>
    <row r="2520" spans="1:9" ht="12.75">
      <c r="A2520" s="998"/>
      <c r="B2520" s="999"/>
      <c r="C2520" s="474"/>
      <c r="D2520" s="474"/>
      <c r="E2520" s="474"/>
      <c r="F2520" s="474"/>
      <c r="G2520" s="696"/>
      <c r="H2520" s="474"/>
      <c r="I2520" s="696"/>
    </row>
    <row r="2521" spans="1:9" ht="12.75">
      <c r="A2521" s="998"/>
      <c r="B2521" s="999"/>
      <c r="C2521" s="474"/>
      <c r="D2521" s="474"/>
      <c r="E2521" s="474"/>
      <c r="F2521" s="474"/>
      <c r="G2521" s="696"/>
      <c r="H2521" s="474"/>
      <c r="I2521" s="696"/>
    </row>
    <row r="2522" spans="1:9" ht="12.75">
      <c r="A2522" s="998"/>
      <c r="B2522" s="999"/>
      <c r="C2522" s="474"/>
      <c r="D2522" s="474"/>
      <c r="E2522" s="474"/>
      <c r="F2522" s="474"/>
      <c r="G2522" s="696"/>
      <c r="H2522" s="474"/>
      <c r="I2522" s="696"/>
    </row>
    <row r="2523" spans="1:9" ht="12.75">
      <c r="A2523" s="998"/>
      <c r="B2523" s="999"/>
      <c r="C2523" s="474"/>
      <c r="D2523" s="474"/>
      <c r="E2523" s="474"/>
      <c r="F2523" s="474"/>
      <c r="G2523" s="696"/>
      <c r="H2523" s="474"/>
      <c r="I2523" s="696"/>
    </row>
    <row r="2524" spans="1:9" ht="12.75">
      <c r="A2524" s="998"/>
      <c r="B2524" s="999"/>
      <c r="C2524" s="474"/>
      <c r="D2524" s="474"/>
      <c r="E2524" s="474"/>
      <c r="F2524" s="474"/>
      <c r="G2524" s="696"/>
      <c r="H2524" s="474"/>
      <c r="I2524" s="696"/>
    </row>
    <row r="2525" spans="1:9" ht="12.75">
      <c r="A2525" s="998"/>
      <c r="B2525" s="999"/>
      <c r="C2525" s="474"/>
      <c r="D2525" s="474"/>
      <c r="E2525" s="474"/>
      <c r="F2525" s="474"/>
      <c r="G2525" s="696"/>
      <c r="H2525" s="474"/>
      <c r="I2525" s="696"/>
    </row>
    <row r="2526" spans="1:9" ht="12.75">
      <c r="A2526" s="998"/>
      <c r="B2526" s="999"/>
      <c r="C2526" s="474"/>
      <c r="D2526" s="474"/>
      <c r="E2526" s="474"/>
      <c r="F2526" s="474"/>
      <c r="G2526" s="696"/>
      <c r="H2526" s="474"/>
      <c r="I2526" s="696"/>
    </row>
    <row r="2527" spans="1:9" ht="12.75">
      <c r="A2527" s="998"/>
      <c r="B2527" s="999"/>
      <c r="C2527" s="474"/>
      <c r="D2527" s="474"/>
      <c r="E2527" s="474"/>
      <c r="F2527" s="474"/>
      <c r="G2527" s="696"/>
      <c r="H2527" s="474"/>
      <c r="I2527" s="696"/>
    </row>
    <row r="2528" spans="1:9" ht="12.75">
      <c r="A2528" s="998"/>
      <c r="B2528" s="999"/>
      <c r="C2528" s="474"/>
      <c r="D2528" s="474"/>
      <c r="E2528" s="474"/>
      <c r="F2528" s="474"/>
      <c r="G2528" s="696"/>
      <c r="H2528" s="474"/>
      <c r="I2528" s="696"/>
    </row>
    <row r="2529" spans="1:9" ht="12.75">
      <c r="A2529" s="998"/>
      <c r="B2529" s="999"/>
      <c r="C2529" s="474"/>
      <c r="D2529" s="474"/>
      <c r="E2529" s="474"/>
      <c r="F2529" s="474"/>
      <c r="G2529" s="696"/>
      <c r="H2529" s="474"/>
      <c r="I2529" s="696"/>
    </row>
    <row r="2530" spans="1:9" ht="12.75">
      <c r="A2530" s="998"/>
      <c r="B2530" s="999"/>
      <c r="C2530" s="474"/>
      <c r="D2530" s="474"/>
      <c r="E2530" s="474"/>
      <c r="F2530" s="474"/>
      <c r="G2530" s="696"/>
      <c r="H2530" s="474"/>
      <c r="I2530" s="696"/>
    </row>
    <row r="2531" spans="1:9" ht="12.75">
      <c r="A2531" s="998"/>
      <c r="B2531" s="999"/>
      <c r="C2531" s="474"/>
      <c r="D2531" s="474"/>
      <c r="E2531" s="474"/>
      <c r="F2531" s="474"/>
      <c r="G2531" s="696"/>
      <c r="H2531" s="474"/>
      <c r="I2531" s="696"/>
    </row>
    <row r="2532" spans="1:9" ht="12.75">
      <c r="A2532" s="998"/>
      <c r="B2532" s="999"/>
      <c r="C2532" s="474"/>
      <c r="D2532" s="474"/>
      <c r="E2532" s="474"/>
      <c r="F2532" s="474"/>
      <c r="G2532" s="696"/>
      <c r="H2532" s="474"/>
      <c r="I2532" s="696"/>
    </row>
    <row r="2533" spans="1:9" ht="12.75">
      <c r="A2533" s="998"/>
      <c r="B2533" s="999"/>
      <c r="C2533" s="474"/>
      <c r="D2533" s="474"/>
      <c r="E2533" s="474"/>
      <c r="F2533" s="474"/>
      <c r="G2533" s="696"/>
      <c r="H2533" s="474"/>
      <c r="I2533" s="696"/>
    </row>
    <row r="2534" spans="1:9" ht="12.75">
      <c r="A2534" s="998"/>
      <c r="B2534" s="999"/>
      <c r="C2534" s="474"/>
      <c r="D2534" s="474"/>
      <c r="E2534" s="474"/>
      <c r="F2534" s="474"/>
      <c r="G2534" s="696"/>
      <c r="H2534" s="474"/>
      <c r="I2534" s="696"/>
    </row>
    <row r="2535" spans="1:9" ht="12.75">
      <c r="A2535" s="998"/>
      <c r="B2535" s="999"/>
      <c r="C2535" s="474"/>
      <c r="D2535" s="474"/>
      <c r="E2535" s="474"/>
      <c r="F2535" s="474"/>
      <c r="G2535" s="696"/>
      <c r="H2535" s="474"/>
      <c r="I2535" s="696"/>
    </row>
    <row r="2536" spans="1:9" ht="12.75">
      <c r="A2536" s="998"/>
      <c r="B2536" s="999"/>
      <c r="C2536" s="474"/>
      <c r="D2536" s="474"/>
      <c r="E2536" s="474"/>
      <c r="F2536" s="474"/>
      <c r="G2536" s="696"/>
      <c r="H2536" s="474"/>
      <c r="I2536" s="696"/>
    </row>
    <row r="2537" spans="1:9" ht="12.75">
      <c r="A2537" s="998"/>
      <c r="B2537" s="999"/>
      <c r="C2537" s="474"/>
      <c r="D2537" s="474"/>
      <c r="E2537" s="474"/>
      <c r="F2537" s="474"/>
      <c r="G2537" s="696"/>
      <c r="H2537" s="474"/>
      <c r="I2537" s="696"/>
    </row>
    <row r="2538" spans="1:9" ht="12.75">
      <c r="A2538" s="998"/>
      <c r="B2538" s="999"/>
      <c r="C2538" s="474"/>
      <c r="D2538" s="474"/>
      <c r="E2538" s="474"/>
      <c r="F2538" s="474"/>
      <c r="G2538" s="696"/>
      <c r="H2538" s="474"/>
      <c r="I2538" s="696"/>
    </row>
    <row r="2539" spans="1:9" ht="12.75">
      <c r="A2539" s="998"/>
      <c r="B2539" s="999"/>
      <c r="C2539" s="474"/>
      <c r="D2539" s="474"/>
      <c r="E2539" s="474"/>
      <c r="F2539" s="474"/>
      <c r="G2539" s="696"/>
      <c r="H2539" s="474"/>
      <c r="I2539" s="696"/>
    </row>
    <row r="2540" spans="1:9" ht="12.75">
      <c r="A2540" s="998"/>
      <c r="B2540" s="999"/>
      <c r="C2540" s="474"/>
      <c r="D2540" s="474"/>
      <c r="E2540" s="474"/>
      <c r="F2540" s="474"/>
      <c r="G2540" s="696"/>
      <c r="H2540" s="474"/>
      <c r="I2540" s="696"/>
    </row>
    <row r="2541" spans="1:9" ht="12.75">
      <c r="A2541" s="998"/>
      <c r="B2541" s="999"/>
      <c r="C2541" s="474"/>
      <c r="D2541" s="474"/>
      <c r="E2541" s="474"/>
      <c r="F2541" s="474"/>
      <c r="G2541" s="696"/>
      <c r="H2541" s="474"/>
      <c r="I2541" s="696"/>
    </row>
    <row r="2542" spans="1:9" ht="12.75">
      <c r="A2542" s="998"/>
      <c r="B2542" s="999"/>
      <c r="C2542" s="474"/>
      <c r="D2542" s="474"/>
      <c r="E2542" s="474"/>
      <c r="F2542" s="474"/>
      <c r="G2542" s="696"/>
      <c r="H2542" s="474"/>
      <c r="I2542" s="696"/>
    </row>
    <row r="2543" spans="1:9" ht="12.75">
      <c r="A2543" s="998"/>
      <c r="B2543" s="999"/>
      <c r="C2543" s="474"/>
      <c r="D2543" s="474"/>
      <c r="E2543" s="474"/>
      <c r="F2543" s="474"/>
      <c r="G2543" s="696"/>
      <c r="H2543" s="474"/>
      <c r="I2543" s="696"/>
    </row>
    <row r="2544" spans="1:9" ht="12.75">
      <c r="A2544" s="998"/>
      <c r="B2544" s="999"/>
      <c r="C2544" s="474"/>
      <c r="D2544" s="474"/>
      <c r="E2544" s="474"/>
      <c r="F2544" s="474"/>
      <c r="G2544" s="696"/>
      <c r="H2544" s="474"/>
      <c r="I2544" s="696"/>
    </row>
    <row r="2545" spans="1:9" ht="12.75">
      <c r="A2545" s="998"/>
      <c r="B2545" s="999"/>
      <c r="C2545" s="474"/>
      <c r="D2545" s="474"/>
      <c r="E2545" s="474"/>
      <c r="F2545" s="474"/>
      <c r="G2545" s="696"/>
      <c r="H2545" s="474"/>
      <c r="I2545" s="696"/>
    </row>
    <row r="2546" spans="1:9" ht="12.75">
      <c r="A2546" s="998"/>
      <c r="B2546" s="999"/>
      <c r="C2546" s="474"/>
      <c r="D2546" s="474"/>
      <c r="E2546" s="474"/>
      <c r="F2546" s="474"/>
      <c r="G2546" s="696"/>
      <c r="H2546" s="474"/>
      <c r="I2546" s="696"/>
    </row>
    <row r="2547" spans="1:9" ht="12.75">
      <c r="A2547" s="998"/>
      <c r="B2547" s="999"/>
      <c r="C2547" s="474"/>
      <c r="D2547" s="474"/>
      <c r="E2547" s="474"/>
      <c r="F2547" s="474"/>
      <c r="G2547" s="696"/>
      <c r="H2547" s="474"/>
      <c r="I2547" s="696"/>
    </row>
    <row r="2548" spans="1:9" ht="12.75">
      <c r="A2548" s="998"/>
      <c r="B2548" s="999"/>
      <c r="C2548" s="474"/>
      <c r="D2548" s="474"/>
      <c r="E2548" s="474"/>
      <c r="F2548" s="474"/>
      <c r="G2548" s="696"/>
      <c r="H2548" s="474"/>
      <c r="I2548" s="696"/>
    </row>
    <row r="2549" spans="1:9" ht="12.75">
      <c r="A2549" s="998"/>
      <c r="B2549" s="999"/>
      <c r="C2549" s="474"/>
      <c r="D2549" s="474"/>
      <c r="E2549" s="474"/>
      <c r="F2549" s="474"/>
      <c r="G2549" s="696"/>
      <c r="H2549" s="474"/>
      <c r="I2549" s="696"/>
    </row>
    <row r="2550" spans="1:9" ht="12.75">
      <c r="A2550" s="998"/>
      <c r="B2550" s="999"/>
      <c r="C2550" s="474"/>
      <c r="D2550" s="474"/>
      <c r="E2550" s="474"/>
      <c r="F2550" s="474"/>
      <c r="G2550" s="696"/>
      <c r="H2550" s="474"/>
      <c r="I2550" s="696"/>
    </row>
    <row r="2551" spans="1:9" ht="12.75">
      <c r="A2551" s="998"/>
      <c r="B2551" s="999"/>
      <c r="C2551" s="474"/>
      <c r="D2551" s="474"/>
      <c r="E2551" s="474"/>
      <c r="F2551" s="474"/>
      <c r="G2551" s="696"/>
      <c r="H2551" s="474"/>
      <c r="I2551" s="696"/>
    </row>
    <row r="2552" spans="1:9" ht="12.75">
      <c r="A2552" s="998"/>
      <c r="B2552" s="999"/>
      <c r="C2552" s="474"/>
      <c r="D2552" s="474"/>
      <c r="E2552" s="474"/>
      <c r="F2552" s="474"/>
      <c r="G2552" s="696"/>
      <c r="H2552" s="474"/>
      <c r="I2552" s="696"/>
    </row>
    <row r="2553" spans="1:9" ht="12.75">
      <c r="A2553" s="998"/>
      <c r="B2553" s="999"/>
      <c r="C2553" s="474"/>
      <c r="D2553" s="474"/>
      <c r="E2553" s="474"/>
      <c r="F2553" s="474"/>
      <c r="G2553" s="696"/>
      <c r="H2553" s="474"/>
      <c r="I2553" s="696"/>
    </row>
    <row r="2554" spans="1:9" ht="12.75">
      <c r="A2554" s="998"/>
      <c r="B2554" s="999"/>
      <c r="C2554" s="474"/>
      <c r="D2554" s="474"/>
      <c r="E2554" s="474"/>
      <c r="F2554" s="474"/>
      <c r="G2554" s="696"/>
      <c r="H2554" s="474"/>
      <c r="I2554" s="696"/>
    </row>
    <row r="2555" spans="1:9" ht="12.75">
      <c r="A2555" s="998"/>
      <c r="B2555" s="999"/>
      <c r="C2555" s="474"/>
      <c r="D2555" s="474"/>
      <c r="E2555" s="474"/>
      <c r="F2555" s="474"/>
      <c r="G2555" s="696"/>
      <c r="H2555" s="474"/>
      <c r="I2555" s="696"/>
    </row>
    <row r="2556" spans="1:9" ht="12.75">
      <c r="A2556" s="998"/>
      <c r="B2556" s="999"/>
      <c r="C2556" s="474"/>
      <c r="D2556" s="474"/>
      <c r="E2556" s="474"/>
      <c r="F2556" s="474"/>
      <c r="G2556" s="696"/>
      <c r="H2556" s="474"/>
      <c r="I2556" s="696"/>
    </row>
    <row r="2557" spans="1:9" ht="12.75">
      <c r="A2557" s="998"/>
      <c r="B2557" s="999"/>
      <c r="C2557" s="474"/>
      <c r="D2557" s="474"/>
      <c r="E2557" s="474"/>
      <c r="F2557" s="474"/>
      <c r="G2557" s="696"/>
      <c r="H2557" s="474"/>
      <c r="I2557" s="696"/>
    </row>
    <row r="2558" spans="1:9" ht="12.75">
      <c r="A2558" s="998"/>
      <c r="B2558" s="999"/>
      <c r="C2558" s="474"/>
      <c r="D2558" s="474"/>
      <c r="E2558" s="474"/>
      <c r="F2558" s="474"/>
      <c r="G2558" s="696"/>
      <c r="H2558" s="474"/>
      <c r="I2558" s="696"/>
    </row>
    <row r="2559" spans="1:9" ht="12.75">
      <c r="A2559" s="998"/>
      <c r="B2559" s="999"/>
      <c r="C2559" s="474"/>
      <c r="D2559" s="474"/>
      <c r="E2559" s="474"/>
      <c r="F2559" s="474"/>
      <c r="G2559" s="696"/>
      <c r="H2559" s="474"/>
      <c r="I2559" s="696"/>
    </row>
    <row r="2560" spans="1:9" ht="12.75">
      <c r="A2560" s="998"/>
      <c r="B2560" s="999"/>
      <c r="C2560" s="474"/>
      <c r="D2560" s="474"/>
      <c r="E2560" s="474"/>
      <c r="F2560" s="474"/>
      <c r="G2560" s="696"/>
      <c r="H2560" s="474"/>
      <c r="I2560" s="696"/>
    </row>
    <row r="2561" spans="1:9" ht="12.75">
      <c r="A2561" s="998"/>
      <c r="B2561" s="999"/>
      <c r="C2561" s="474"/>
      <c r="D2561" s="474"/>
      <c r="E2561" s="474"/>
      <c r="F2561" s="474"/>
      <c r="G2561" s="696"/>
      <c r="H2561" s="474"/>
      <c r="I2561" s="696"/>
    </row>
    <row r="2562" spans="1:9" ht="12.75">
      <c r="A2562" s="998"/>
      <c r="B2562" s="999"/>
      <c r="C2562" s="474"/>
      <c r="D2562" s="474"/>
      <c r="E2562" s="474"/>
      <c r="F2562" s="474"/>
      <c r="G2562" s="696"/>
      <c r="H2562" s="474"/>
      <c r="I2562" s="696"/>
    </row>
    <row r="2563" spans="1:9" ht="12.75">
      <c r="A2563" s="998"/>
      <c r="B2563" s="999"/>
      <c r="C2563" s="474"/>
      <c r="D2563" s="474"/>
      <c r="E2563" s="474"/>
      <c r="F2563" s="474"/>
      <c r="G2563" s="696"/>
      <c r="H2563" s="474"/>
      <c r="I2563" s="696"/>
    </row>
    <row r="2564" spans="1:9" ht="12.75">
      <c r="A2564" s="998"/>
      <c r="B2564" s="999"/>
      <c r="C2564" s="474"/>
      <c r="D2564" s="474"/>
      <c r="E2564" s="474"/>
      <c r="F2564" s="474"/>
      <c r="G2564" s="696"/>
      <c r="H2564" s="474"/>
      <c r="I2564" s="696"/>
    </row>
    <row r="2565" spans="1:9" ht="12.75">
      <c r="A2565" s="998"/>
      <c r="B2565" s="999"/>
      <c r="C2565" s="474"/>
      <c r="D2565" s="474"/>
      <c r="E2565" s="474"/>
      <c r="F2565" s="474"/>
      <c r="G2565" s="696"/>
      <c r="H2565" s="474"/>
      <c r="I2565" s="696"/>
    </row>
    <row r="2566" spans="1:9" ht="12.75">
      <c r="A2566" s="998"/>
      <c r="B2566" s="999"/>
      <c r="C2566" s="474"/>
      <c r="D2566" s="474"/>
      <c r="E2566" s="474"/>
      <c r="F2566" s="474"/>
      <c r="G2566" s="696"/>
      <c r="H2566" s="474"/>
      <c r="I2566" s="696"/>
    </row>
    <row r="2567" spans="1:9" ht="12.75">
      <c r="A2567" s="998"/>
      <c r="B2567" s="999"/>
      <c r="C2567" s="474"/>
      <c r="D2567" s="474"/>
      <c r="E2567" s="474"/>
      <c r="F2567" s="474"/>
      <c r="G2567" s="696"/>
      <c r="H2567" s="474"/>
      <c r="I2567" s="696"/>
    </row>
    <row r="2568" spans="1:9" ht="12.75">
      <c r="A2568" s="998"/>
      <c r="B2568" s="999"/>
      <c r="C2568" s="474"/>
      <c r="D2568" s="474"/>
      <c r="E2568" s="474"/>
      <c r="F2568" s="474"/>
      <c r="G2568" s="696"/>
      <c r="H2568" s="474"/>
      <c r="I2568" s="696"/>
    </row>
    <row r="2569" spans="1:9" ht="12.75">
      <c r="A2569" s="998"/>
      <c r="B2569" s="999"/>
      <c r="C2569" s="474"/>
      <c r="D2569" s="474"/>
      <c r="E2569" s="474"/>
      <c r="F2569" s="474"/>
      <c r="G2569" s="696"/>
      <c r="H2569" s="474"/>
      <c r="I2569" s="696"/>
    </row>
    <row r="2570" spans="1:9" ht="12.75">
      <c r="A2570" s="998"/>
      <c r="B2570" s="999"/>
      <c r="C2570" s="474"/>
      <c r="D2570" s="474"/>
      <c r="E2570" s="474"/>
      <c r="F2570" s="474"/>
      <c r="G2570" s="696"/>
      <c r="H2570" s="474"/>
      <c r="I2570" s="696"/>
    </row>
    <row r="2571" spans="1:9" ht="12.75">
      <c r="A2571" s="998"/>
      <c r="B2571" s="999"/>
      <c r="C2571" s="474"/>
      <c r="D2571" s="474"/>
      <c r="E2571" s="474"/>
      <c r="F2571" s="474"/>
      <c r="G2571" s="696"/>
      <c r="H2571" s="474"/>
      <c r="I2571" s="696"/>
    </row>
    <row r="2572" spans="1:9" ht="12.75">
      <c r="A2572" s="998"/>
      <c r="B2572" s="999"/>
      <c r="C2572" s="474"/>
      <c r="D2572" s="474"/>
      <c r="E2572" s="474"/>
      <c r="F2572" s="474"/>
      <c r="G2572" s="696"/>
      <c r="H2572" s="474"/>
      <c r="I2572" s="696"/>
    </row>
    <row r="2573" spans="1:9" ht="12.75">
      <c r="A2573" s="998"/>
      <c r="B2573" s="999"/>
      <c r="C2573" s="474"/>
      <c r="D2573" s="474"/>
      <c r="E2573" s="474"/>
      <c r="F2573" s="474"/>
      <c r="G2573" s="696"/>
      <c r="H2573" s="474"/>
      <c r="I2573" s="696"/>
    </row>
    <row r="2574" spans="1:9" ht="12.75">
      <c r="A2574" s="998"/>
      <c r="B2574" s="999"/>
      <c r="C2574" s="474"/>
      <c r="D2574" s="474"/>
      <c r="E2574" s="474"/>
      <c r="F2574" s="474"/>
      <c r="G2574" s="696"/>
      <c r="H2574" s="474"/>
      <c r="I2574" s="696"/>
    </row>
    <row r="2575" spans="1:9" ht="12.75">
      <c r="A2575" s="998"/>
      <c r="B2575" s="999"/>
      <c r="C2575" s="474"/>
      <c r="D2575" s="474"/>
      <c r="E2575" s="474"/>
      <c r="F2575" s="474"/>
      <c r="G2575" s="696"/>
      <c r="H2575" s="474"/>
      <c r="I2575" s="696"/>
    </row>
    <row r="2576" spans="1:9" ht="12.75">
      <c r="A2576" s="998"/>
      <c r="B2576" s="999"/>
      <c r="C2576" s="474"/>
      <c r="D2576" s="474"/>
      <c r="E2576" s="474"/>
      <c r="F2576" s="474"/>
      <c r="G2576" s="696"/>
      <c r="H2576" s="474"/>
      <c r="I2576" s="696"/>
    </row>
    <row r="2577" spans="1:9" ht="12.75">
      <c r="A2577" s="998"/>
      <c r="B2577" s="999"/>
      <c r="C2577" s="474"/>
      <c r="D2577" s="474"/>
      <c r="E2577" s="474"/>
      <c r="F2577" s="474"/>
      <c r="G2577" s="696"/>
      <c r="H2577" s="474"/>
      <c r="I2577" s="696"/>
    </row>
    <row r="2578" spans="1:9" ht="12.75">
      <c r="A2578" s="998"/>
      <c r="B2578" s="999"/>
      <c r="C2578" s="474"/>
      <c r="D2578" s="474"/>
      <c r="E2578" s="474"/>
      <c r="F2578" s="474"/>
      <c r="G2578" s="696"/>
      <c r="H2578" s="474"/>
      <c r="I2578" s="696"/>
    </row>
    <row r="2579" spans="1:9" ht="12.75">
      <c r="A2579" s="998"/>
      <c r="B2579" s="999"/>
      <c r="C2579" s="474"/>
      <c r="D2579" s="474"/>
      <c r="E2579" s="474"/>
      <c r="F2579" s="474"/>
      <c r="G2579" s="696"/>
      <c r="H2579" s="474"/>
      <c r="I2579" s="696"/>
    </row>
    <row r="2580" spans="1:9" ht="12.75">
      <c r="A2580" s="998"/>
      <c r="B2580" s="999"/>
      <c r="C2580" s="474"/>
      <c r="D2580" s="474"/>
      <c r="E2580" s="474"/>
      <c r="F2580" s="474"/>
      <c r="G2580" s="696"/>
      <c r="H2580" s="474"/>
      <c r="I2580" s="696"/>
    </row>
    <row r="2581" spans="1:9" ht="12.75">
      <c r="A2581" s="998"/>
      <c r="B2581" s="999"/>
      <c r="C2581" s="474"/>
      <c r="D2581" s="474"/>
      <c r="E2581" s="474"/>
      <c r="F2581" s="474"/>
      <c r="G2581" s="696"/>
      <c r="H2581" s="474"/>
      <c r="I2581" s="696"/>
    </row>
    <row r="2582" spans="1:9" ht="12.75">
      <c r="A2582" s="998"/>
      <c r="B2582" s="999"/>
      <c r="C2582" s="474"/>
      <c r="D2582" s="474"/>
      <c r="E2582" s="474"/>
      <c r="F2582" s="474"/>
      <c r="G2582" s="696"/>
      <c r="H2582" s="474"/>
      <c r="I2582" s="696"/>
    </row>
    <row r="2583" spans="1:9" ht="12.75">
      <c r="A2583" s="998"/>
      <c r="B2583" s="999"/>
      <c r="C2583" s="474"/>
      <c r="D2583" s="474"/>
      <c r="E2583" s="474"/>
      <c r="F2583" s="474"/>
      <c r="G2583" s="696"/>
      <c r="H2583" s="474"/>
      <c r="I2583" s="696"/>
    </row>
    <row r="2584" spans="1:9" ht="12.75">
      <c r="A2584" s="998"/>
      <c r="B2584" s="999"/>
      <c r="C2584" s="474"/>
      <c r="D2584" s="474"/>
      <c r="E2584" s="474"/>
      <c r="F2584" s="474"/>
      <c r="G2584" s="696"/>
      <c r="H2584" s="474"/>
      <c r="I2584" s="696"/>
    </row>
    <row r="2585" spans="1:9" ht="12.75">
      <c r="A2585" s="998"/>
      <c r="B2585" s="999"/>
      <c r="C2585" s="474"/>
      <c r="D2585" s="474"/>
      <c r="E2585" s="474"/>
      <c r="F2585" s="474"/>
      <c r="G2585" s="696"/>
      <c r="H2585" s="474"/>
      <c r="I2585" s="696"/>
    </row>
    <row r="2586" spans="1:9" ht="12.75">
      <c r="A2586" s="998"/>
      <c r="B2586" s="999"/>
      <c r="C2586" s="474"/>
      <c r="D2586" s="474"/>
      <c r="E2586" s="474"/>
      <c r="F2586" s="474"/>
      <c r="G2586" s="696"/>
      <c r="H2586" s="474"/>
      <c r="I2586" s="696"/>
    </row>
    <row r="2587" spans="1:9" ht="12.75">
      <c r="A2587" s="998"/>
      <c r="B2587" s="999"/>
      <c r="C2587" s="474"/>
      <c r="D2587" s="474"/>
      <c r="E2587" s="474"/>
      <c r="F2587" s="474"/>
      <c r="G2587" s="696"/>
      <c r="H2587" s="474"/>
      <c r="I2587" s="696"/>
    </row>
    <row r="2588" spans="1:9" ht="12.75">
      <c r="A2588" s="998"/>
      <c r="B2588" s="999"/>
      <c r="C2588" s="474"/>
      <c r="D2588" s="474"/>
      <c r="E2588" s="474"/>
      <c r="F2588" s="474"/>
      <c r="G2588" s="696"/>
      <c r="H2588" s="474"/>
      <c r="I2588" s="696"/>
    </row>
    <row r="2589" spans="1:9" ht="12.75">
      <c r="A2589" s="998"/>
      <c r="B2589" s="999"/>
      <c r="C2589" s="474"/>
      <c r="D2589" s="474"/>
      <c r="E2589" s="474"/>
      <c r="F2589" s="474"/>
      <c r="G2589" s="696"/>
      <c r="H2589" s="474"/>
      <c r="I2589" s="696"/>
    </row>
    <row r="2590" spans="1:9" ht="12.75">
      <c r="A2590" s="998"/>
      <c r="B2590" s="999"/>
      <c r="C2590" s="474"/>
      <c r="D2590" s="474"/>
      <c r="E2590" s="474"/>
      <c r="F2590" s="474"/>
      <c r="G2590" s="696"/>
      <c r="H2590" s="474"/>
      <c r="I2590" s="696"/>
    </row>
    <row r="2591" spans="1:9" ht="12.75">
      <c r="A2591" s="998"/>
      <c r="B2591" s="999"/>
      <c r="C2591" s="474"/>
      <c r="D2591" s="474"/>
      <c r="E2591" s="474"/>
      <c r="F2591" s="474"/>
      <c r="G2591" s="696"/>
      <c r="H2591" s="474"/>
      <c r="I2591" s="696"/>
    </row>
    <row r="2592" spans="1:9" ht="12.75">
      <c r="A2592" s="998"/>
      <c r="B2592" s="999"/>
      <c r="C2592" s="474"/>
      <c r="D2592" s="474"/>
      <c r="E2592" s="474"/>
      <c r="F2592" s="474"/>
      <c r="G2592" s="696"/>
      <c r="H2592" s="474"/>
      <c r="I2592" s="696"/>
    </row>
    <row r="2593" spans="1:9" ht="12.75">
      <c r="A2593" s="998"/>
      <c r="B2593" s="999"/>
      <c r="C2593" s="474"/>
      <c r="D2593" s="474"/>
      <c r="E2593" s="474"/>
      <c r="F2593" s="474"/>
      <c r="G2593" s="696"/>
      <c r="H2593" s="474"/>
      <c r="I2593" s="696"/>
    </row>
    <row r="2594" spans="1:9" ht="12.75">
      <c r="A2594" s="998"/>
      <c r="B2594" s="999"/>
      <c r="C2594" s="474"/>
      <c r="D2594" s="474"/>
      <c r="E2594" s="474"/>
      <c r="F2594" s="474"/>
      <c r="G2594" s="696"/>
      <c r="H2594" s="474"/>
      <c r="I2594" s="696"/>
    </row>
    <row r="2595" spans="1:9" ht="12.75">
      <c r="A2595" s="998"/>
      <c r="B2595" s="999"/>
      <c r="C2595" s="474"/>
      <c r="D2595" s="474"/>
      <c r="E2595" s="474"/>
      <c r="F2595" s="474"/>
      <c r="G2595" s="696"/>
      <c r="H2595" s="474"/>
      <c r="I2595" s="696"/>
    </row>
    <row r="2596" spans="1:9" ht="12.75">
      <c r="A2596" s="998"/>
      <c r="B2596" s="999"/>
      <c r="C2596" s="474"/>
      <c r="D2596" s="474"/>
      <c r="E2596" s="474"/>
      <c r="F2596" s="474"/>
      <c r="G2596" s="696"/>
      <c r="H2596" s="474"/>
      <c r="I2596" s="696"/>
    </row>
    <row r="2597" spans="1:9" ht="12.75">
      <c r="A2597" s="998"/>
      <c r="B2597" s="999"/>
      <c r="C2597" s="474"/>
      <c r="D2597" s="474"/>
      <c r="E2597" s="474"/>
      <c r="F2597" s="474"/>
      <c r="G2597" s="696"/>
      <c r="H2597" s="474"/>
      <c r="I2597" s="696"/>
    </row>
    <row r="2598" spans="1:9" ht="12.75">
      <c r="A2598" s="998"/>
      <c r="B2598" s="999"/>
      <c r="C2598" s="474"/>
      <c r="D2598" s="474"/>
      <c r="E2598" s="474"/>
      <c r="F2598" s="474"/>
      <c r="G2598" s="696"/>
      <c r="H2598" s="474"/>
      <c r="I2598" s="696"/>
    </row>
    <row r="2599" spans="1:9" ht="12.75">
      <c r="A2599" s="998"/>
      <c r="B2599" s="999"/>
      <c r="C2599" s="474"/>
      <c r="D2599" s="474"/>
      <c r="E2599" s="474"/>
      <c r="F2599" s="474"/>
      <c r="G2599" s="696"/>
      <c r="H2599" s="474"/>
      <c r="I2599" s="696"/>
    </row>
    <row r="2600" spans="1:9" ht="12.75">
      <c r="A2600" s="998"/>
      <c r="B2600" s="999"/>
      <c r="C2600" s="474"/>
      <c r="D2600" s="474"/>
      <c r="E2600" s="474"/>
      <c r="F2600" s="474"/>
      <c r="G2600" s="696"/>
      <c r="H2600" s="474"/>
      <c r="I2600" s="696"/>
    </row>
    <row r="2601" spans="1:9" ht="12.75">
      <c r="A2601" s="998"/>
      <c r="B2601" s="999"/>
      <c r="C2601" s="474"/>
      <c r="D2601" s="474"/>
      <c r="E2601" s="474"/>
      <c r="F2601" s="474"/>
      <c r="G2601" s="696"/>
      <c r="H2601" s="474"/>
      <c r="I2601" s="696"/>
    </row>
    <row r="2602" spans="1:9" ht="12.75">
      <c r="A2602" s="998"/>
      <c r="B2602" s="999"/>
      <c r="C2602" s="474"/>
      <c r="D2602" s="474"/>
      <c r="E2602" s="474"/>
      <c r="F2602" s="474"/>
      <c r="G2602" s="696"/>
      <c r="H2602" s="474"/>
      <c r="I2602" s="696"/>
    </row>
    <row r="2603" spans="1:9" ht="12.75">
      <c r="A2603" s="998"/>
      <c r="B2603" s="999"/>
      <c r="C2603" s="474"/>
      <c r="D2603" s="474"/>
      <c r="E2603" s="474"/>
      <c r="F2603" s="474"/>
      <c r="G2603" s="696"/>
      <c r="H2603" s="474"/>
      <c r="I2603" s="696"/>
    </row>
    <row r="2604" spans="1:9" ht="12.75">
      <c r="A2604" s="998"/>
      <c r="B2604" s="999"/>
      <c r="C2604" s="474"/>
      <c r="D2604" s="474"/>
      <c r="E2604" s="474"/>
      <c r="F2604" s="474"/>
      <c r="G2604" s="696"/>
      <c r="H2604" s="474"/>
      <c r="I2604" s="696"/>
    </row>
    <row r="2605" spans="1:9" ht="12.75">
      <c r="A2605" s="998"/>
      <c r="B2605" s="999"/>
      <c r="C2605" s="474"/>
      <c r="D2605" s="474"/>
      <c r="E2605" s="474"/>
      <c r="F2605" s="474"/>
      <c r="G2605" s="696"/>
      <c r="H2605" s="474"/>
      <c r="I2605" s="696"/>
    </row>
    <row r="2606" spans="1:9" ht="12.75">
      <c r="A2606" s="998"/>
      <c r="B2606" s="999"/>
      <c r="C2606" s="474"/>
      <c r="D2606" s="474"/>
      <c r="E2606" s="474"/>
      <c r="F2606" s="474"/>
      <c r="G2606" s="696"/>
      <c r="H2606" s="474"/>
      <c r="I2606" s="696"/>
    </row>
    <row r="2607" spans="1:9" ht="12.75">
      <c r="A2607" s="998"/>
      <c r="B2607" s="999"/>
      <c r="C2607" s="474"/>
      <c r="D2607" s="474"/>
      <c r="E2607" s="474"/>
      <c r="F2607" s="474"/>
      <c r="G2607" s="696"/>
      <c r="H2607" s="474"/>
      <c r="I2607" s="696"/>
    </row>
    <row r="2608" spans="1:9" ht="12.75">
      <c r="A2608" s="998"/>
      <c r="B2608" s="999"/>
      <c r="C2608" s="474"/>
      <c r="D2608" s="474"/>
      <c r="E2608" s="474"/>
      <c r="F2608" s="474"/>
      <c r="G2608" s="696"/>
      <c r="H2608" s="474"/>
      <c r="I2608" s="696"/>
    </row>
    <row r="2609" spans="1:9" ht="12.75">
      <c r="A2609" s="998"/>
      <c r="B2609" s="999"/>
      <c r="C2609" s="474"/>
      <c r="D2609" s="474"/>
      <c r="E2609" s="474"/>
      <c r="F2609" s="474"/>
      <c r="G2609" s="696"/>
      <c r="H2609" s="474"/>
      <c r="I2609" s="696"/>
    </row>
    <row r="2610" spans="1:9" ht="12.75">
      <c r="A2610" s="998"/>
      <c r="B2610" s="999"/>
      <c r="C2610" s="474"/>
      <c r="D2610" s="474"/>
      <c r="E2610" s="474"/>
      <c r="F2610" s="474"/>
      <c r="G2610" s="696"/>
      <c r="H2610" s="474"/>
      <c r="I2610" s="696"/>
    </row>
    <row r="2611" spans="1:9" ht="12.75">
      <c r="A2611" s="998"/>
      <c r="B2611" s="999"/>
      <c r="C2611" s="474"/>
      <c r="D2611" s="474"/>
      <c r="E2611" s="474"/>
      <c r="F2611" s="474"/>
      <c r="G2611" s="696"/>
      <c r="H2611" s="474"/>
      <c r="I2611" s="696"/>
    </row>
    <row r="2612" spans="1:9" ht="12.75">
      <c r="A2612" s="998"/>
      <c r="B2612" s="999"/>
      <c r="C2612" s="474"/>
      <c r="D2612" s="474"/>
      <c r="E2612" s="474"/>
      <c r="F2612" s="474"/>
      <c r="G2612" s="696"/>
      <c r="H2612" s="474"/>
      <c r="I2612" s="696"/>
    </row>
    <row r="2613" spans="1:9" ht="12.75">
      <c r="A2613" s="998"/>
      <c r="B2613" s="999"/>
      <c r="C2613" s="474"/>
      <c r="D2613" s="474"/>
      <c r="E2613" s="474"/>
      <c r="F2613" s="474"/>
      <c r="G2613" s="696"/>
      <c r="H2613" s="474"/>
      <c r="I2613" s="696"/>
    </row>
    <row r="2614" spans="1:9" ht="12.75">
      <c r="A2614" s="998"/>
      <c r="B2614" s="999"/>
      <c r="C2614" s="474"/>
      <c r="D2614" s="474"/>
      <c r="E2614" s="474"/>
      <c r="F2614" s="474"/>
      <c r="G2614" s="696"/>
      <c r="H2614" s="474"/>
      <c r="I2614" s="696"/>
    </row>
    <row r="2615" spans="1:9" ht="12.75">
      <c r="A2615" s="998"/>
      <c r="B2615" s="999"/>
      <c r="C2615" s="474"/>
      <c r="D2615" s="474"/>
      <c r="E2615" s="474"/>
      <c r="F2615" s="474"/>
      <c r="G2615" s="696"/>
      <c r="H2615" s="474"/>
      <c r="I2615" s="696"/>
    </row>
    <row r="2616" spans="1:9" ht="12.75">
      <c r="A2616" s="998"/>
      <c r="B2616" s="999"/>
      <c r="C2616" s="474"/>
      <c r="D2616" s="474"/>
      <c r="E2616" s="474"/>
      <c r="F2616" s="474"/>
      <c r="G2616" s="696"/>
      <c r="H2616" s="474"/>
      <c r="I2616" s="696"/>
    </row>
    <row r="2617" spans="1:9" ht="12.75">
      <c r="A2617" s="998"/>
      <c r="B2617" s="999"/>
      <c r="C2617" s="474"/>
      <c r="D2617" s="474"/>
      <c r="E2617" s="474"/>
      <c r="F2617" s="474"/>
      <c r="G2617" s="696"/>
      <c r="H2617" s="474"/>
      <c r="I2617" s="696"/>
    </row>
    <row r="2618" spans="1:9" ht="12.75">
      <c r="A2618" s="998"/>
      <c r="B2618" s="999"/>
      <c r="C2618" s="474"/>
      <c r="D2618" s="474"/>
      <c r="E2618" s="474"/>
      <c r="F2618" s="474"/>
      <c r="G2618" s="696"/>
      <c r="H2618" s="474"/>
      <c r="I2618" s="696"/>
    </row>
    <row r="2619" spans="1:9" ht="12.75">
      <c r="A2619" s="998"/>
      <c r="B2619" s="999"/>
      <c r="C2619" s="474"/>
      <c r="D2619" s="474"/>
      <c r="E2619" s="474"/>
      <c r="F2619" s="474"/>
      <c r="G2619" s="696"/>
      <c r="H2619" s="474"/>
      <c r="I2619" s="696"/>
    </row>
    <row r="2620" spans="1:9" ht="12.75">
      <c r="A2620" s="998"/>
      <c r="B2620" s="999"/>
      <c r="C2620" s="474"/>
      <c r="D2620" s="474"/>
      <c r="E2620" s="474"/>
      <c r="F2620" s="474"/>
      <c r="G2620" s="696"/>
      <c r="H2620" s="474"/>
      <c r="I2620" s="696"/>
    </row>
    <row r="2621" spans="1:9" ht="12.75">
      <c r="A2621" s="998"/>
      <c r="B2621" s="999"/>
      <c r="C2621" s="474"/>
      <c r="D2621" s="474"/>
      <c r="E2621" s="474"/>
      <c r="F2621" s="474"/>
      <c r="G2621" s="696"/>
      <c r="H2621" s="474"/>
      <c r="I2621" s="696"/>
    </row>
    <row r="2622" spans="1:9" ht="12.75">
      <c r="A2622" s="998"/>
      <c r="B2622" s="999"/>
      <c r="C2622" s="474"/>
      <c r="D2622" s="474"/>
      <c r="E2622" s="474"/>
      <c r="F2622" s="474"/>
      <c r="G2622" s="696"/>
      <c r="H2622" s="474"/>
      <c r="I2622" s="696"/>
    </row>
    <row r="2623" spans="1:9" ht="12.75">
      <c r="A2623" s="998"/>
      <c r="B2623" s="999"/>
      <c r="C2623" s="474"/>
      <c r="D2623" s="474"/>
      <c r="E2623" s="474"/>
      <c r="F2623" s="474"/>
      <c r="G2623" s="696"/>
      <c r="H2623" s="474"/>
      <c r="I2623" s="696"/>
    </row>
    <row r="2624" spans="1:9" ht="12.75">
      <c r="A2624" s="998"/>
      <c r="B2624" s="999"/>
      <c r="C2624" s="474"/>
      <c r="D2624" s="474"/>
      <c r="E2624" s="474"/>
      <c r="F2624" s="474"/>
      <c r="G2624" s="696"/>
      <c r="H2624" s="474"/>
      <c r="I2624" s="696"/>
    </row>
    <row r="2625" spans="1:9" ht="12.75">
      <c r="A2625" s="998"/>
      <c r="B2625" s="999"/>
      <c r="C2625" s="474"/>
      <c r="D2625" s="474"/>
      <c r="E2625" s="474"/>
      <c r="F2625" s="474"/>
      <c r="G2625" s="696"/>
      <c r="H2625" s="474"/>
      <c r="I2625" s="696"/>
    </row>
    <row r="2626" spans="1:9" ht="12.75">
      <c r="A2626" s="998"/>
      <c r="B2626" s="999"/>
      <c r="C2626" s="474"/>
      <c r="D2626" s="474"/>
      <c r="E2626" s="474"/>
      <c r="F2626" s="474"/>
      <c r="G2626" s="696"/>
      <c r="H2626" s="474"/>
      <c r="I2626" s="696"/>
    </row>
    <row r="2627" spans="1:9" ht="12.75">
      <c r="A2627" s="998"/>
      <c r="B2627" s="999"/>
      <c r="C2627" s="474"/>
      <c r="D2627" s="474"/>
      <c r="E2627" s="474"/>
      <c r="F2627" s="474"/>
      <c r="G2627" s="696"/>
      <c r="H2627" s="474"/>
      <c r="I2627" s="696"/>
    </row>
    <row r="2628" spans="1:9" ht="12.75">
      <c r="A2628" s="998"/>
      <c r="B2628" s="999"/>
      <c r="C2628" s="474"/>
      <c r="D2628" s="474"/>
      <c r="E2628" s="474"/>
      <c r="F2628" s="474"/>
      <c r="G2628" s="696"/>
      <c r="H2628" s="474"/>
      <c r="I2628" s="696"/>
    </row>
    <row r="2629" spans="1:9" ht="12.75">
      <c r="A2629" s="998"/>
      <c r="B2629" s="999"/>
      <c r="C2629" s="474"/>
      <c r="D2629" s="474"/>
      <c r="E2629" s="474"/>
      <c r="F2629" s="474"/>
      <c r="G2629" s="696"/>
      <c r="H2629" s="474"/>
      <c r="I2629" s="696"/>
    </row>
    <row r="2630" spans="1:9" ht="12.75">
      <c r="A2630" s="998"/>
      <c r="B2630" s="999"/>
      <c r="C2630" s="474"/>
      <c r="D2630" s="474"/>
      <c r="E2630" s="474"/>
      <c r="F2630" s="474"/>
      <c r="G2630" s="696"/>
      <c r="H2630" s="474"/>
      <c r="I2630" s="696"/>
    </row>
    <row r="2631" spans="1:9" ht="12.75">
      <c r="A2631" s="998"/>
      <c r="B2631" s="999"/>
      <c r="C2631" s="474"/>
      <c r="D2631" s="474"/>
      <c r="E2631" s="474"/>
      <c r="F2631" s="474"/>
      <c r="G2631" s="696"/>
      <c r="H2631" s="474"/>
      <c r="I2631" s="696"/>
    </row>
    <row r="2632" spans="1:9" ht="12.75">
      <c r="A2632" s="998"/>
      <c r="B2632" s="999"/>
      <c r="C2632" s="474"/>
      <c r="D2632" s="474"/>
      <c r="E2632" s="474"/>
      <c r="F2632" s="474"/>
      <c r="G2632" s="696"/>
      <c r="H2632" s="474"/>
      <c r="I2632" s="696"/>
    </row>
    <row r="2633" spans="1:9" ht="12.75">
      <c r="A2633" s="998"/>
      <c r="B2633" s="999"/>
      <c r="C2633" s="474"/>
      <c r="D2633" s="474"/>
      <c r="E2633" s="474"/>
      <c r="F2633" s="474"/>
      <c r="G2633" s="696"/>
      <c r="H2633" s="474"/>
      <c r="I2633" s="696"/>
    </row>
    <row r="2634" spans="1:9" ht="12.75">
      <c r="A2634" s="998"/>
      <c r="B2634" s="999"/>
      <c r="C2634" s="474"/>
      <c r="D2634" s="474"/>
      <c r="E2634" s="474"/>
      <c r="F2634" s="474"/>
      <c r="G2634" s="696"/>
      <c r="H2634" s="474"/>
      <c r="I2634" s="696"/>
    </row>
    <row r="2635" spans="1:9" ht="12.75">
      <c r="A2635" s="998"/>
      <c r="B2635" s="999"/>
      <c r="C2635" s="474"/>
      <c r="D2635" s="474"/>
      <c r="E2635" s="474"/>
      <c r="F2635" s="474"/>
      <c r="G2635" s="696"/>
      <c r="H2635" s="474"/>
      <c r="I2635" s="696"/>
    </row>
    <row r="2636" spans="1:9" ht="12.75">
      <c r="A2636" s="998"/>
      <c r="B2636" s="999"/>
      <c r="C2636" s="474"/>
      <c r="D2636" s="474"/>
      <c r="E2636" s="474"/>
      <c r="F2636" s="474"/>
      <c r="G2636" s="696"/>
      <c r="H2636" s="474"/>
      <c r="I2636" s="696"/>
    </row>
    <row r="2637" spans="1:9" ht="12.75">
      <c r="A2637" s="998"/>
      <c r="B2637" s="999"/>
      <c r="C2637" s="474"/>
      <c r="D2637" s="474"/>
      <c r="E2637" s="474"/>
      <c r="F2637" s="474"/>
      <c r="G2637" s="696"/>
      <c r="H2637" s="474"/>
      <c r="I2637" s="696"/>
    </row>
    <row r="2638" spans="1:9" ht="12.75">
      <c r="A2638" s="998"/>
      <c r="B2638" s="999"/>
      <c r="C2638" s="474"/>
      <c r="D2638" s="474"/>
      <c r="E2638" s="474"/>
      <c r="F2638" s="474"/>
      <c r="G2638" s="696"/>
      <c r="H2638" s="474"/>
      <c r="I2638" s="696"/>
    </row>
    <row r="2639" spans="1:9" ht="12.75">
      <c r="A2639" s="998"/>
      <c r="B2639" s="999"/>
      <c r="C2639" s="474"/>
      <c r="D2639" s="474"/>
      <c r="E2639" s="474"/>
      <c r="F2639" s="474"/>
      <c r="G2639" s="696"/>
      <c r="H2639" s="474"/>
      <c r="I2639" s="696"/>
    </row>
    <row r="2640" spans="1:9" ht="12.75">
      <c r="A2640" s="998"/>
      <c r="B2640" s="999"/>
      <c r="C2640" s="474"/>
      <c r="D2640" s="474"/>
      <c r="E2640" s="474"/>
      <c r="F2640" s="474"/>
      <c r="G2640" s="696"/>
      <c r="H2640" s="474"/>
      <c r="I2640" s="696"/>
    </row>
    <row r="2641" spans="1:9" ht="12.75">
      <c r="A2641" s="998"/>
      <c r="B2641" s="999"/>
      <c r="C2641" s="474"/>
      <c r="D2641" s="474"/>
      <c r="E2641" s="474"/>
      <c r="F2641" s="474"/>
      <c r="G2641" s="696"/>
      <c r="H2641" s="474"/>
      <c r="I2641" s="696"/>
    </row>
    <row r="2642" spans="1:9" ht="12.75">
      <c r="A2642" s="998"/>
      <c r="B2642" s="999"/>
      <c r="C2642" s="474"/>
      <c r="D2642" s="474"/>
      <c r="E2642" s="474"/>
      <c r="F2642" s="474"/>
      <c r="G2642" s="696"/>
      <c r="H2642" s="474"/>
      <c r="I2642" s="696"/>
    </row>
    <row r="2643" spans="1:9" ht="12.75">
      <c r="A2643" s="998"/>
      <c r="B2643" s="999"/>
      <c r="C2643" s="474"/>
      <c r="D2643" s="474"/>
      <c r="E2643" s="474"/>
      <c r="F2643" s="474"/>
      <c r="G2643" s="696"/>
      <c r="H2643" s="474"/>
      <c r="I2643" s="696"/>
    </row>
    <row r="2644" spans="1:9" ht="12.75">
      <c r="A2644" s="998"/>
      <c r="B2644" s="999"/>
      <c r="C2644" s="474"/>
      <c r="D2644" s="474"/>
      <c r="E2644" s="474"/>
      <c r="F2644" s="474"/>
      <c r="G2644" s="696"/>
      <c r="H2644" s="474"/>
      <c r="I2644" s="696"/>
    </row>
    <row r="2645" spans="1:9" ht="12.75">
      <c r="A2645" s="998"/>
      <c r="B2645" s="999"/>
      <c r="C2645" s="474"/>
      <c r="D2645" s="474"/>
      <c r="E2645" s="474"/>
      <c r="F2645" s="474"/>
      <c r="G2645" s="696"/>
      <c r="H2645" s="474"/>
      <c r="I2645" s="696"/>
    </row>
    <row r="2646" spans="1:9" ht="12.75">
      <c r="A2646" s="998"/>
      <c r="B2646" s="999"/>
      <c r="C2646" s="474"/>
      <c r="D2646" s="474"/>
      <c r="E2646" s="474"/>
      <c r="F2646" s="474"/>
      <c r="G2646" s="696"/>
      <c r="H2646" s="474"/>
      <c r="I2646" s="696"/>
    </row>
    <row r="2647" spans="1:9" ht="12.75">
      <c r="A2647" s="998"/>
      <c r="B2647" s="999"/>
      <c r="C2647" s="474"/>
      <c r="D2647" s="474"/>
      <c r="E2647" s="474"/>
      <c r="F2647" s="474"/>
      <c r="G2647" s="696"/>
      <c r="H2647" s="474"/>
      <c r="I2647" s="696"/>
    </row>
    <row r="2648" spans="1:9" ht="12.75">
      <c r="A2648" s="998"/>
      <c r="B2648" s="999"/>
      <c r="C2648" s="474"/>
      <c r="D2648" s="474"/>
      <c r="E2648" s="474"/>
      <c r="F2648" s="474"/>
      <c r="G2648" s="696"/>
      <c r="H2648" s="474"/>
      <c r="I2648" s="696"/>
    </row>
    <row r="2649" spans="1:9" ht="12.75">
      <c r="A2649" s="998"/>
      <c r="B2649" s="999"/>
      <c r="C2649" s="474"/>
      <c r="D2649" s="474"/>
      <c r="E2649" s="474"/>
      <c r="F2649" s="474"/>
      <c r="G2649" s="696"/>
      <c r="H2649" s="474"/>
      <c r="I2649" s="696"/>
    </row>
    <row r="2650" spans="1:9" ht="12.75">
      <c r="A2650" s="998"/>
      <c r="B2650" s="999"/>
      <c r="C2650" s="474"/>
      <c r="D2650" s="474"/>
      <c r="E2650" s="474"/>
      <c r="F2650" s="474"/>
      <c r="G2650" s="696"/>
      <c r="H2650" s="474"/>
      <c r="I2650" s="696"/>
    </row>
    <row r="2651" spans="1:9" ht="12.75">
      <c r="A2651" s="998"/>
      <c r="B2651" s="999"/>
      <c r="C2651" s="474"/>
      <c r="D2651" s="474"/>
      <c r="E2651" s="474"/>
      <c r="F2651" s="474"/>
      <c r="G2651" s="696"/>
      <c r="H2651" s="474"/>
      <c r="I2651" s="696"/>
    </row>
    <row r="2652" spans="1:9" ht="12.75">
      <c r="A2652" s="998"/>
      <c r="B2652" s="999"/>
      <c r="C2652" s="474"/>
      <c r="D2652" s="474"/>
      <c r="E2652" s="474"/>
      <c r="F2652" s="474"/>
      <c r="G2652" s="696"/>
      <c r="H2652" s="474"/>
      <c r="I2652" s="696"/>
    </row>
    <row r="2653" spans="1:9" ht="12.75">
      <c r="A2653" s="998"/>
      <c r="B2653" s="999"/>
      <c r="C2653" s="474"/>
      <c r="D2653" s="474"/>
      <c r="E2653" s="474"/>
      <c r="F2653" s="474"/>
      <c r="G2653" s="696"/>
      <c r="H2653" s="474"/>
      <c r="I2653" s="696"/>
    </row>
    <row r="2654" spans="1:9" ht="12.75">
      <c r="A2654" s="998"/>
      <c r="B2654" s="999"/>
      <c r="C2654" s="474"/>
      <c r="D2654" s="474"/>
      <c r="E2654" s="474"/>
      <c r="F2654" s="474"/>
      <c r="G2654" s="696"/>
      <c r="H2654" s="474"/>
      <c r="I2654" s="696"/>
    </row>
    <row r="2655" spans="1:9" ht="12.75">
      <c r="A2655" s="998"/>
      <c r="B2655" s="999"/>
      <c r="C2655" s="474"/>
      <c r="D2655" s="474"/>
      <c r="E2655" s="474"/>
      <c r="F2655" s="474"/>
      <c r="G2655" s="696"/>
      <c r="H2655" s="474"/>
      <c r="I2655" s="696"/>
    </row>
    <row r="2656" spans="1:9" ht="12.75">
      <c r="A2656" s="998"/>
      <c r="B2656" s="999"/>
      <c r="C2656" s="474"/>
      <c r="D2656" s="474"/>
      <c r="E2656" s="474"/>
      <c r="F2656" s="474"/>
      <c r="G2656" s="696"/>
      <c r="H2656" s="474"/>
      <c r="I2656" s="696"/>
    </row>
    <row r="2657" spans="1:9" ht="12.75">
      <c r="A2657" s="998"/>
      <c r="B2657" s="999"/>
      <c r="C2657" s="474"/>
      <c r="D2657" s="474"/>
      <c r="E2657" s="474"/>
      <c r="F2657" s="474"/>
      <c r="G2657" s="696"/>
      <c r="H2657" s="474"/>
      <c r="I2657" s="696"/>
    </row>
    <row r="2658" spans="1:9" ht="12.75">
      <c r="A2658" s="998"/>
      <c r="B2658" s="999"/>
      <c r="C2658" s="474"/>
      <c r="D2658" s="474"/>
      <c r="E2658" s="474"/>
      <c r="F2658" s="474"/>
      <c r="G2658" s="696"/>
      <c r="H2658" s="474"/>
      <c r="I2658" s="696"/>
    </row>
    <row r="2659" spans="1:9" ht="12.75">
      <c r="A2659" s="998"/>
      <c r="B2659" s="999"/>
      <c r="C2659" s="474"/>
      <c r="D2659" s="474"/>
      <c r="E2659" s="474"/>
      <c r="F2659" s="474"/>
      <c r="G2659" s="696"/>
      <c r="H2659" s="474"/>
      <c r="I2659" s="696"/>
    </row>
    <row r="2660" spans="1:9" ht="12.75">
      <c r="A2660" s="998"/>
      <c r="B2660" s="999"/>
      <c r="C2660" s="474"/>
      <c r="D2660" s="474"/>
      <c r="E2660" s="474"/>
      <c r="F2660" s="474"/>
      <c r="G2660" s="696"/>
      <c r="H2660" s="474"/>
      <c r="I2660" s="696"/>
    </row>
    <row r="2661" spans="1:9" ht="12.75">
      <c r="A2661" s="998"/>
      <c r="B2661" s="999"/>
      <c r="C2661" s="474"/>
      <c r="D2661" s="474"/>
      <c r="E2661" s="474"/>
      <c r="F2661" s="474"/>
      <c r="G2661" s="696"/>
      <c r="H2661" s="474"/>
      <c r="I2661" s="696"/>
    </row>
    <row r="2662" spans="1:9" ht="12.75">
      <c r="A2662" s="998"/>
      <c r="B2662" s="999"/>
      <c r="C2662" s="474"/>
      <c r="D2662" s="474"/>
      <c r="E2662" s="474"/>
      <c r="F2662" s="474"/>
      <c r="G2662" s="696"/>
      <c r="H2662" s="474"/>
      <c r="I2662" s="696"/>
    </row>
    <row r="2663" spans="1:9" ht="12.75">
      <c r="A2663" s="998"/>
      <c r="B2663" s="999"/>
      <c r="C2663" s="474"/>
      <c r="D2663" s="474"/>
      <c r="E2663" s="474"/>
      <c r="F2663" s="474"/>
      <c r="G2663" s="696"/>
      <c r="H2663" s="474"/>
      <c r="I2663" s="696"/>
    </row>
    <row r="2664" spans="1:9" ht="12.75">
      <c r="A2664" s="998"/>
      <c r="B2664" s="999"/>
      <c r="C2664" s="474"/>
      <c r="D2664" s="474"/>
      <c r="E2664" s="474"/>
      <c r="F2664" s="474"/>
      <c r="G2664" s="696"/>
      <c r="H2664" s="474"/>
      <c r="I2664" s="696"/>
    </row>
    <row r="2665" spans="1:9" ht="12.75">
      <c r="A2665" s="998"/>
      <c r="B2665" s="999"/>
      <c r="C2665" s="474"/>
      <c r="D2665" s="474"/>
      <c r="E2665" s="474"/>
      <c r="F2665" s="474"/>
      <c r="G2665" s="696"/>
      <c r="H2665" s="474"/>
      <c r="I2665" s="696"/>
    </row>
    <row r="2666" spans="1:9" ht="12.75">
      <c r="A2666" s="998"/>
      <c r="B2666" s="999"/>
      <c r="C2666" s="474"/>
      <c r="D2666" s="474"/>
      <c r="E2666" s="474"/>
      <c r="F2666" s="474"/>
      <c r="G2666" s="696"/>
      <c r="H2666" s="474"/>
      <c r="I2666" s="696"/>
    </row>
    <row r="2667" spans="1:9" ht="12.75">
      <c r="A2667" s="998"/>
      <c r="B2667" s="999"/>
      <c r="C2667" s="474"/>
      <c r="D2667" s="474"/>
      <c r="E2667" s="474"/>
      <c r="F2667" s="474"/>
      <c r="G2667" s="696"/>
      <c r="H2667" s="474"/>
      <c r="I2667" s="696"/>
    </row>
    <row r="2668" spans="1:9" ht="12.75">
      <c r="A2668" s="998"/>
      <c r="B2668" s="999"/>
      <c r="C2668" s="474"/>
      <c r="D2668" s="474"/>
      <c r="E2668" s="474"/>
      <c r="F2668" s="474"/>
      <c r="G2668" s="696"/>
      <c r="H2668" s="474"/>
      <c r="I2668" s="696"/>
    </row>
    <row r="2669" spans="1:9" ht="12.75">
      <c r="A2669" s="998"/>
      <c r="B2669" s="999"/>
      <c r="C2669" s="474"/>
      <c r="D2669" s="474"/>
      <c r="E2669" s="474"/>
      <c r="F2669" s="474"/>
      <c r="G2669" s="696"/>
      <c r="H2669" s="474"/>
      <c r="I2669" s="696"/>
    </row>
    <row r="2670" spans="1:9" ht="12.75">
      <c r="A2670" s="998"/>
      <c r="B2670" s="999"/>
      <c r="C2670" s="474"/>
      <c r="D2670" s="474"/>
      <c r="E2670" s="474"/>
      <c r="F2670" s="474"/>
      <c r="G2670" s="696"/>
      <c r="H2670" s="474"/>
      <c r="I2670" s="696"/>
    </row>
    <row r="2671" spans="1:9" ht="12.75">
      <c r="A2671" s="998"/>
      <c r="B2671" s="999"/>
      <c r="C2671" s="474"/>
      <c r="D2671" s="474"/>
      <c r="E2671" s="474"/>
      <c r="F2671" s="474"/>
      <c r="G2671" s="696"/>
      <c r="H2671" s="474"/>
      <c r="I2671" s="696"/>
    </row>
    <row r="2672" spans="1:9" ht="12.75">
      <c r="A2672" s="998"/>
      <c r="B2672" s="999"/>
      <c r="C2672" s="474"/>
      <c r="D2672" s="474"/>
      <c r="E2672" s="474"/>
      <c r="F2672" s="474"/>
      <c r="G2672" s="696"/>
      <c r="H2672" s="474"/>
      <c r="I2672" s="696"/>
    </row>
    <row r="2673" spans="1:9" ht="12.75">
      <c r="A2673" s="998"/>
      <c r="B2673" s="999"/>
      <c r="C2673" s="474"/>
      <c r="D2673" s="474"/>
      <c r="E2673" s="474"/>
      <c r="F2673" s="474"/>
      <c r="G2673" s="696"/>
      <c r="H2673" s="474"/>
      <c r="I2673" s="696"/>
    </row>
    <row r="2674" spans="1:9" ht="12.75">
      <c r="A2674" s="998"/>
      <c r="B2674" s="999"/>
      <c r="C2674" s="474"/>
      <c r="D2674" s="474"/>
      <c r="E2674" s="474"/>
      <c r="F2674" s="474"/>
      <c r="G2674" s="696"/>
      <c r="H2674" s="474"/>
      <c r="I2674" s="696"/>
    </row>
    <row r="2675" spans="1:9" ht="12.75">
      <c r="A2675" s="998"/>
      <c r="B2675" s="999"/>
      <c r="C2675" s="474"/>
      <c r="D2675" s="474"/>
      <c r="E2675" s="474"/>
      <c r="F2675" s="474"/>
      <c r="G2675" s="696"/>
      <c r="H2675" s="474"/>
      <c r="I2675" s="696"/>
    </row>
    <row r="2676" spans="1:9" ht="12.75">
      <c r="A2676" s="998"/>
      <c r="B2676" s="999"/>
      <c r="C2676" s="474"/>
      <c r="D2676" s="474"/>
      <c r="E2676" s="474"/>
      <c r="F2676" s="474"/>
      <c r="G2676" s="696"/>
      <c r="H2676" s="474"/>
      <c r="I2676" s="696"/>
    </row>
    <row r="2677" spans="1:9" ht="12.75">
      <c r="A2677" s="998"/>
      <c r="B2677" s="999"/>
      <c r="C2677" s="474"/>
      <c r="D2677" s="474"/>
      <c r="E2677" s="474"/>
      <c r="F2677" s="474"/>
      <c r="G2677" s="696"/>
      <c r="H2677" s="474"/>
      <c r="I2677" s="696"/>
    </row>
    <row r="2678" spans="1:9" ht="12.75">
      <c r="A2678" s="998"/>
      <c r="B2678" s="999"/>
      <c r="C2678" s="474"/>
      <c r="D2678" s="474"/>
      <c r="E2678" s="474"/>
      <c r="F2678" s="474"/>
      <c r="G2678" s="696"/>
      <c r="H2678" s="474"/>
      <c r="I2678" s="696"/>
    </row>
    <row r="2679" spans="1:9" ht="12.75">
      <c r="A2679" s="998"/>
      <c r="B2679" s="999"/>
      <c r="C2679" s="474"/>
      <c r="D2679" s="474"/>
      <c r="E2679" s="474"/>
      <c r="F2679" s="474"/>
      <c r="G2679" s="696"/>
      <c r="H2679" s="474"/>
      <c r="I2679" s="696"/>
    </row>
    <row r="2680" spans="1:9" ht="12.75">
      <c r="A2680" s="998"/>
      <c r="B2680" s="999"/>
      <c r="C2680" s="474"/>
      <c r="D2680" s="474"/>
      <c r="E2680" s="474"/>
      <c r="F2680" s="474"/>
      <c r="G2680" s="696"/>
      <c r="H2680" s="474"/>
      <c r="I2680" s="696"/>
    </row>
    <row r="2681" spans="1:9" ht="12.75">
      <c r="A2681" s="998"/>
      <c r="B2681" s="999"/>
      <c r="C2681" s="474"/>
      <c r="D2681" s="474"/>
      <c r="E2681" s="474"/>
      <c r="F2681" s="474"/>
      <c r="G2681" s="696"/>
      <c r="H2681" s="474"/>
      <c r="I2681" s="696"/>
    </row>
    <row r="2682" spans="1:9" ht="12.75">
      <c r="A2682" s="998"/>
      <c r="B2682" s="999"/>
      <c r="C2682" s="474"/>
      <c r="D2682" s="474"/>
      <c r="E2682" s="474"/>
      <c r="F2682" s="474"/>
      <c r="G2682" s="696"/>
      <c r="H2682" s="474"/>
      <c r="I2682" s="696"/>
    </row>
    <row r="2683" spans="1:9" ht="12.75">
      <c r="A2683" s="998"/>
      <c r="B2683" s="999"/>
      <c r="C2683" s="474"/>
      <c r="D2683" s="474"/>
      <c r="E2683" s="474"/>
      <c r="F2683" s="474"/>
      <c r="G2683" s="696"/>
      <c r="H2683" s="474"/>
      <c r="I2683" s="696"/>
    </row>
    <row r="2684" spans="1:9" ht="12.75">
      <c r="A2684" s="998"/>
      <c r="B2684" s="999"/>
      <c r="C2684" s="474"/>
      <c r="D2684" s="474"/>
      <c r="E2684" s="474"/>
      <c r="F2684" s="474"/>
      <c r="G2684" s="696"/>
      <c r="H2684" s="474"/>
      <c r="I2684" s="696"/>
    </row>
    <row r="2685" spans="1:9" ht="12.75">
      <c r="A2685" s="998"/>
      <c r="B2685" s="999"/>
      <c r="C2685" s="474"/>
      <c r="D2685" s="474"/>
      <c r="E2685" s="474"/>
      <c r="F2685" s="474"/>
      <c r="G2685" s="696"/>
      <c r="H2685" s="474"/>
      <c r="I2685" s="696"/>
    </row>
    <row r="2686" spans="1:9" ht="12.75">
      <c r="A2686" s="998"/>
      <c r="B2686" s="999"/>
      <c r="C2686" s="474"/>
      <c r="D2686" s="474"/>
      <c r="E2686" s="474"/>
      <c r="F2686" s="474"/>
      <c r="G2686" s="696"/>
      <c r="H2686" s="474"/>
      <c r="I2686" s="696"/>
    </row>
    <row r="2687" spans="1:9" ht="12.75">
      <c r="A2687" s="998"/>
      <c r="B2687" s="999"/>
      <c r="C2687" s="474"/>
      <c r="D2687" s="474"/>
      <c r="E2687" s="474"/>
      <c r="F2687" s="474"/>
      <c r="G2687" s="696"/>
      <c r="H2687" s="474"/>
      <c r="I2687" s="696"/>
    </row>
    <row r="2688" spans="1:9" ht="12.75">
      <c r="A2688" s="998"/>
      <c r="B2688" s="999"/>
      <c r="C2688" s="474"/>
      <c r="D2688" s="474"/>
      <c r="E2688" s="474"/>
      <c r="F2688" s="474"/>
      <c r="G2688" s="696"/>
      <c r="H2688" s="474"/>
      <c r="I2688" s="696"/>
    </row>
    <row r="2689" spans="1:9" ht="12.75">
      <c r="A2689" s="998"/>
      <c r="B2689" s="999"/>
      <c r="C2689" s="474"/>
      <c r="D2689" s="474"/>
      <c r="E2689" s="474"/>
      <c r="F2689" s="474"/>
      <c r="G2689" s="696"/>
      <c r="H2689" s="474"/>
      <c r="I2689" s="696"/>
    </row>
    <row r="2690" spans="1:9" ht="12.75">
      <c r="A2690" s="998"/>
      <c r="B2690" s="999"/>
      <c r="C2690" s="474"/>
      <c r="D2690" s="474"/>
      <c r="E2690" s="474"/>
      <c r="F2690" s="474"/>
      <c r="G2690" s="696"/>
      <c r="H2690" s="474"/>
      <c r="I2690" s="696"/>
    </row>
    <row r="2691" spans="1:9" ht="12.75">
      <c r="A2691" s="998"/>
      <c r="B2691" s="999"/>
      <c r="C2691" s="474"/>
      <c r="D2691" s="474"/>
      <c r="E2691" s="474"/>
      <c r="F2691" s="474"/>
      <c r="G2691" s="696"/>
      <c r="H2691" s="474"/>
      <c r="I2691" s="696"/>
    </row>
    <row r="2692" spans="1:9" ht="12.75">
      <c r="A2692" s="998"/>
      <c r="B2692" s="999"/>
      <c r="C2692" s="474"/>
      <c r="D2692" s="474"/>
      <c r="E2692" s="474"/>
      <c r="F2692" s="474"/>
      <c r="G2692" s="696"/>
      <c r="H2692" s="474"/>
      <c r="I2692" s="696"/>
    </row>
    <row r="2693" spans="1:9" ht="12.75">
      <c r="A2693" s="998"/>
      <c r="B2693" s="999"/>
      <c r="C2693" s="474"/>
      <c r="D2693" s="474"/>
      <c r="E2693" s="474"/>
      <c r="F2693" s="474"/>
      <c r="G2693" s="696"/>
      <c r="H2693" s="474"/>
      <c r="I2693" s="696"/>
    </row>
    <row r="2694" spans="1:9" ht="12.75">
      <c r="A2694" s="998"/>
      <c r="B2694" s="999"/>
      <c r="C2694" s="474"/>
      <c r="D2694" s="474"/>
      <c r="E2694" s="474"/>
      <c r="F2694" s="474"/>
      <c r="G2694" s="696"/>
      <c r="H2694" s="474"/>
      <c r="I2694" s="696"/>
    </row>
    <row r="2695" spans="1:9" ht="12.75">
      <c r="A2695" s="998"/>
      <c r="B2695" s="999"/>
      <c r="C2695" s="474"/>
      <c r="D2695" s="474"/>
      <c r="E2695" s="474"/>
      <c r="F2695" s="474"/>
      <c r="G2695" s="696"/>
      <c r="H2695" s="474"/>
      <c r="I2695" s="696"/>
    </row>
    <row r="2696" spans="1:9" ht="12.75">
      <c r="A2696" s="998"/>
      <c r="B2696" s="999"/>
      <c r="C2696" s="474"/>
      <c r="D2696" s="474"/>
      <c r="E2696" s="474"/>
      <c r="F2696" s="474"/>
      <c r="G2696" s="696"/>
      <c r="H2696" s="474"/>
      <c r="I2696" s="696"/>
    </row>
    <row r="2697" spans="1:9" ht="12.75">
      <c r="A2697" s="998"/>
      <c r="B2697" s="999"/>
      <c r="C2697" s="474"/>
      <c r="D2697" s="474"/>
      <c r="E2697" s="474"/>
      <c r="F2697" s="474"/>
      <c r="G2697" s="696"/>
      <c r="H2697" s="474"/>
      <c r="I2697" s="696"/>
    </row>
    <row r="2698" spans="1:9" ht="12.75">
      <c r="A2698" s="998"/>
      <c r="B2698" s="999"/>
      <c r="C2698" s="474"/>
      <c r="D2698" s="474"/>
      <c r="E2698" s="474"/>
      <c r="F2698" s="474"/>
      <c r="G2698" s="696"/>
      <c r="H2698" s="474"/>
      <c r="I2698" s="696"/>
    </row>
    <row r="2699" spans="1:9" ht="12.75">
      <c r="A2699" s="998"/>
      <c r="B2699" s="999"/>
      <c r="C2699" s="474"/>
      <c r="D2699" s="474"/>
      <c r="E2699" s="474"/>
      <c r="F2699" s="474"/>
      <c r="G2699" s="696"/>
      <c r="H2699" s="474"/>
      <c r="I2699" s="696"/>
    </row>
    <row r="2700" spans="1:9" ht="12.75">
      <c r="A2700" s="998"/>
      <c r="B2700" s="999"/>
      <c r="C2700" s="474"/>
      <c r="D2700" s="474"/>
      <c r="E2700" s="474"/>
      <c r="F2700" s="474"/>
      <c r="G2700" s="696"/>
      <c r="H2700" s="474"/>
      <c r="I2700" s="696"/>
    </row>
    <row r="2701" spans="1:9" ht="12.75">
      <c r="A2701" s="998"/>
      <c r="B2701" s="999"/>
      <c r="C2701" s="474"/>
      <c r="D2701" s="474"/>
      <c r="E2701" s="474"/>
      <c r="F2701" s="474"/>
      <c r="G2701" s="696"/>
      <c r="H2701" s="474"/>
      <c r="I2701" s="696"/>
    </row>
    <row r="2702" spans="1:9" ht="12.75">
      <c r="A2702" s="998"/>
      <c r="B2702" s="999"/>
      <c r="C2702" s="474"/>
      <c r="D2702" s="474"/>
      <c r="E2702" s="474"/>
      <c r="F2702" s="474"/>
      <c r="G2702" s="696"/>
      <c r="H2702" s="474"/>
      <c r="I2702" s="696"/>
    </row>
    <row r="2703" spans="1:9" ht="12.75">
      <c r="A2703" s="998"/>
      <c r="B2703" s="999"/>
      <c r="C2703" s="474"/>
      <c r="D2703" s="474"/>
      <c r="E2703" s="474"/>
      <c r="F2703" s="474"/>
      <c r="G2703" s="696"/>
      <c r="H2703" s="474"/>
      <c r="I2703" s="696"/>
    </row>
    <row r="2704" spans="1:9" ht="12.75">
      <c r="A2704" s="998"/>
      <c r="B2704" s="999"/>
      <c r="C2704" s="474"/>
      <c r="D2704" s="474"/>
      <c r="E2704" s="474"/>
      <c r="F2704" s="474"/>
      <c r="G2704" s="696"/>
      <c r="H2704" s="474"/>
      <c r="I2704" s="696"/>
    </row>
    <row r="2705" spans="1:9" ht="12.75">
      <c r="A2705" s="998"/>
      <c r="B2705" s="999"/>
      <c r="C2705" s="474"/>
      <c r="D2705" s="474"/>
      <c r="E2705" s="474"/>
      <c r="F2705" s="474"/>
      <c r="G2705" s="696"/>
      <c r="H2705" s="474"/>
      <c r="I2705" s="696"/>
    </row>
    <row r="2706" spans="1:9" ht="12.75">
      <c r="A2706" s="998"/>
      <c r="B2706" s="999"/>
      <c r="C2706" s="474"/>
      <c r="D2706" s="474"/>
      <c r="E2706" s="474"/>
      <c r="F2706" s="474"/>
      <c r="G2706" s="696"/>
      <c r="H2706" s="474"/>
      <c r="I2706" s="696"/>
    </row>
    <row r="2707" spans="1:9" ht="12.75">
      <c r="A2707" s="998"/>
      <c r="B2707" s="999"/>
      <c r="C2707" s="474"/>
      <c r="D2707" s="474"/>
      <c r="E2707" s="474"/>
      <c r="F2707" s="474"/>
      <c r="G2707" s="696"/>
      <c r="H2707" s="474"/>
      <c r="I2707" s="696"/>
    </row>
    <row r="2708" spans="1:9" ht="12.75">
      <c r="A2708" s="998"/>
      <c r="B2708" s="999"/>
      <c r="C2708" s="474"/>
      <c r="D2708" s="474"/>
      <c r="E2708" s="474"/>
      <c r="F2708" s="474"/>
      <c r="G2708" s="696"/>
      <c r="H2708" s="474"/>
      <c r="I2708" s="696"/>
    </row>
    <row r="2709" spans="1:9" ht="12.75">
      <c r="A2709" s="998"/>
      <c r="B2709" s="999"/>
      <c r="C2709" s="474"/>
      <c r="D2709" s="474"/>
      <c r="E2709" s="474"/>
      <c r="F2709" s="474"/>
      <c r="G2709" s="696"/>
      <c r="H2709" s="474"/>
      <c r="I2709" s="696"/>
    </row>
    <row r="2710" spans="1:9" ht="12.75">
      <c r="A2710" s="998"/>
      <c r="B2710" s="999"/>
      <c r="C2710" s="474"/>
      <c r="D2710" s="474"/>
      <c r="E2710" s="474"/>
      <c r="F2710" s="474"/>
      <c r="G2710" s="696"/>
      <c r="H2710" s="474"/>
      <c r="I2710" s="696"/>
    </row>
    <row r="2711" spans="1:9" ht="12.75">
      <c r="A2711" s="998"/>
      <c r="B2711" s="999"/>
      <c r="C2711" s="474"/>
      <c r="D2711" s="474"/>
      <c r="E2711" s="474"/>
      <c r="F2711" s="474"/>
      <c r="G2711" s="696"/>
      <c r="H2711" s="474"/>
      <c r="I2711" s="696"/>
    </row>
    <row r="2712" spans="1:9" ht="12.75">
      <c r="A2712" s="998"/>
      <c r="B2712" s="999"/>
      <c r="C2712" s="474"/>
      <c r="D2712" s="474"/>
      <c r="E2712" s="474"/>
      <c r="F2712" s="474"/>
      <c r="G2712" s="696"/>
      <c r="H2712" s="474"/>
      <c r="I2712" s="696"/>
    </row>
    <row r="2713" spans="1:9" ht="12.75">
      <c r="A2713" s="998"/>
      <c r="B2713" s="999"/>
      <c r="C2713" s="474"/>
      <c r="D2713" s="474"/>
      <c r="E2713" s="474"/>
      <c r="F2713" s="474"/>
      <c r="G2713" s="696"/>
      <c r="H2713" s="474"/>
      <c r="I2713" s="696"/>
    </row>
    <row r="2714" spans="1:9" ht="12.75">
      <c r="A2714" s="998"/>
      <c r="B2714" s="999"/>
      <c r="C2714" s="474"/>
      <c r="D2714" s="474"/>
      <c r="E2714" s="474"/>
      <c r="F2714" s="474"/>
      <c r="G2714" s="696"/>
      <c r="H2714" s="474"/>
      <c r="I2714" s="696"/>
    </row>
    <row r="2715" spans="1:9" ht="12.75">
      <c r="A2715" s="998"/>
      <c r="B2715" s="999"/>
      <c r="C2715" s="474"/>
      <c r="D2715" s="474"/>
      <c r="E2715" s="474"/>
      <c r="F2715" s="474"/>
      <c r="G2715" s="696"/>
      <c r="H2715" s="474"/>
      <c r="I2715" s="696"/>
    </row>
    <row r="2716" spans="1:9" ht="12.75">
      <c r="A2716" s="998"/>
      <c r="B2716" s="999"/>
      <c r="C2716" s="474"/>
      <c r="D2716" s="474"/>
      <c r="E2716" s="474"/>
      <c r="F2716" s="474"/>
      <c r="G2716" s="696"/>
      <c r="H2716" s="474"/>
      <c r="I2716" s="696"/>
    </row>
    <row r="2717" spans="1:9" ht="12.75">
      <c r="A2717" s="998"/>
      <c r="B2717" s="999"/>
      <c r="C2717" s="474"/>
      <c r="D2717" s="474"/>
      <c r="E2717" s="474"/>
      <c r="F2717" s="474"/>
      <c r="G2717" s="696"/>
      <c r="H2717" s="474"/>
      <c r="I2717" s="696"/>
    </row>
    <row r="2718" spans="1:9" ht="12.75">
      <c r="A2718" s="998"/>
      <c r="B2718" s="999"/>
      <c r="C2718" s="474"/>
      <c r="D2718" s="474"/>
      <c r="E2718" s="474"/>
      <c r="F2718" s="474"/>
      <c r="G2718" s="696"/>
      <c r="H2718" s="474"/>
      <c r="I2718" s="696"/>
    </row>
    <row r="2719" spans="1:9" ht="12.75">
      <c r="A2719" s="998"/>
      <c r="B2719" s="999"/>
      <c r="C2719" s="474"/>
      <c r="D2719" s="474"/>
      <c r="E2719" s="474"/>
      <c r="F2719" s="474"/>
      <c r="G2719" s="696"/>
      <c r="H2719" s="474"/>
      <c r="I2719" s="696"/>
    </row>
    <row r="2720" spans="1:9" ht="12.75">
      <c r="A2720" s="998"/>
      <c r="B2720" s="999"/>
      <c r="C2720" s="474"/>
      <c r="D2720" s="474"/>
      <c r="E2720" s="474"/>
      <c r="F2720" s="474"/>
      <c r="G2720" s="696"/>
      <c r="H2720" s="474"/>
      <c r="I2720" s="696"/>
    </row>
    <row r="2721" spans="1:9" ht="12.75">
      <c r="A2721" s="998"/>
      <c r="B2721" s="999"/>
      <c r="C2721" s="474"/>
      <c r="D2721" s="474"/>
      <c r="E2721" s="474"/>
      <c r="F2721" s="474"/>
      <c r="G2721" s="696"/>
      <c r="H2721" s="474"/>
      <c r="I2721" s="696"/>
    </row>
    <row r="2722" spans="1:9" ht="12.75">
      <c r="A2722" s="998"/>
      <c r="B2722" s="999"/>
      <c r="C2722" s="474"/>
      <c r="D2722" s="474"/>
      <c r="E2722" s="474"/>
      <c r="F2722" s="474"/>
      <c r="G2722" s="696"/>
      <c r="H2722" s="474"/>
      <c r="I2722" s="696"/>
    </row>
    <row r="2723" spans="1:9" ht="12.75">
      <c r="A2723" s="998"/>
      <c r="B2723" s="999"/>
      <c r="C2723" s="474"/>
      <c r="D2723" s="474"/>
      <c r="E2723" s="474"/>
      <c r="F2723" s="474"/>
      <c r="G2723" s="696"/>
      <c r="H2723" s="474"/>
      <c r="I2723" s="696"/>
    </row>
    <row r="2724" spans="1:9" ht="12.75">
      <c r="A2724" s="998"/>
      <c r="B2724" s="999"/>
      <c r="C2724" s="474"/>
      <c r="D2724" s="474"/>
      <c r="E2724" s="474"/>
      <c r="F2724" s="474"/>
      <c r="G2724" s="696"/>
      <c r="H2724" s="474"/>
      <c r="I2724" s="696"/>
    </row>
    <row r="2725" spans="1:9" ht="12.75">
      <c r="A2725" s="998"/>
      <c r="B2725" s="999"/>
      <c r="C2725" s="474"/>
      <c r="D2725" s="474"/>
      <c r="E2725" s="474"/>
      <c r="F2725" s="474"/>
      <c r="G2725" s="696"/>
      <c r="H2725" s="474"/>
      <c r="I2725" s="696"/>
    </row>
    <row r="2726" spans="1:9" ht="12.75">
      <c r="A2726" s="998"/>
      <c r="B2726" s="999"/>
      <c r="C2726" s="474"/>
      <c r="D2726" s="474"/>
      <c r="E2726" s="474"/>
      <c r="F2726" s="474"/>
      <c r="G2726" s="696"/>
      <c r="H2726" s="474"/>
      <c r="I2726" s="696"/>
    </row>
    <row r="2727" spans="1:9" ht="12.75">
      <c r="A2727" s="998"/>
      <c r="B2727" s="999"/>
      <c r="C2727" s="474"/>
      <c r="D2727" s="474"/>
      <c r="E2727" s="474"/>
      <c r="F2727" s="474"/>
      <c r="G2727" s="696"/>
      <c r="H2727" s="474"/>
      <c r="I2727" s="696"/>
    </row>
    <row r="2728" spans="1:9" ht="12.75">
      <c r="A2728" s="998"/>
      <c r="B2728" s="999"/>
      <c r="C2728" s="474"/>
      <c r="D2728" s="474"/>
      <c r="E2728" s="474"/>
      <c r="F2728" s="474"/>
      <c r="G2728" s="696"/>
      <c r="H2728" s="474"/>
      <c r="I2728" s="696"/>
    </row>
    <row r="2729" spans="1:9" ht="12.75">
      <c r="A2729" s="998"/>
      <c r="B2729" s="999"/>
      <c r="C2729" s="474"/>
      <c r="D2729" s="474"/>
      <c r="E2729" s="474"/>
      <c r="F2729" s="474"/>
      <c r="G2729" s="696"/>
      <c r="H2729" s="474"/>
      <c r="I2729" s="696"/>
    </row>
    <row r="2730" spans="1:9" ht="12.75">
      <c r="A2730" s="998"/>
      <c r="B2730" s="999"/>
      <c r="C2730" s="474"/>
      <c r="D2730" s="474"/>
      <c r="E2730" s="474"/>
      <c r="F2730" s="474"/>
      <c r="G2730" s="696"/>
      <c r="H2730" s="474"/>
      <c r="I2730" s="696"/>
    </row>
    <row r="2731" spans="1:9" ht="12.75">
      <c r="A2731" s="998"/>
      <c r="B2731" s="999"/>
      <c r="C2731" s="474"/>
      <c r="D2731" s="474"/>
      <c r="E2731" s="474"/>
      <c r="F2731" s="474"/>
      <c r="G2731" s="696"/>
      <c r="H2731" s="474"/>
      <c r="I2731" s="696"/>
    </row>
    <row r="2732" spans="1:9" ht="12.75">
      <c r="A2732" s="998"/>
      <c r="B2732" s="999"/>
      <c r="C2732" s="474"/>
      <c r="D2732" s="474"/>
      <c r="E2732" s="474"/>
      <c r="F2732" s="474"/>
      <c r="G2732" s="696"/>
      <c r="H2732" s="474"/>
      <c r="I2732" s="696"/>
    </row>
    <row r="2733" spans="1:9" ht="12.75">
      <c r="A2733" s="998"/>
      <c r="B2733" s="999"/>
      <c r="C2733" s="474"/>
      <c r="D2733" s="474"/>
      <c r="E2733" s="474"/>
      <c r="F2733" s="474"/>
      <c r="G2733" s="696"/>
      <c r="H2733" s="474"/>
      <c r="I2733" s="696"/>
    </row>
    <row r="2734" spans="1:9" ht="12.75">
      <c r="A2734" s="998"/>
      <c r="B2734" s="999"/>
      <c r="C2734" s="474"/>
      <c r="D2734" s="474"/>
      <c r="E2734" s="474"/>
      <c r="F2734" s="474"/>
      <c r="G2734" s="696"/>
      <c r="H2734" s="474"/>
      <c r="I2734" s="696"/>
    </row>
    <row r="2735" spans="1:9" ht="12.75">
      <c r="A2735" s="998"/>
      <c r="B2735" s="999"/>
      <c r="C2735" s="474"/>
      <c r="D2735" s="474"/>
      <c r="E2735" s="474"/>
      <c r="F2735" s="474"/>
      <c r="G2735" s="696"/>
      <c r="H2735" s="474"/>
      <c r="I2735" s="696"/>
    </row>
    <row r="2736" spans="1:9" ht="12.75">
      <c r="A2736" s="998"/>
      <c r="B2736" s="999"/>
      <c r="C2736" s="474"/>
      <c r="D2736" s="474"/>
      <c r="E2736" s="474"/>
      <c r="F2736" s="474"/>
      <c r="G2736" s="696"/>
      <c r="H2736" s="474"/>
      <c r="I2736" s="696"/>
    </row>
    <row r="2737" spans="1:9" ht="12.75">
      <c r="A2737" s="998"/>
      <c r="B2737" s="999"/>
      <c r="C2737" s="474"/>
      <c r="D2737" s="474"/>
      <c r="E2737" s="474"/>
      <c r="F2737" s="474"/>
      <c r="G2737" s="696"/>
      <c r="H2737" s="474"/>
      <c r="I2737" s="696"/>
    </row>
    <row r="2738" spans="1:9" ht="12.75">
      <c r="A2738" s="998"/>
      <c r="B2738" s="999"/>
      <c r="C2738" s="474"/>
      <c r="D2738" s="474"/>
      <c r="E2738" s="474"/>
      <c r="F2738" s="474"/>
      <c r="G2738" s="696"/>
      <c r="H2738" s="474"/>
      <c r="I2738" s="696"/>
    </row>
    <row r="2739" spans="1:9" ht="12.75">
      <c r="A2739" s="998"/>
      <c r="B2739" s="999"/>
      <c r="C2739" s="474"/>
      <c r="D2739" s="474"/>
      <c r="E2739" s="474"/>
      <c r="F2739" s="474"/>
      <c r="G2739" s="696"/>
      <c r="H2739" s="474"/>
      <c r="I2739" s="696"/>
    </row>
    <row r="2740" spans="1:9" ht="12.75">
      <c r="A2740" s="998"/>
      <c r="B2740" s="999"/>
      <c r="C2740" s="474"/>
      <c r="D2740" s="474"/>
      <c r="E2740" s="474"/>
      <c r="F2740" s="474"/>
      <c r="G2740" s="696"/>
      <c r="H2740" s="474"/>
      <c r="I2740" s="696"/>
    </row>
    <row r="2741" spans="1:9" ht="12.75">
      <c r="A2741" s="998"/>
      <c r="B2741" s="999"/>
      <c r="C2741" s="474"/>
      <c r="D2741" s="474"/>
      <c r="E2741" s="474"/>
      <c r="F2741" s="474"/>
      <c r="G2741" s="696"/>
      <c r="H2741" s="474"/>
      <c r="I2741" s="696"/>
    </row>
    <row r="2742" spans="1:9" ht="12.75">
      <c r="A2742" s="998"/>
      <c r="B2742" s="999"/>
      <c r="C2742" s="474"/>
      <c r="D2742" s="474"/>
      <c r="E2742" s="474"/>
      <c r="F2742" s="474"/>
      <c r="G2742" s="696"/>
      <c r="H2742" s="474"/>
      <c r="I2742" s="696"/>
    </row>
    <row r="2743" spans="1:9" ht="12.75">
      <c r="A2743" s="998"/>
      <c r="B2743" s="999"/>
      <c r="C2743" s="474"/>
      <c r="D2743" s="474"/>
      <c r="E2743" s="474"/>
      <c r="F2743" s="474"/>
      <c r="G2743" s="696"/>
      <c r="H2743" s="474"/>
      <c r="I2743" s="696"/>
    </row>
    <row r="2744" spans="1:9" ht="12.75">
      <c r="A2744" s="998"/>
      <c r="B2744" s="999"/>
      <c r="C2744" s="474"/>
      <c r="D2744" s="474"/>
      <c r="E2744" s="474"/>
      <c r="F2744" s="474"/>
      <c r="G2744" s="696"/>
      <c r="H2744" s="474"/>
      <c r="I2744" s="696"/>
    </row>
    <row r="2745" spans="1:9" ht="12.75">
      <c r="A2745" s="998"/>
      <c r="B2745" s="999"/>
      <c r="C2745" s="474"/>
      <c r="D2745" s="474"/>
      <c r="E2745" s="474"/>
      <c r="F2745" s="474"/>
      <c r="G2745" s="696"/>
      <c r="H2745" s="474"/>
      <c r="I2745" s="696"/>
    </row>
    <row r="2746" spans="1:9" ht="12.75">
      <c r="A2746" s="998"/>
      <c r="B2746" s="999"/>
      <c r="C2746" s="474"/>
      <c r="D2746" s="474"/>
      <c r="E2746" s="474"/>
      <c r="F2746" s="474"/>
      <c r="G2746" s="696"/>
      <c r="H2746" s="474"/>
      <c r="I2746" s="696"/>
    </row>
    <row r="2747" spans="1:9" ht="12.75">
      <c r="A2747" s="998"/>
      <c r="B2747" s="999"/>
      <c r="C2747" s="474"/>
      <c r="D2747" s="474"/>
      <c r="E2747" s="474"/>
      <c r="F2747" s="474"/>
      <c r="G2747" s="696"/>
      <c r="H2747" s="474"/>
      <c r="I2747" s="696"/>
    </row>
    <row r="2748" spans="1:9" ht="12.75">
      <c r="A2748" s="998"/>
      <c r="B2748" s="999"/>
      <c r="C2748" s="474"/>
      <c r="D2748" s="474"/>
      <c r="E2748" s="474"/>
      <c r="F2748" s="474"/>
      <c r="G2748" s="696"/>
      <c r="H2748" s="474"/>
      <c r="I2748" s="696"/>
    </row>
    <row r="2749" spans="1:9" ht="12.75">
      <c r="A2749" s="998"/>
      <c r="B2749" s="999"/>
      <c r="C2749" s="474"/>
      <c r="D2749" s="474"/>
      <c r="E2749" s="474"/>
      <c r="F2749" s="474"/>
      <c r="G2749" s="696"/>
      <c r="H2749" s="474"/>
      <c r="I2749" s="696"/>
    </row>
    <row r="2750" spans="1:9" ht="12.75">
      <c r="A2750" s="998"/>
      <c r="B2750" s="999"/>
      <c r="C2750" s="474"/>
      <c r="D2750" s="474"/>
      <c r="E2750" s="474"/>
      <c r="F2750" s="474"/>
      <c r="G2750" s="696"/>
      <c r="H2750" s="474"/>
      <c r="I2750" s="696"/>
    </row>
    <row r="2751" spans="1:9" ht="12.75">
      <c r="A2751" s="998"/>
      <c r="B2751" s="999"/>
      <c r="C2751" s="474"/>
      <c r="D2751" s="474"/>
      <c r="E2751" s="474"/>
      <c r="F2751" s="474"/>
      <c r="G2751" s="696"/>
      <c r="H2751" s="474"/>
      <c r="I2751" s="696"/>
    </row>
    <row r="2752" spans="1:9" ht="12.75">
      <c r="A2752" s="998"/>
      <c r="B2752" s="999"/>
      <c r="C2752" s="474"/>
      <c r="D2752" s="474"/>
      <c r="E2752" s="474"/>
      <c r="F2752" s="474"/>
      <c r="G2752" s="696"/>
      <c r="H2752" s="474"/>
      <c r="I2752" s="696"/>
    </row>
    <row r="2753" spans="1:9" ht="12.75">
      <c r="A2753" s="998"/>
      <c r="B2753" s="999"/>
      <c r="C2753" s="474"/>
      <c r="D2753" s="474"/>
      <c r="E2753" s="474"/>
      <c r="F2753" s="474"/>
      <c r="G2753" s="696"/>
      <c r="H2753" s="474"/>
      <c r="I2753" s="696"/>
    </row>
    <row r="2754" spans="1:9" ht="12.75">
      <c r="A2754" s="998"/>
      <c r="B2754" s="999"/>
      <c r="C2754" s="474"/>
      <c r="D2754" s="474"/>
      <c r="E2754" s="474"/>
      <c r="F2754" s="474"/>
      <c r="G2754" s="696"/>
      <c r="H2754" s="474"/>
      <c r="I2754" s="696"/>
    </row>
    <row r="2755" spans="1:9" ht="12.75">
      <c r="A2755" s="998"/>
      <c r="B2755" s="999"/>
      <c r="C2755" s="474"/>
      <c r="D2755" s="474"/>
      <c r="E2755" s="474"/>
      <c r="F2755" s="474"/>
      <c r="G2755" s="696"/>
      <c r="H2755" s="474"/>
      <c r="I2755" s="696"/>
    </row>
    <row r="2756" spans="1:9" ht="12.75">
      <c r="A2756" s="998"/>
      <c r="B2756" s="999"/>
      <c r="C2756" s="474"/>
      <c r="D2756" s="474"/>
      <c r="E2756" s="474"/>
      <c r="F2756" s="474"/>
      <c r="G2756" s="696"/>
      <c r="H2756" s="474"/>
      <c r="I2756" s="696"/>
    </row>
    <row r="2757" spans="1:9" ht="12.75">
      <c r="A2757" s="998"/>
      <c r="B2757" s="999"/>
      <c r="C2757" s="474"/>
      <c r="D2757" s="474"/>
      <c r="E2757" s="474"/>
      <c r="F2757" s="474"/>
      <c r="G2757" s="696"/>
      <c r="H2757" s="474"/>
      <c r="I2757" s="696"/>
    </row>
    <row r="2758" spans="1:9" ht="12.75">
      <c r="A2758" s="998"/>
      <c r="B2758" s="999"/>
      <c r="C2758" s="474"/>
      <c r="D2758" s="474"/>
      <c r="E2758" s="474"/>
      <c r="F2758" s="474"/>
      <c r="G2758" s="696"/>
      <c r="H2758" s="474"/>
      <c r="I2758" s="696"/>
    </row>
    <row r="2759" spans="1:9" ht="12.75">
      <c r="A2759" s="998"/>
      <c r="B2759" s="999"/>
      <c r="C2759" s="474"/>
      <c r="D2759" s="474"/>
      <c r="E2759" s="474"/>
      <c r="F2759" s="474"/>
      <c r="G2759" s="696"/>
      <c r="H2759" s="474"/>
      <c r="I2759" s="696"/>
    </row>
    <row r="2760" spans="1:9" ht="12.75">
      <c r="A2760" s="998"/>
      <c r="B2760" s="999"/>
      <c r="C2760" s="474"/>
      <c r="D2760" s="474"/>
      <c r="E2760" s="474"/>
      <c r="F2760" s="474"/>
      <c r="G2760" s="696"/>
      <c r="H2760" s="474"/>
      <c r="I2760" s="696"/>
    </row>
    <row r="2761" spans="1:9" ht="12.75">
      <c r="A2761" s="998"/>
      <c r="B2761" s="999"/>
      <c r="C2761" s="474"/>
      <c r="D2761" s="474"/>
      <c r="E2761" s="474"/>
      <c r="F2761" s="474"/>
      <c r="G2761" s="696"/>
      <c r="H2761" s="474"/>
      <c r="I2761" s="696"/>
    </row>
    <row r="2762" spans="1:9" ht="12.75">
      <c r="A2762" s="998"/>
      <c r="B2762" s="999"/>
      <c r="C2762" s="474"/>
      <c r="D2762" s="474"/>
      <c r="E2762" s="474"/>
      <c r="F2762" s="474"/>
      <c r="G2762" s="696"/>
      <c r="H2762" s="474"/>
      <c r="I2762" s="696"/>
    </row>
    <row r="2763" spans="1:9" ht="12.75">
      <c r="A2763" s="998"/>
      <c r="B2763" s="999"/>
      <c r="C2763" s="474"/>
      <c r="D2763" s="474"/>
      <c r="E2763" s="474"/>
      <c r="F2763" s="474"/>
      <c r="G2763" s="696"/>
      <c r="H2763" s="474"/>
      <c r="I2763" s="696"/>
    </row>
    <row r="2764" spans="1:9" ht="12.75">
      <c r="A2764" s="998"/>
      <c r="B2764" s="999"/>
      <c r="C2764" s="474"/>
      <c r="D2764" s="474"/>
      <c r="E2764" s="474"/>
      <c r="F2764" s="474"/>
      <c r="G2764" s="696"/>
      <c r="H2764" s="474"/>
      <c r="I2764" s="696"/>
    </row>
    <row r="2765" spans="1:9" ht="12.75">
      <c r="A2765" s="998"/>
      <c r="B2765" s="999"/>
      <c r="C2765" s="474"/>
      <c r="D2765" s="474"/>
      <c r="E2765" s="474"/>
      <c r="F2765" s="474"/>
      <c r="G2765" s="696"/>
      <c r="H2765" s="474"/>
      <c r="I2765" s="696"/>
    </row>
    <row r="2766" spans="1:9" ht="12.75">
      <c r="A2766" s="998"/>
      <c r="B2766" s="999"/>
      <c r="C2766" s="474"/>
      <c r="D2766" s="474"/>
      <c r="E2766" s="474"/>
      <c r="F2766" s="474"/>
      <c r="G2766" s="696"/>
      <c r="H2766" s="474"/>
      <c r="I2766" s="696"/>
    </row>
    <row r="2767" spans="1:9" ht="12.75">
      <c r="A2767" s="998"/>
      <c r="B2767" s="999"/>
      <c r="C2767" s="474"/>
      <c r="D2767" s="474"/>
      <c r="E2767" s="474"/>
      <c r="F2767" s="474"/>
      <c r="G2767" s="696"/>
      <c r="H2767" s="474"/>
      <c r="I2767" s="696"/>
    </row>
    <row r="2768" spans="1:9" ht="12.75">
      <c r="A2768" s="998"/>
      <c r="B2768" s="999"/>
      <c r="C2768" s="474"/>
      <c r="D2768" s="474"/>
      <c r="E2768" s="474"/>
      <c r="F2768" s="474"/>
      <c r="G2768" s="696"/>
      <c r="H2768" s="474"/>
      <c r="I2768" s="696"/>
    </row>
    <row r="2769" spans="1:9" ht="12.75">
      <c r="A2769" s="998"/>
      <c r="B2769" s="999"/>
      <c r="C2769" s="474"/>
      <c r="D2769" s="474"/>
      <c r="E2769" s="474"/>
      <c r="F2769" s="474"/>
      <c r="G2769" s="696"/>
      <c r="H2769" s="474"/>
      <c r="I2769" s="696"/>
    </row>
    <row r="2770" spans="1:9" ht="12.75">
      <c r="A2770" s="998"/>
      <c r="B2770" s="999"/>
      <c r="C2770" s="474"/>
      <c r="D2770" s="474"/>
      <c r="E2770" s="474"/>
      <c r="F2770" s="474"/>
      <c r="G2770" s="696"/>
      <c r="H2770" s="474"/>
      <c r="I2770" s="696"/>
    </row>
    <row r="2771" spans="1:9" ht="12.75">
      <c r="A2771" s="998"/>
      <c r="B2771" s="999"/>
      <c r="C2771" s="474"/>
      <c r="D2771" s="474"/>
      <c r="E2771" s="474"/>
      <c r="F2771" s="474"/>
      <c r="G2771" s="696"/>
      <c r="H2771" s="474"/>
      <c r="I2771" s="696"/>
    </row>
    <row r="2772" spans="1:9" ht="12.75">
      <c r="A2772" s="998"/>
      <c r="B2772" s="999"/>
      <c r="C2772" s="474"/>
      <c r="D2772" s="474"/>
      <c r="E2772" s="474"/>
      <c r="F2772" s="474"/>
      <c r="G2772" s="696"/>
      <c r="H2772" s="474"/>
      <c r="I2772" s="696"/>
    </row>
    <row r="2773" spans="1:9" ht="12.75">
      <c r="A2773" s="998"/>
      <c r="B2773" s="999"/>
      <c r="C2773" s="474"/>
      <c r="D2773" s="474"/>
      <c r="E2773" s="474"/>
      <c r="F2773" s="474"/>
      <c r="G2773" s="696"/>
      <c r="H2773" s="474"/>
      <c r="I2773" s="696"/>
    </row>
    <row r="2774" spans="1:9" ht="12.75">
      <c r="A2774" s="998"/>
      <c r="B2774" s="999"/>
      <c r="C2774" s="474"/>
      <c r="D2774" s="474"/>
      <c r="E2774" s="474"/>
      <c r="F2774" s="474"/>
      <c r="G2774" s="696"/>
      <c r="H2774" s="474"/>
      <c r="I2774" s="696"/>
    </row>
    <row r="2775" spans="1:9" ht="12.75">
      <c r="A2775" s="998"/>
      <c r="B2775" s="999"/>
      <c r="C2775" s="474"/>
      <c r="D2775" s="474"/>
      <c r="E2775" s="474"/>
      <c r="F2775" s="474"/>
      <c r="G2775" s="696"/>
      <c r="H2775" s="474"/>
      <c r="I2775" s="696"/>
    </row>
    <row r="2776" spans="1:9" ht="12.75">
      <c r="A2776" s="998"/>
      <c r="B2776" s="999"/>
      <c r="C2776" s="474"/>
      <c r="D2776" s="474"/>
      <c r="E2776" s="474"/>
      <c r="F2776" s="474"/>
      <c r="G2776" s="696"/>
      <c r="H2776" s="474"/>
      <c r="I2776" s="696"/>
    </row>
    <row r="2777" spans="1:9" ht="12.75">
      <c r="A2777" s="998"/>
      <c r="B2777" s="999"/>
      <c r="C2777" s="474"/>
      <c r="D2777" s="474"/>
      <c r="E2777" s="474"/>
      <c r="F2777" s="474"/>
      <c r="G2777" s="696"/>
      <c r="H2777" s="474"/>
      <c r="I2777" s="696"/>
    </row>
    <row r="2778" spans="1:9" ht="12.75">
      <c r="A2778" s="998"/>
      <c r="B2778" s="999"/>
      <c r="C2778" s="474"/>
      <c r="D2778" s="474"/>
      <c r="E2778" s="474"/>
      <c r="F2778" s="474"/>
      <c r="G2778" s="696"/>
      <c r="H2778" s="474"/>
      <c r="I2778" s="696"/>
    </row>
    <row r="2779" spans="1:9" ht="12.75">
      <c r="A2779" s="998"/>
      <c r="B2779" s="999"/>
      <c r="C2779" s="474"/>
      <c r="D2779" s="474"/>
      <c r="E2779" s="474"/>
      <c r="F2779" s="474"/>
      <c r="G2779" s="696"/>
      <c r="H2779" s="474"/>
      <c r="I2779" s="696"/>
    </row>
    <row r="2780" spans="1:9" ht="12.75">
      <c r="A2780" s="998"/>
      <c r="B2780" s="999"/>
      <c r="C2780" s="474"/>
      <c r="D2780" s="474"/>
      <c r="E2780" s="474"/>
      <c r="F2780" s="474"/>
      <c r="G2780" s="696"/>
      <c r="H2780" s="474"/>
      <c r="I2780" s="696"/>
    </row>
    <row r="2781" spans="1:9" ht="12.75">
      <c r="A2781" s="998"/>
      <c r="B2781" s="999"/>
      <c r="C2781" s="474"/>
      <c r="D2781" s="474"/>
      <c r="E2781" s="474"/>
      <c r="F2781" s="474"/>
      <c r="G2781" s="696"/>
      <c r="H2781" s="474"/>
      <c r="I2781" s="696"/>
    </row>
    <row r="2782" spans="1:9" ht="12.75">
      <c r="A2782" s="998"/>
      <c r="B2782" s="999"/>
      <c r="C2782" s="474"/>
      <c r="D2782" s="474"/>
      <c r="E2782" s="474"/>
      <c r="F2782" s="474"/>
      <c r="G2782" s="696"/>
      <c r="H2782" s="474"/>
      <c r="I2782" s="696"/>
    </row>
    <row r="2783" spans="1:9" ht="12.75">
      <c r="A2783" s="998"/>
      <c r="B2783" s="999"/>
      <c r="C2783" s="474"/>
      <c r="D2783" s="474"/>
      <c r="E2783" s="474"/>
      <c r="F2783" s="474"/>
      <c r="G2783" s="696"/>
      <c r="H2783" s="474"/>
      <c r="I2783" s="696"/>
    </row>
    <row r="2784" spans="1:9" ht="12.75">
      <c r="A2784" s="998"/>
      <c r="B2784" s="999"/>
      <c r="C2784" s="474"/>
      <c r="D2784" s="474"/>
      <c r="E2784" s="474"/>
      <c r="F2784" s="474"/>
      <c r="G2784" s="696"/>
      <c r="H2784" s="474"/>
      <c r="I2784" s="696"/>
    </row>
    <row r="2785" spans="1:9" ht="12.75">
      <c r="A2785" s="998"/>
      <c r="B2785" s="999"/>
      <c r="C2785" s="474"/>
      <c r="D2785" s="474"/>
      <c r="E2785" s="474"/>
      <c r="F2785" s="474"/>
      <c r="G2785" s="696"/>
      <c r="H2785" s="474"/>
      <c r="I2785" s="696"/>
    </row>
    <row r="2786" spans="1:9" ht="12.75">
      <c r="A2786" s="998"/>
      <c r="B2786" s="999"/>
      <c r="C2786" s="474"/>
      <c r="D2786" s="474"/>
      <c r="E2786" s="474"/>
      <c r="F2786" s="474"/>
      <c r="G2786" s="696"/>
      <c r="H2786" s="474"/>
      <c r="I2786" s="696"/>
    </row>
    <row r="2787" spans="1:9" ht="12.75">
      <c r="A2787" s="998"/>
      <c r="B2787" s="999"/>
      <c r="C2787" s="474"/>
      <c r="D2787" s="474"/>
      <c r="E2787" s="474"/>
      <c r="F2787" s="474"/>
      <c r="G2787" s="696"/>
      <c r="H2787" s="474"/>
      <c r="I2787" s="696"/>
    </row>
    <row r="2788" spans="1:9" ht="12.75">
      <c r="A2788" s="998"/>
      <c r="B2788" s="999"/>
      <c r="C2788" s="474"/>
      <c r="D2788" s="474"/>
      <c r="E2788" s="474"/>
      <c r="F2788" s="474"/>
      <c r="G2788" s="696"/>
      <c r="H2788" s="474"/>
      <c r="I2788" s="696"/>
    </row>
    <row r="2789" spans="1:9" ht="12.75">
      <c r="A2789" s="998"/>
      <c r="B2789" s="999"/>
      <c r="C2789" s="474"/>
      <c r="D2789" s="474"/>
      <c r="E2789" s="474"/>
      <c r="F2789" s="474"/>
      <c r="G2789" s="696"/>
      <c r="H2789" s="474"/>
      <c r="I2789" s="696"/>
    </row>
    <row r="2790" spans="1:9" ht="12.75">
      <c r="A2790" s="998"/>
      <c r="B2790" s="999"/>
      <c r="C2790" s="474"/>
      <c r="D2790" s="474"/>
      <c r="E2790" s="474"/>
      <c r="F2790" s="474"/>
      <c r="G2790" s="696"/>
      <c r="H2790" s="474"/>
      <c r="I2790" s="696"/>
    </row>
    <row r="2791" spans="1:9" ht="12.75">
      <c r="A2791" s="998"/>
      <c r="B2791" s="999"/>
      <c r="C2791" s="474"/>
      <c r="D2791" s="474"/>
      <c r="E2791" s="474"/>
      <c r="F2791" s="474"/>
      <c r="G2791" s="696"/>
      <c r="H2791" s="474"/>
      <c r="I2791" s="696"/>
    </row>
    <row r="2792" spans="1:9" ht="12.75">
      <c r="A2792" s="998"/>
      <c r="B2792" s="999"/>
      <c r="C2792" s="474"/>
      <c r="D2792" s="474"/>
      <c r="E2792" s="474"/>
      <c r="F2792" s="474"/>
      <c r="G2792" s="696"/>
      <c r="H2792" s="474"/>
      <c r="I2792" s="696"/>
    </row>
    <row r="2793" spans="1:9" ht="12.75">
      <c r="A2793" s="998"/>
      <c r="B2793" s="999"/>
      <c r="C2793" s="474"/>
      <c r="D2793" s="474"/>
      <c r="E2793" s="474"/>
      <c r="F2793" s="474"/>
      <c r="G2793" s="696"/>
      <c r="H2793" s="474"/>
      <c r="I2793" s="696"/>
    </row>
    <row r="2794" spans="1:9" ht="12.75">
      <c r="A2794" s="998"/>
      <c r="B2794" s="999"/>
      <c r="C2794" s="474"/>
      <c r="D2794" s="474"/>
      <c r="E2794" s="474"/>
      <c r="F2794" s="474"/>
      <c r="G2794" s="696"/>
      <c r="H2794" s="474"/>
      <c r="I2794" s="696"/>
    </row>
    <row r="2795" spans="1:9" ht="12.75">
      <c r="A2795" s="998"/>
      <c r="B2795" s="999"/>
      <c r="C2795" s="474"/>
      <c r="D2795" s="474"/>
      <c r="E2795" s="474"/>
      <c r="F2795" s="474"/>
      <c r="G2795" s="696"/>
      <c r="H2795" s="474"/>
      <c r="I2795" s="696"/>
    </row>
    <row r="2796" spans="1:9" ht="12.75">
      <c r="A2796" s="998"/>
      <c r="B2796" s="999"/>
      <c r="C2796" s="474"/>
      <c r="D2796" s="474"/>
      <c r="E2796" s="474"/>
      <c r="F2796" s="474"/>
      <c r="G2796" s="696"/>
      <c r="H2796" s="474"/>
      <c r="I2796" s="696"/>
    </row>
    <row r="2797" spans="1:9" ht="12.75">
      <c r="A2797" s="998"/>
      <c r="B2797" s="999"/>
      <c r="C2797" s="474"/>
      <c r="D2797" s="474"/>
      <c r="E2797" s="474"/>
      <c r="F2797" s="474"/>
      <c r="G2797" s="696"/>
      <c r="H2797" s="474"/>
      <c r="I2797" s="696"/>
    </row>
    <row r="2798" spans="1:9" ht="12.75">
      <c r="A2798" s="998"/>
      <c r="B2798" s="999"/>
      <c r="C2798" s="474"/>
      <c r="D2798" s="474"/>
      <c r="E2798" s="474"/>
      <c r="F2798" s="474"/>
      <c r="G2798" s="696"/>
      <c r="H2798" s="474"/>
      <c r="I2798" s="696"/>
    </row>
    <row r="2799" spans="1:9" ht="12.75">
      <c r="A2799" s="998"/>
      <c r="B2799" s="999"/>
      <c r="C2799" s="474"/>
      <c r="D2799" s="474"/>
      <c r="E2799" s="474"/>
      <c r="F2799" s="474"/>
      <c r="G2799" s="696"/>
      <c r="H2799" s="474"/>
      <c r="I2799" s="696"/>
    </row>
    <row r="2800" spans="1:9" ht="12.75">
      <c r="A2800" s="998"/>
      <c r="B2800" s="999"/>
      <c r="C2800" s="474"/>
      <c r="D2800" s="474"/>
      <c r="E2800" s="474"/>
      <c r="F2800" s="474"/>
      <c r="G2800" s="696"/>
      <c r="H2800" s="474"/>
      <c r="I2800" s="696"/>
    </row>
    <row r="2801" spans="1:9" ht="12.75">
      <c r="A2801" s="998"/>
      <c r="B2801" s="999"/>
      <c r="C2801" s="474"/>
      <c r="D2801" s="474"/>
      <c r="E2801" s="474"/>
      <c r="F2801" s="474"/>
      <c r="G2801" s="696"/>
      <c r="H2801" s="474"/>
      <c r="I2801" s="696"/>
    </row>
    <row r="2802" spans="1:9" ht="12.75">
      <c r="A2802" s="998"/>
      <c r="B2802" s="999"/>
      <c r="C2802" s="474"/>
      <c r="D2802" s="474"/>
      <c r="E2802" s="474"/>
      <c r="F2802" s="474"/>
      <c r="G2802" s="696"/>
      <c r="H2802" s="474"/>
      <c r="I2802" s="696"/>
    </row>
    <row r="2803" spans="1:9" ht="12.75">
      <c r="A2803" s="998"/>
      <c r="B2803" s="999"/>
      <c r="C2803" s="474"/>
      <c r="D2803" s="474"/>
      <c r="E2803" s="474"/>
      <c r="F2803" s="474"/>
      <c r="G2803" s="696"/>
      <c r="H2803" s="474"/>
      <c r="I2803" s="696"/>
    </row>
    <row r="2804" spans="1:9" ht="12.75">
      <c r="A2804" s="998"/>
      <c r="B2804" s="999"/>
      <c r="C2804" s="474"/>
      <c r="D2804" s="474"/>
      <c r="E2804" s="474"/>
      <c r="F2804" s="474"/>
      <c r="G2804" s="696"/>
      <c r="H2804" s="474"/>
      <c r="I2804" s="696"/>
    </row>
    <row r="2805" spans="1:9" ht="12.75">
      <c r="A2805" s="998"/>
      <c r="B2805" s="999"/>
      <c r="C2805" s="474"/>
      <c r="D2805" s="474"/>
      <c r="E2805" s="474"/>
      <c r="F2805" s="474"/>
      <c r="G2805" s="696"/>
      <c r="H2805" s="474"/>
      <c r="I2805" s="696"/>
    </row>
    <row r="2806" spans="1:9" ht="12.75">
      <c r="A2806" s="998"/>
      <c r="B2806" s="999"/>
      <c r="C2806" s="474"/>
      <c r="D2806" s="474"/>
      <c r="E2806" s="474"/>
      <c r="F2806" s="474"/>
      <c r="G2806" s="696"/>
      <c r="H2806" s="474"/>
      <c r="I2806" s="696"/>
    </row>
    <row r="2807" spans="1:9" ht="12.75">
      <c r="A2807" s="998"/>
      <c r="B2807" s="999"/>
      <c r="C2807" s="474"/>
      <c r="D2807" s="474"/>
      <c r="E2807" s="474"/>
      <c r="F2807" s="474"/>
      <c r="G2807" s="696"/>
      <c r="H2807" s="474"/>
      <c r="I2807" s="696"/>
    </row>
    <row r="2808" spans="1:9" ht="12.75">
      <c r="A2808" s="998"/>
      <c r="B2808" s="999"/>
      <c r="C2808" s="474"/>
      <c r="D2808" s="474"/>
      <c r="E2808" s="474"/>
      <c r="F2808" s="474"/>
      <c r="G2808" s="696"/>
      <c r="H2808" s="474"/>
      <c r="I2808" s="696"/>
    </row>
    <row r="2809" spans="1:9" ht="12.75">
      <c r="A2809" s="998"/>
      <c r="B2809" s="999"/>
      <c r="C2809" s="474"/>
      <c r="D2809" s="474"/>
      <c r="E2809" s="474"/>
      <c r="F2809" s="474"/>
      <c r="G2809" s="696"/>
      <c r="H2809" s="474"/>
      <c r="I2809" s="696"/>
    </row>
    <row r="2810" spans="1:9" ht="12.75">
      <c r="A2810" s="998"/>
      <c r="B2810" s="999"/>
      <c r="C2810" s="474"/>
      <c r="D2810" s="474"/>
      <c r="E2810" s="474"/>
      <c r="F2810" s="474"/>
      <c r="G2810" s="696"/>
      <c r="H2810" s="474"/>
      <c r="I2810" s="696"/>
    </row>
    <row r="2811" spans="1:9" ht="12.75">
      <c r="A2811" s="998"/>
      <c r="B2811" s="999"/>
      <c r="C2811" s="474"/>
      <c r="D2811" s="474"/>
      <c r="E2811" s="474"/>
      <c r="F2811" s="474"/>
      <c r="G2811" s="696"/>
      <c r="H2811" s="474"/>
      <c r="I2811" s="696"/>
    </row>
    <row r="2812" spans="1:9" ht="12.75">
      <c r="A2812" s="998"/>
      <c r="B2812" s="999"/>
      <c r="C2812" s="474"/>
      <c r="D2812" s="474"/>
      <c r="E2812" s="474"/>
      <c r="F2812" s="474"/>
      <c r="G2812" s="696"/>
      <c r="H2812" s="474"/>
      <c r="I2812" s="696"/>
    </row>
    <row r="2813" spans="1:9" ht="12.75">
      <c r="A2813" s="998"/>
      <c r="B2813" s="999"/>
      <c r="C2813" s="474"/>
      <c r="D2813" s="474"/>
      <c r="E2813" s="474"/>
      <c r="F2813" s="474"/>
      <c r="G2813" s="696"/>
      <c r="H2813" s="474"/>
      <c r="I2813" s="696"/>
    </row>
    <row r="2814" spans="1:9" ht="12.75">
      <c r="A2814" s="998"/>
      <c r="B2814" s="999"/>
      <c r="C2814" s="474"/>
      <c r="D2814" s="474"/>
      <c r="E2814" s="474"/>
      <c r="F2814" s="474"/>
      <c r="G2814" s="696"/>
      <c r="H2814" s="474"/>
      <c r="I2814" s="696"/>
    </row>
    <row r="2815" spans="1:9" ht="12.75">
      <c r="A2815" s="998"/>
      <c r="B2815" s="999"/>
      <c r="C2815" s="474"/>
      <c r="D2815" s="474"/>
      <c r="E2815" s="474"/>
      <c r="F2815" s="474"/>
      <c r="G2815" s="696"/>
      <c r="H2815" s="474"/>
      <c r="I2815" s="696"/>
    </row>
    <row r="2816" spans="1:9" ht="12.75">
      <c r="A2816" s="998"/>
      <c r="B2816" s="999"/>
      <c r="C2816" s="474"/>
      <c r="D2816" s="474"/>
      <c r="E2816" s="474"/>
      <c r="F2816" s="474"/>
      <c r="G2816" s="696"/>
      <c r="H2816" s="474"/>
      <c r="I2816" s="696"/>
    </row>
    <row r="2817" spans="1:9" ht="12.75">
      <c r="A2817" s="998"/>
      <c r="B2817" s="999"/>
      <c r="C2817" s="474"/>
      <c r="D2817" s="474"/>
      <c r="E2817" s="474"/>
      <c r="F2817" s="474"/>
      <c r="G2817" s="696"/>
      <c r="H2817" s="474"/>
      <c r="I2817" s="696"/>
    </row>
    <row r="2818" spans="1:9" ht="12.75">
      <c r="A2818" s="998"/>
      <c r="B2818" s="999"/>
      <c r="C2818" s="474"/>
      <c r="D2818" s="474"/>
      <c r="E2818" s="474"/>
      <c r="F2818" s="474"/>
      <c r="G2818" s="696"/>
      <c r="H2818" s="474"/>
      <c r="I2818" s="696"/>
    </row>
    <row r="2819" spans="1:9" ht="12.75">
      <c r="A2819" s="998"/>
      <c r="B2819" s="999"/>
      <c r="C2819" s="474"/>
      <c r="D2819" s="474"/>
      <c r="E2819" s="474"/>
      <c r="F2819" s="474"/>
      <c r="G2819" s="696"/>
      <c r="H2819" s="474"/>
      <c r="I2819" s="696"/>
    </row>
    <row r="2820" spans="1:9" ht="12.75">
      <c r="A2820" s="998"/>
      <c r="B2820" s="999"/>
      <c r="C2820" s="474"/>
      <c r="D2820" s="474"/>
      <c r="E2820" s="474"/>
      <c r="F2820" s="474"/>
      <c r="G2820" s="696"/>
      <c r="H2820" s="474"/>
      <c r="I2820" s="696"/>
    </row>
    <row r="2821" spans="1:9" ht="12.75">
      <c r="A2821" s="998"/>
      <c r="B2821" s="999"/>
      <c r="C2821" s="474"/>
      <c r="D2821" s="474"/>
      <c r="E2821" s="474"/>
      <c r="F2821" s="474"/>
      <c r="G2821" s="696"/>
      <c r="H2821" s="474"/>
      <c r="I2821" s="696"/>
    </row>
    <row r="2822" spans="1:9" ht="12.75">
      <c r="A2822" s="998"/>
      <c r="B2822" s="999"/>
      <c r="C2822" s="474"/>
      <c r="D2822" s="474"/>
      <c r="E2822" s="474"/>
      <c r="F2822" s="474"/>
      <c r="G2822" s="696"/>
      <c r="H2822" s="474"/>
      <c r="I2822" s="696"/>
    </row>
    <row r="2823" spans="1:9" ht="12.75">
      <c r="A2823" s="998"/>
      <c r="B2823" s="999"/>
      <c r="C2823" s="474"/>
      <c r="D2823" s="474"/>
      <c r="E2823" s="474"/>
      <c r="F2823" s="474"/>
      <c r="G2823" s="696"/>
      <c r="H2823" s="474"/>
      <c r="I2823" s="696"/>
    </row>
    <row r="2824" spans="1:9" ht="12.75">
      <c r="A2824" s="998"/>
      <c r="B2824" s="999"/>
      <c r="C2824" s="474"/>
      <c r="D2824" s="474"/>
      <c r="E2824" s="474"/>
      <c r="F2824" s="474"/>
      <c r="G2824" s="696"/>
      <c r="H2824" s="474"/>
      <c r="I2824" s="696"/>
    </row>
    <row r="2825" spans="1:9" ht="12.75">
      <c r="A2825" s="998"/>
      <c r="B2825" s="999"/>
      <c r="C2825" s="474"/>
      <c r="D2825" s="474"/>
      <c r="E2825" s="474"/>
      <c r="F2825" s="474"/>
      <c r="G2825" s="696"/>
      <c r="H2825" s="474"/>
      <c r="I2825" s="696"/>
    </row>
    <row r="2826" spans="1:9" ht="12.75">
      <c r="A2826" s="998"/>
      <c r="B2826" s="999"/>
      <c r="C2826" s="474"/>
      <c r="D2826" s="474"/>
      <c r="E2826" s="474"/>
      <c r="F2826" s="474"/>
      <c r="G2826" s="696"/>
      <c r="H2826" s="474"/>
      <c r="I2826" s="696"/>
    </row>
    <row r="2827" spans="1:9" ht="12.75">
      <c r="A2827" s="998"/>
      <c r="B2827" s="999"/>
      <c r="C2827" s="474"/>
      <c r="D2827" s="474"/>
      <c r="E2827" s="474"/>
      <c r="F2827" s="474"/>
      <c r="G2827" s="696"/>
      <c r="H2827" s="474"/>
      <c r="I2827" s="696"/>
    </row>
    <row r="2828" spans="1:9" ht="12.75">
      <c r="A2828" s="998"/>
      <c r="B2828" s="999"/>
      <c r="C2828" s="474"/>
      <c r="D2828" s="474"/>
      <c r="E2828" s="474"/>
      <c r="F2828" s="474"/>
      <c r="G2828" s="696"/>
      <c r="H2828" s="474"/>
      <c r="I2828" s="696"/>
    </row>
    <row r="2829" spans="1:9" ht="12.75">
      <c r="A2829" s="998"/>
      <c r="B2829" s="999"/>
      <c r="C2829" s="474"/>
      <c r="D2829" s="474"/>
      <c r="E2829" s="474"/>
      <c r="F2829" s="474"/>
      <c r="G2829" s="696"/>
      <c r="H2829" s="474"/>
      <c r="I2829" s="696"/>
    </row>
    <row r="2830" spans="1:9" ht="12.75">
      <c r="A2830" s="998"/>
      <c r="B2830" s="999"/>
      <c r="C2830" s="474"/>
      <c r="D2830" s="474"/>
      <c r="E2830" s="474"/>
      <c r="F2830" s="474"/>
      <c r="G2830" s="696"/>
      <c r="H2830" s="474"/>
      <c r="I2830" s="696"/>
    </row>
    <row r="2831" spans="1:9" ht="12.75">
      <c r="A2831" s="998"/>
      <c r="B2831" s="999"/>
      <c r="C2831" s="474"/>
      <c r="D2831" s="474"/>
      <c r="E2831" s="474"/>
      <c r="F2831" s="474"/>
      <c r="G2831" s="696"/>
      <c r="H2831" s="474"/>
      <c r="I2831" s="696"/>
    </row>
    <row r="2832" spans="1:9" ht="12.75">
      <c r="A2832" s="998"/>
      <c r="B2832" s="999"/>
      <c r="C2832" s="474"/>
      <c r="D2832" s="474"/>
      <c r="E2832" s="474"/>
      <c r="F2832" s="474"/>
      <c r="G2832" s="696"/>
      <c r="H2832" s="474"/>
      <c r="I2832" s="696"/>
    </row>
    <row r="2833" spans="1:9" ht="12.75">
      <c r="A2833" s="998"/>
      <c r="B2833" s="999"/>
      <c r="C2833" s="474"/>
      <c r="D2833" s="474"/>
      <c r="E2833" s="474"/>
      <c r="F2833" s="474"/>
      <c r="G2833" s="696"/>
      <c r="H2833" s="474"/>
      <c r="I2833" s="696"/>
    </row>
    <row r="2834" spans="1:9" ht="12.75">
      <c r="A2834" s="998"/>
      <c r="B2834" s="999"/>
      <c r="C2834" s="474"/>
      <c r="D2834" s="474"/>
      <c r="E2834" s="474"/>
      <c r="F2834" s="474"/>
      <c r="G2834" s="696"/>
      <c r="H2834" s="474"/>
      <c r="I2834" s="696"/>
    </row>
    <row r="2835" spans="1:9" ht="12.75">
      <c r="A2835" s="998"/>
      <c r="B2835" s="999"/>
      <c r="C2835" s="474"/>
      <c r="D2835" s="474"/>
      <c r="E2835" s="474"/>
      <c r="F2835" s="474"/>
      <c r="G2835" s="696"/>
      <c r="H2835" s="474"/>
      <c r="I2835" s="696"/>
    </row>
    <row r="2836" spans="1:9" ht="12.75">
      <c r="A2836" s="998"/>
      <c r="B2836" s="999"/>
      <c r="C2836" s="474"/>
      <c r="D2836" s="474"/>
      <c r="E2836" s="474"/>
      <c r="F2836" s="474"/>
      <c r="G2836" s="696"/>
      <c r="H2836" s="474"/>
      <c r="I2836" s="696"/>
    </row>
    <row r="2837" spans="1:9" ht="12.75">
      <c r="A2837" s="998"/>
      <c r="B2837" s="999"/>
      <c r="C2837" s="474"/>
      <c r="D2837" s="474"/>
      <c r="E2837" s="474"/>
      <c r="F2837" s="474"/>
      <c r="G2837" s="696"/>
      <c r="H2837" s="474"/>
      <c r="I2837" s="696"/>
    </row>
    <row r="2838" spans="1:9" ht="12.75">
      <c r="A2838" s="998"/>
      <c r="B2838" s="999"/>
      <c r="C2838" s="474"/>
      <c r="D2838" s="474"/>
      <c r="E2838" s="474"/>
      <c r="F2838" s="474"/>
      <c r="G2838" s="696"/>
      <c r="H2838" s="474"/>
      <c r="I2838" s="696"/>
    </row>
    <row r="2839" spans="1:9" ht="12.75">
      <c r="A2839" s="998"/>
      <c r="B2839" s="999"/>
      <c r="C2839" s="474"/>
      <c r="D2839" s="474"/>
      <c r="E2839" s="474"/>
      <c r="F2839" s="474"/>
      <c r="G2839" s="696"/>
      <c r="H2839" s="474"/>
      <c r="I2839" s="696"/>
    </row>
    <row r="2840" spans="1:9" ht="12.75">
      <c r="A2840" s="998"/>
      <c r="B2840" s="999"/>
      <c r="C2840" s="474"/>
      <c r="D2840" s="474"/>
      <c r="E2840" s="474"/>
      <c r="F2840" s="474"/>
      <c r="G2840" s="696"/>
      <c r="H2840" s="474"/>
      <c r="I2840" s="696"/>
    </row>
    <row r="2841" spans="1:9" ht="12.75">
      <c r="A2841" s="998"/>
      <c r="B2841" s="999"/>
      <c r="C2841" s="474"/>
      <c r="D2841" s="474"/>
      <c r="E2841" s="474"/>
      <c r="F2841" s="474"/>
      <c r="G2841" s="696"/>
      <c r="H2841" s="474"/>
      <c r="I2841" s="696"/>
    </row>
    <row r="2842" spans="1:9" ht="12.75">
      <c r="A2842" s="998"/>
      <c r="B2842" s="999"/>
      <c r="C2842" s="474"/>
      <c r="D2842" s="474"/>
      <c r="E2842" s="474"/>
      <c r="F2842" s="474"/>
      <c r="G2842" s="696"/>
      <c r="H2842" s="474"/>
      <c r="I2842" s="696"/>
    </row>
    <row r="2843" spans="1:9" ht="12.75">
      <c r="A2843" s="998"/>
      <c r="B2843" s="999"/>
      <c r="C2843" s="474"/>
      <c r="D2843" s="474"/>
      <c r="E2843" s="474"/>
      <c r="F2843" s="474"/>
      <c r="G2843" s="696"/>
      <c r="H2843" s="474"/>
      <c r="I2843" s="696"/>
    </row>
    <row r="2844" spans="1:9" ht="12.75">
      <c r="A2844" s="998"/>
      <c r="B2844" s="999"/>
      <c r="C2844" s="474"/>
      <c r="D2844" s="474"/>
      <c r="E2844" s="474"/>
      <c r="F2844" s="474"/>
      <c r="G2844" s="696"/>
      <c r="H2844" s="474"/>
      <c r="I2844" s="696"/>
    </row>
    <row r="2845" spans="1:9" ht="12.75">
      <c r="A2845" s="998"/>
      <c r="B2845" s="999"/>
      <c r="C2845" s="474"/>
      <c r="D2845" s="474"/>
      <c r="E2845" s="474"/>
      <c r="F2845" s="474"/>
      <c r="G2845" s="696"/>
      <c r="H2845" s="474"/>
      <c r="I2845" s="696"/>
    </row>
    <row r="2846" spans="1:9" ht="12.75">
      <c r="A2846" s="998"/>
      <c r="B2846" s="999"/>
      <c r="C2846" s="474"/>
      <c r="D2846" s="474"/>
      <c r="E2846" s="474"/>
      <c r="F2846" s="474"/>
      <c r="G2846" s="696"/>
      <c r="H2846" s="474"/>
      <c r="I2846" s="696"/>
    </row>
    <row r="2847" spans="1:9" ht="12.75">
      <c r="A2847" s="998"/>
      <c r="B2847" s="999"/>
      <c r="C2847" s="474"/>
      <c r="D2847" s="474"/>
      <c r="E2847" s="474"/>
      <c r="F2847" s="474"/>
      <c r="G2847" s="696"/>
      <c r="H2847" s="474"/>
      <c r="I2847" s="696"/>
    </row>
    <row r="2848" spans="1:9" ht="12.75">
      <c r="A2848" s="998"/>
      <c r="B2848" s="999"/>
      <c r="C2848" s="474"/>
      <c r="D2848" s="474"/>
      <c r="E2848" s="474"/>
      <c r="F2848" s="474"/>
      <c r="G2848" s="696"/>
      <c r="H2848" s="474"/>
      <c r="I2848" s="696"/>
    </row>
    <row r="2849" spans="1:9" ht="12.75">
      <c r="A2849" s="998"/>
      <c r="B2849" s="999"/>
      <c r="C2849" s="474"/>
      <c r="D2849" s="474"/>
      <c r="E2849" s="474"/>
      <c r="F2849" s="474"/>
      <c r="G2849" s="696"/>
      <c r="H2849" s="474"/>
      <c r="I2849" s="696"/>
    </row>
    <row r="2850" spans="1:9" ht="12.75">
      <c r="A2850" s="998"/>
      <c r="B2850" s="999"/>
      <c r="C2850" s="474"/>
      <c r="D2850" s="474"/>
      <c r="E2850" s="474"/>
      <c r="F2850" s="474"/>
      <c r="G2850" s="696"/>
      <c r="H2850" s="474"/>
      <c r="I2850" s="696"/>
    </row>
    <row r="2851" spans="1:9" ht="12.75">
      <c r="A2851" s="998"/>
      <c r="B2851" s="999"/>
      <c r="C2851" s="474"/>
      <c r="D2851" s="474"/>
      <c r="E2851" s="474"/>
      <c r="F2851" s="474"/>
      <c r="G2851" s="696"/>
      <c r="H2851" s="474"/>
      <c r="I2851" s="696"/>
    </row>
    <row r="2852" spans="1:9" ht="12.75">
      <c r="A2852" s="998"/>
      <c r="B2852" s="999"/>
      <c r="C2852" s="474"/>
      <c r="D2852" s="474"/>
      <c r="E2852" s="474"/>
      <c r="F2852" s="474"/>
      <c r="G2852" s="696"/>
      <c r="H2852" s="474"/>
      <c r="I2852" s="696"/>
    </row>
    <row r="2853" spans="1:9" ht="12.75">
      <c r="A2853" s="998"/>
      <c r="B2853" s="999"/>
      <c r="C2853" s="474"/>
      <c r="D2853" s="474"/>
      <c r="E2853" s="474"/>
      <c r="F2853" s="474"/>
      <c r="G2853" s="696"/>
      <c r="H2853" s="474"/>
      <c r="I2853" s="696"/>
    </row>
    <row r="2854" spans="1:9" ht="12.75">
      <c r="A2854" s="998"/>
      <c r="B2854" s="999"/>
      <c r="C2854" s="474"/>
      <c r="D2854" s="474"/>
      <c r="E2854" s="474"/>
      <c r="F2854" s="474"/>
      <c r="G2854" s="696"/>
      <c r="H2854" s="474"/>
      <c r="I2854" s="696"/>
    </row>
    <row r="2855" spans="1:9" ht="12.75">
      <c r="A2855" s="998"/>
      <c r="B2855" s="999"/>
      <c r="C2855" s="474"/>
      <c r="D2855" s="474"/>
      <c r="E2855" s="474"/>
      <c r="F2855" s="474"/>
      <c r="G2855" s="696"/>
      <c r="H2855" s="474"/>
      <c r="I2855" s="696"/>
    </row>
    <row r="2856" spans="1:9" ht="12.75">
      <c r="A2856" s="998"/>
      <c r="B2856" s="999"/>
      <c r="C2856" s="474"/>
      <c r="D2856" s="474"/>
      <c r="E2856" s="474"/>
      <c r="F2856" s="474"/>
      <c r="G2856" s="696"/>
      <c r="H2856" s="474"/>
      <c r="I2856" s="696"/>
    </row>
    <row r="2857" spans="1:9" ht="12.75">
      <c r="A2857" s="998"/>
      <c r="B2857" s="999"/>
      <c r="C2857" s="474"/>
      <c r="D2857" s="474"/>
      <c r="E2857" s="474"/>
      <c r="F2857" s="474"/>
      <c r="G2857" s="696"/>
      <c r="H2857" s="474"/>
      <c r="I2857" s="696"/>
    </row>
    <row r="2858" spans="1:9" ht="12.75">
      <c r="A2858" s="998"/>
      <c r="B2858" s="999"/>
      <c r="C2858" s="474"/>
      <c r="D2858" s="474"/>
      <c r="E2858" s="474"/>
      <c r="F2858" s="474"/>
      <c r="G2858" s="696"/>
      <c r="H2858" s="474"/>
      <c r="I2858" s="696"/>
    </row>
    <row r="2859" spans="1:9" ht="12.75">
      <c r="A2859" s="998"/>
      <c r="B2859" s="999"/>
      <c r="C2859" s="474"/>
      <c r="D2859" s="474"/>
      <c r="E2859" s="474"/>
      <c r="F2859" s="474"/>
      <c r="G2859" s="696"/>
      <c r="H2859" s="474"/>
      <c r="I2859" s="696"/>
    </row>
    <row r="2860" spans="1:9" ht="12.75">
      <c r="A2860" s="998"/>
      <c r="B2860" s="999"/>
      <c r="C2860" s="474"/>
      <c r="D2860" s="474"/>
      <c r="E2860" s="474"/>
      <c r="F2860" s="474"/>
      <c r="G2860" s="696"/>
      <c r="H2860" s="474"/>
      <c r="I2860" s="696"/>
    </row>
    <row r="2861" spans="1:9" ht="12.75">
      <c r="A2861" s="998"/>
      <c r="B2861" s="999"/>
      <c r="C2861" s="474"/>
      <c r="D2861" s="474"/>
      <c r="E2861" s="474"/>
      <c r="F2861" s="474"/>
      <c r="G2861" s="696"/>
      <c r="H2861" s="474"/>
      <c r="I2861" s="696"/>
    </row>
    <row r="2862" spans="1:9" ht="12.75">
      <c r="A2862" s="998"/>
      <c r="B2862" s="999"/>
      <c r="C2862" s="474"/>
      <c r="D2862" s="474"/>
      <c r="E2862" s="474"/>
      <c r="F2862" s="474"/>
      <c r="G2862" s="696"/>
      <c r="H2862" s="474"/>
      <c r="I2862" s="696"/>
    </row>
    <row r="2863" spans="1:9" ht="12.75">
      <c r="A2863" s="998"/>
      <c r="B2863" s="999"/>
      <c r="C2863" s="474"/>
      <c r="D2863" s="474"/>
      <c r="E2863" s="474"/>
      <c r="F2863" s="474"/>
      <c r="G2863" s="696"/>
      <c r="H2863" s="474"/>
      <c r="I2863" s="696"/>
    </row>
    <row r="2864" spans="1:9" ht="12.75">
      <c r="A2864" s="998"/>
      <c r="B2864" s="999"/>
      <c r="C2864" s="474"/>
      <c r="D2864" s="474"/>
      <c r="E2864" s="474"/>
      <c r="F2864" s="474"/>
      <c r="G2864" s="696"/>
      <c r="H2864" s="474"/>
      <c r="I2864" s="696"/>
    </row>
    <row r="2865" spans="1:9" ht="12.75">
      <c r="A2865" s="998"/>
      <c r="B2865" s="999"/>
      <c r="C2865" s="474"/>
      <c r="D2865" s="474"/>
      <c r="E2865" s="474"/>
      <c r="F2865" s="474"/>
      <c r="G2865" s="696"/>
      <c r="H2865" s="474"/>
      <c r="I2865" s="696"/>
    </row>
    <row r="2866" spans="1:9" ht="12.75">
      <c r="A2866" s="998"/>
      <c r="B2866" s="999"/>
      <c r="C2866" s="474"/>
      <c r="D2866" s="474"/>
      <c r="E2866" s="474"/>
      <c r="F2866" s="474"/>
      <c r="G2866" s="696"/>
      <c r="H2866" s="474"/>
      <c r="I2866" s="696"/>
    </row>
    <row r="2867" spans="1:9" ht="12.75">
      <c r="A2867" s="998"/>
      <c r="B2867" s="999"/>
      <c r="C2867" s="474"/>
      <c r="D2867" s="474"/>
      <c r="E2867" s="474"/>
      <c r="F2867" s="474"/>
      <c r="G2867" s="696"/>
      <c r="H2867" s="474"/>
      <c r="I2867" s="696"/>
    </row>
    <row r="2868" spans="1:9" ht="12.75">
      <c r="A2868" s="998"/>
      <c r="B2868" s="999"/>
      <c r="C2868" s="474"/>
      <c r="D2868" s="474"/>
      <c r="E2868" s="474"/>
      <c r="F2868" s="474"/>
      <c r="G2868" s="696"/>
      <c r="H2868" s="474"/>
      <c r="I2868" s="696"/>
    </row>
    <row r="2869" spans="1:9" ht="12.75">
      <c r="A2869" s="998"/>
      <c r="B2869" s="999"/>
      <c r="C2869" s="474"/>
      <c r="D2869" s="474"/>
      <c r="E2869" s="474"/>
      <c r="F2869" s="474"/>
      <c r="G2869" s="696"/>
      <c r="H2869" s="474"/>
      <c r="I2869" s="696"/>
    </row>
    <row r="2870" spans="1:9" ht="12.75">
      <c r="A2870" s="998"/>
      <c r="B2870" s="999"/>
      <c r="C2870" s="474"/>
      <c r="D2870" s="474"/>
      <c r="E2870" s="474"/>
      <c r="F2870" s="474"/>
      <c r="G2870" s="696"/>
      <c r="H2870" s="474"/>
      <c r="I2870" s="696"/>
    </row>
    <row r="2871" spans="1:9" ht="12.75">
      <c r="A2871" s="998"/>
      <c r="B2871" s="999"/>
      <c r="C2871" s="474"/>
      <c r="D2871" s="474"/>
      <c r="E2871" s="474"/>
      <c r="F2871" s="474"/>
      <c r="G2871" s="696"/>
      <c r="H2871" s="474"/>
      <c r="I2871" s="696"/>
    </row>
    <row r="2872" spans="1:9" ht="12.75">
      <c r="A2872" s="998"/>
      <c r="B2872" s="999"/>
      <c r="C2872" s="474"/>
      <c r="D2872" s="474"/>
      <c r="E2872" s="474"/>
      <c r="F2872" s="474"/>
      <c r="G2872" s="696"/>
      <c r="H2872" s="474"/>
      <c r="I2872" s="696"/>
    </row>
    <row r="2873" spans="1:9" ht="12.75">
      <c r="A2873" s="998"/>
      <c r="B2873" s="999"/>
      <c r="C2873" s="474"/>
      <c r="D2873" s="474"/>
      <c r="E2873" s="474"/>
      <c r="F2873" s="474"/>
      <c r="G2873" s="696"/>
      <c r="H2873" s="474"/>
      <c r="I2873" s="696"/>
    </row>
    <row r="2874" spans="1:9" ht="12.75">
      <c r="A2874" s="998"/>
      <c r="B2874" s="999"/>
      <c r="C2874" s="474"/>
      <c r="D2874" s="474"/>
      <c r="E2874" s="474"/>
      <c r="F2874" s="474"/>
      <c r="G2874" s="696"/>
      <c r="H2874" s="474"/>
      <c r="I2874" s="696"/>
    </row>
    <row r="2875" spans="1:9" ht="12.75">
      <c r="A2875" s="998"/>
      <c r="B2875" s="999"/>
      <c r="C2875" s="474"/>
      <c r="D2875" s="474"/>
      <c r="E2875" s="474"/>
      <c r="F2875" s="474"/>
      <c r="G2875" s="696"/>
      <c r="H2875" s="474"/>
      <c r="I2875" s="696"/>
    </row>
    <row r="2876" spans="1:9" ht="12.75">
      <c r="A2876" s="998"/>
      <c r="B2876" s="999"/>
      <c r="C2876" s="474"/>
      <c r="D2876" s="474"/>
      <c r="E2876" s="474"/>
      <c r="F2876" s="474"/>
      <c r="G2876" s="696"/>
      <c r="H2876" s="474"/>
      <c r="I2876" s="696"/>
    </row>
    <row r="2877" spans="1:9" ht="12.75">
      <c r="A2877" s="998"/>
      <c r="B2877" s="999"/>
      <c r="C2877" s="474"/>
      <c r="D2877" s="474"/>
      <c r="E2877" s="474"/>
      <c r="F2877" s="474"/>
      <c r="G2877" s="696"/>
      <c r="H2877" s="474"/>
      <c r="I2877" s="696"/>
    </row>
    <row r="2878" spans="1:9" ht="12.75">
      <c r="A2878" s="998"/>
      <c r="B2878" s="999"/>
      <c r="C2878" s="474"/>
      <c r="D2878" s="474"/>
      <c r="E2878" s="474"/>
      <c r="F2878" s="474"/>
      <c r="G2878" s="696"/>
      <c r="H2878" s="474"/>
      <c r="I2878" s="696"/>
    </row>
    <row r="2879" spans="1:9" ht="12.75">
      <c r="A2879" s="998"/>
      <c r="B2879" s="999"/>
      <c r="C2879" s="474"/>
      <c r="D2879" s="474"/>
      <c r="E2879" s="474"/>
      <c r="F2879" s="474"/>
      <c r="G2879" s="696"/>
      <c r="H2879" s="474"/>
      <c r="I2879" s="696"/>
    </row>
    <row r="2880" spans="1:9" ht="12.75">
      <c r="A2880" s="998"/>
      <c r="B2880" s="999"/>
      <c r="C2880" s="474"/>
      <c r="D2880" s="474"/>
      <c r="E2880" s="474"/>
      <c r="F2880" s="474"/>
      <c r="G2880" s="696"/>
      <c r="H2880" s="474"/>
      <c r="I2880" s="696"/>
    </row>
    <row r="2881" spans="1:9" ht="12.75">
      <c r="A2881" s="998"/>
      <c r="B2881" s="999"/>
      <c r="C2881" s="474"/>
      <c r="D2881" s="474"/>
      <c r="E2881" s="474"/>
      <c r="F2881" s="474"/>
      <c r="G2881" s="696"/>
      <c r="H2881" s="474"/>
      <c r="I2881" s="696"/>
    </row>
    <row r="2882" spans="1:9" ht="12.75">
      <c r="A2882" s="998"/>
      <c r="B2882" s="999"/>
      <c r="C2882" s="474"/>
      <c r="D2882" s="474"/>
      <c r="E2882" s="474"/>
      <c r="F2882" s="474"/>
      <c r="G2882" s="696"/>
      <c r="H2882" s="474"/>
      <c r="I2882" s="696"/>
    </row>
    <row r="2883" spans="1:9" ht="12.75">
      <c r="A2883" s="998"/>
      <c r="B2883" s="999"/>
      <c r="C2883" s="474"/>
      <c r="D2883" s="474"/>
      <c r="E2883" s="474"/>
      <c r="F2883" s="474"/>
      <c r="G2883" s="696"/>
      <c r="H2883" s="474"/>
      <c r="I2883" s="696"/>
    </row>
    <row r="2884" spans="1:9" ht="12.75">
      <c r="A2884" s="998"/>
      <c r="B2884" s="999"/>
      <c r="C2884" s="474"/>
      <c r="D2884" s="474"/>
      <c r="E2884" s="474"/>
      <c r="F2884" s="474"/>
      <c r="G2884" s="696"/>
      <c r="H2884" s="474"/>
      <c r="I2884" s="696"/>
    </row>
    <row r="2885" spans="1:9" ht="12.75">
      <c r="A2885" s="998"/>
      <c r="B2885" s="999"/>
      <c r="C2885" s="474"/>
      <c r="D2885" s="474"/>
      <c r="E2885" s="474"/>
      <c r="F2885" s="474"/>
      <c r="G2885" s="696"/>
      <c r="H2885" s="474"/>
      <c r="I2885" s="696"/>
    </row>
    <row r="2886" spans="1:9" ht="12.75">
      <c r="A2886" s="998"/>
      <c r="B2886" s="999"/>
      <c r="C2886" s="474"/>
      <c r="D2886" s="474"/>
      <c r="E2886" s="474"/>
      <c r="F2886" s="474"/>
      <c r="G2886" s="696"/>
      <c r="H2886" s="474"/>
      <c r="I2886" s="696"/>
    </row>
    <row r="2887" spans="1:9" ht="12.75">
      <c r="A2887" s="998"/>
      <c r="B2887" s="999"/>
      <c r="C2887" s="474"/>
      <c r="D2887" s="474"/>
      <c r="E2887" s="474"/>
      <c r="F2887" s="474"/>
      <c r="G2887" s="696"/>
      <c r="H2887" s="474"/>
      <c r="I2887" s="696"/>
    </row>
    <row r="2888" spans="1:9" ht="12.75">
      <c r="A2888" s="998"/>
      <c r="B2888" s="999"/>
      <c r="C2888" s="474"/>
      <c r="D2888" s="474"/>
      <c r="E2888" s="474"/>
      <c r="F2888" s="474"/>
      <c r="G2888" s="696"/>
      <c r="H2888" s="474"/>
      <c r="I2888" s="696"/>
    </row>
    <row r="2889" spans="1:9" ht="12.75">
      <c r="A2889" s="998"/>
      <c r="B2889" s="999"/>
      <c r="C2889" s="474"/>
      <c r="D2889" s="474"/>
      <c r="E2889" s="474"/>
      <c r="F2889" s="474"/>
      <c r="G2889" s="696"/>
      <c r="H2889" s="474"/>
      <c r="I2889" s="696"/>
    </row>
    <row r="2890" spans="1:9" ht="12.75">
      <c r="A2890" s="998"/>
      <c r="B2890" s="999"/>
      <c r="C2890" s="474"/>
      <c r="D2890" s="474"/>
      <c r="E2890" s="474"/>
      <c r="F2890" s="474"/>
      <c r="G2890" s="696"/>
      <c r="H2890" s="474"/>
      <c r="I2890" s="696"/>
    </row>
    <row r="2891" spans="1:9" ht="12.75">
      <c r="A2891" s="998"/>
      <c r="B2891" s="999"/>
      <c r="C2891" s="474"/>
      <c r="D2891" s="474"/>
      <c r="E2891" s="474"/>
      <c r="F2891" s="474"/>
      <c r="G2891" s="696"/>
      <c r="H2891" s="474"/>
      <c r="I2891" s="696"/>
    </row>
    <row r="2892" spans="1:9" ht="12.75">
      <c r="A2892" s="998"/>
      <c r="B2892" s="999"/>
      <c r="C2892" s="474"/>
      <c r="D2892" s="474"/>
      <c r="E2892" s="474"/>
      <c r="F2892" s="474"/>
      <c r="G2892" s="696"/>
      <c r="H2892" s="474"/>
      <c r="I2892" s="696"/>
    </row>
    <row r="2893" spans="1:9" ht="12.75">
      <c r="A2893" s="998"/>
      <c r="B2893" s="999"/>
      <c r="C2893" s="474"/>
      <c r="D2893" s="474"/>
      <c r="E2893" s="474"/>
      <c r="F2893" s="474"/>
      <c r="G2893" s="696"/>
      <c r="H2893" s="474"/>
      <c r="I2893" s="696"/>
    </row>
    <row r="2894" spans="1:9" ht="12.75">
      <c r="A2894" s="998"/>
      <c r="B2894" s="999"/>
      <c r="C2894" s="474"/>
      <c r="D2894" s="474"/>
      <c r="E2894" s="474"/>
      <c r="F2894" s="474"/>
      <c r="G2894" s="696"/>
      <c r="H2894" s="474"/>
      <c r="I2894" s="696"/>
    </row>
    <row r="2895" spans="1:9" ht="12.75">
      <c r="A2895" s="998"/>
      <c r="B2895" s="999"/>
      <c r="C2895" s="474"/>
      <c r="D2895" s="474"/>
      <c r="E2895" s="474"/>
      <c r="F2895" s="474"/>
      <c r="G2895" s="696"/>
      <c r="H2895" s="474"/>
      <c r="I2895" s="696"/>
    </row>
    <row r="2896" spans="1:9" ht="12.75">
      <c r="A2896" s="998"/>
      <c r="B2896" s="999"/>
      <c r="C2896" s="474"/>
      <c r="D2896" s="474"/>
      <c r="E2896" s="474"/>
      <c r="F2896" s="474"/>
      <c r="G2896" s="696"/>
      <c r="H2896" s="474"/>
      <c r="I2896" s="696"/>
    </row>
    <row r="2897" spans="1:9" ht="12.75">
      <c r="A2897" s="998"/>
      <c r="B2897" s="999"/>
      <c r="C2897" s="474"/>
      <c r="D2897" s="474"/>
      <c r="E2897" s="474"/>
      <c r="F2897" s="474"/>
      <c r="G2897" s="696"/>
      <c r="H2897" s="474"/>
      <c r="I2897" s="696"/>
    </row>
    <row r="2898" spans="1:9" ht="12.75">
      <c r="A2898" s="998"/>
      <c r="B2898" s="999"/>
      <c r="C2898" s="474"/>
      <c r="D2898" s="474"/>
      <c r="E2898" s="474"/>
      <c r="F2898" s="474"/>
      <c r="G2898" s="696"/>
      <c r="H2898" s="474"/>
      <c r="I2898" s="696"/>
    </row>
    <row r="2899" spans="1:9" ht="12.75">
      <c r="A2899" s="998"/>
      <c r="B2899" s="999"/>
      <c r="C2899" s="474"/>
      <c r="D2899" s="474"/>
      <c r="E2899" s="474"/>
      <c r="F2899" s="474"/>
      <c r="G2899" s="696"/>
      <c r="H2899" s="474"/>
      <c r="I2899" s="696"/>
    </row>
    <row r="2900" spans="1:9" ht="12.75">
      <c r="A2900" s="998"/>
      <c r="B2900" s="999"/>
      <c r="C2900" s="474"/>
      <c r="D2900" s="474"/>
      <c r="E2900" s="474"/>
      <c r="F2900" s="474"/>
      <c r="G2900" s="696"/>
      <c r="H2900" s="474"/>
      <c r="I2900" s="696"/>
    </row>
    <row r="2901" spans="1:9" ht="12.75">
      <c r="A2901" s="998"/>
      <c r="B2901" s="999"/>
      <c r="C2901" s="474"/>
      <c r="D2901" s="474"/>
      <c r="E2901" s="474"/>
      <c r="F2901" s="474"/>
      <c r="G2901" s="696"/>
      <c r="H2901" s="474"/>
      <c r="I2901" s="696"/>
    </row>
    <row r="2902" spans="1:9" ht="12.75">
      <c r="A2902" s="998"/>
      <c r="B2902" s="999"/>
      <c r="C2902" s="474"/>
      <c r="D2902" s="474"/>
      <c r="E2902" s="474"/>
      <c r="F2902" s="474"/>
      <c r="G2902" s="696"/>
      <c r="H2902" s="474"/>
      <c r="I2902" s="696"/>
    </row>
    <row r="2903" spans="1:9" ht="12.75">
      <c r="A2903" s="998"/>
      <c r="B2903" s="999"/>
      <c r="C2903" s="474"/>
      <c r="D2903" s="474"/>
      <c r="E2903" s="474"/>
      <c r="F2903" s="474"/>
      <c r="G2903" s="696"/>
      <c r="H2903" s="474"/>
      <c r="I2903" s="696"/>
    </row>
    <row r="2904" spans="1:9" ht="12.75">
      <c r="A2904" s="998"/>
      <c r="B2904" s="999"/>
      <c r="C2904" s="474"/>
      <c r="D2904" s="474"/>
      <c r="E2904" s="474"/>
      <c r="F2904" s="474"/>
      <c r="G2904" s="696"/>
      <c r="H2904" s="474"/>
      <c r="I2904" s="696"/>
    </row>
    <row r="2905" spans="1:9" ht="12.75">
      <c r="A2905" s="998"/>
      <c r="B2905" s="999"/>
      <c r="C2905" s="474"/>
      <c r="D2905" s="474"/>
      <c r="E2905" s="474"/>
      <c r="F2905" s="474"/>
      <c r="G2905" s="696"/>
      <c r="H2905" s="474"/>
      <c r="I2905" s="696"/>
    </row>
    <row r="2906" spans="1:9" ht="12.75">
      <c r="A2906" s="998"/>
      <c r="B2906" s="999"/>
      <c r="C2906" s="474"/>
      <c r="D2906" s="474"/>
      <c r="E2906" s="474"/>
      <c r="F2906" s="474"/>
      <c r="G2906" s="696"/>
      <c r="H2906" s="474"/>
      <c r="I2906" s="696"/>
    </row>
    <row r="2907" spans="1:9" ht="12.75">
      <c r="A2907" s="998"/>
      <c r="B2907" s="999"/>
      <c r="C2907" s="474"/>
      <c r="D2907" s="474"/>
      <c r="E2907" s="474"/>
      <c r="F2907" s="474"/>
      <c r="G2907" s="696"/>
      <c r="H2907" s="474"/>
      <c r="I2907" s="696"/>
    </row>
    <row r="2908" spans="1:9" ht="12.75">
      <c r="A2908" s="998"/>
      <c r="B2908" s="999"/>
      <c r="C2908" s="474"/>
      <c r="D2908" s="474"/>
      <c r="E2908" s="474"/>
      <c r="F2908" s="474"/>
      <c r="G2908" s="696"/>
      <c r="H2908" s="474"/>
      <c r="I2908" s="696"/>
    </row>
    <row r="2909" spans="1:9" ht="12.75">
      <c r="A2909" s="998"/>
      <c r="B2909" s="999"/>
      <c r="C2909" s="474"/>
      <c r="D2909" s="474"/>
      <c r="E2909" s="474"/>
      <c r="F2909" s="474"/>
      <c r="G2909" s="696"/>
      <c r="H2909" s="474"/>
      <c r="I2909" s="696"/>
    </row>
    <row r="2910" spans="1:9" ht="12.75">
      <c r="A2910" s="998"/>
      <c r="B2910" s="999"/>
      <c r="C2910" s="474"/>
      <c r="D2910" s="474"/>
      <c r="E2910" s="474"/>
      <c r="F2910" s="474"/>
      <c r="G2910" s="696"/>
      <c r="H2910" s="474"/>
      <c r="I2910" s="696"/>
    </row>
    <row r="2911" spans="1:9" ht="12.75">
      <c r="A2911" s="998"/>
      <c r="B2911" s="999"/>
      <c r="C2911" s="474"/>
      <c r="D2911" s="474"/>
      <c r="E2911" s="474"/>
      <c r="F2911" s="474"/>
      <c r="G2911" s="696"/>
      <c r="H2911" s="474"/>
      <c r="I2911" s="696"/>
    </row>
    <row r="2912" spans="1:9" ht="12.75">
      <c r="A2912" s="998"/>
      <c r="B2912" s="999"/>
      <c r="C2912" s="474"/>
      <c r="D2912" s="474"/>
      <c r="E2912" s="474"/>
      <c r="F2912" s="474"/>
      <c r="G2912" s="696"/>
      <c r="H2912" s="474"/>
      <c r="I2912" s="696"/>
    </row>
    <row r="2913" spans="1:9" ht="12.75">
      <c r="A2913" s="998"/>
      <c r="B2913" s="999"/>
      <c r="C2913" s="474"/>
      <c r="D2913" s="474"/>
      <c r="E2913" s="474"/>
      <c r="F2913" s="474"/>
      <c r="G2913" s="696"/>
      <c r="H2913" s="474"/>
      <c r="I2913" s="696"/>
    </row>
    <row r="2914" spans="1:9" ht="12.75">
      <c r="A2914" s="998"/>
      <c r="B2914" s="999"/>
      <c r="C2914" s="474"/>
      <c r="D2914" s="474"/>
      <c r="E2914" s="474"/>
      <c r="F2914" s="474"/>
      <c r="G2914" s="696"/>
      <c r="H2914" s="474"/>
      <c r="I2914" s="696"/>
    </row>
    <row r="2915" spans="1:9" ht="12.75">
      <c r="A2915" s="998"/>
      <c r="B2915" s="999"/>
      <c r="C2915" s="474"/>
      <c r="D2915" s="474"/>
      <c r="E2915" s="474"/>
      <c r="F2915" s="474"/>
      <c r="G2915" s="696"/>
      <c r="H2915" s="474"/>
      <c r="I2915" s="696"/>
    </row>
    <row r="2916" spans="1:9" ht="12.75">
      <c r="A2916" s="998"/>
      <c r="B2916" s="999"/>
      <c r="C2916" s="474"/>
      <c r="D2916" s="474"/>
      <c r="E2916" s="474"/>
      <c r="F2916" s="474"/>
      <c r="G2916" s="696"/>
      <c r="H2916" s="474"/>
      <c r="I2916" s="696"/>
    </row>
    <row r="2917" spans="1:9" ht="12.75">
      <c r="A2917" s="998"/>
      <c r="B2917" s="999"/>
      <c r="C2917" s="474"/>
      <c r="D2917" s="474"/>
      <c r="E2917" s="474"/>
      <c r="F2917" s="474"/>
      <c r="G2917" s="696"/>
      <c r="H2917" s="474"/>
      <c r="I2917" s="696"/>
    </row>
    <row r="2918" spans="1:9" ht="12.75">
      <c r="A2918" s="998"/>
      <c r="B2918" s="999"/>
      <c r="C2918" s="474"/>
      <c r="D2918" s="474"/>
      <c r="E2918" s="474"/>
      <c r="F2918" s="474"/>
      <c r="G2918" s="696"/>
      <c r="H2918" s="474"/>
      <c r="I2918" s="696"/>
    </row>
    <row r="2919" spans="1:9" ht="12.75">
      <c r="A2919" s="998"/>
      <c r="B2919" s="999"/>
      <c r="C2919" s="474"/>
      <c r="D2919" s="474"/>
      <c r="E2919" s="474"/>
      <c r="F2919" s="474"/>
      <c r="G2919" s="696"/>
      <c r="H2919" s="474"/>
      <c r="I2919" s="696"/>
    </row>
    <row r="2920" spans="1:9" ht="12.75">
      <c r="A2920" s="998"/>
      <c r="B2920" s="999"/>
      <c r="C2920" s="474"/>
      <c r="D2920" s="474"/>
      <c r="E2920" s="474"/>
      <c r="F2920" s="474"/>
      <c r="G2920" s="696"/>
      <c r="H2920" s="474"/>
      <c r="I2920" s="696"/>
    </row>
    <row r="2921" spans="1:9" ht="12.75">
      <c r="A2921" s="998"/>
      <c r="B2921" s="999"/>
      <c r="C2921" s="474"/>
      <c r="D2921" s="474"/>
      <c r="E2921" s="474"/>
      <c r="F2921" s="474"/>
      <c r="G2921" s="696"/>
      <c r="H2921" s="474"/>
      <c r="I2921" s="696"/>
    </row>
    <row r="2922" spans="1:9" ht="12.75">
      <c r="A2922" s="998"/>
      <c r="B2922" s="999"/>
      <c r="C2922" s="474"/>
      <c r="D2922" s="474"/>
      <c r="E2922" s="474"/>
      <c r="F2922" s="474"/>
      <c r="G2922" s="696"/>
      <c r="H2922" s="474"/>
      <c r="I2922" s="696"/>
    </row>
    <row r="2923" spans="1:9" ht="12.75">
      <c r="A2923" s="998"/>
      <c r="B2923" s="999"/>
      <c r="C2923" s="474"/>
      <c r="D2923" s="474"/>
      <c r="E2923" s="474"/>
      <c r="F2923" s="474"/>
      <c r="G2923" s="696"/>
      <c r="H2923" s="474"/>
      <c r="I2923" s="696"/>
    </row>
    <row r="2924" spans="1:9" ht="12.75">
      <c r="A2924" s="998"/>
      <c r="B2924" s="999"/>
      <c r="C2924" s="474"/>
      <c r="D2924" s="474"/>
      <c r="E2924" s="474"/>
      <c r="F2924" s="474"/>
      <c r="G2924" s="696"/>
      <c r="H2924" s="474"/>
      <c r="I2924" s="696"/>
    </row>
    <row r="2925" spans="1:9" ht="12.75">
      <c r="A2925" s="998"/>
      <c r="B2925" s="999"/>
      <c r="C2925" s="474"/>
      <c r="D2925" s="474"/>
      <c r="E2925" s="474"/>
      <c r="F2925" s="474"/>
      <c r="G2925" s="696"/>
      <c r="H2925" s="474"/>
      <c r="I2925" s="696"/>
    </row>
    <row r="2926" spans="1:9" ht="12.75">
      <c r="A2926" s="998"/>
      <c r="B2926" s="999"/>
      <c r="C2926" s="474"/>
      <c r="D2926" s="474"/>
      <c r="E2926" s="474"/>
      <c r="F2926" s="474"/>
      <c r="G2926" s="696"/>
      <c r="H2926" s="474"/>
      <c r="I2926" s="696"/>
    </row>
    <row r="2927" spans="1:9" ht="12.75">
      <c r="A2927" s="998"/>
      <c r="B2927" s="999"/>
      <c r="C2927" s="474"/>
      <c r="D2927" s="474"/>
      <c r="E2927" s="474"/>
      <c r="F2927" s="474"/>
      <c r="G2927" s="696"/>
      <c r="H2927" s="474"/>
      <c r="I2927" s="696"/>
    </row>
    <row r="2928" spans="1:9" ht="12.75">
      <c r="A2928" s="998"/>
      <c r="B2928" s="999"/>
      <c r="C2928" s="474"/>
      <c r="D2928" s="474"/>
      <c r="E2928" s="474"/>
      <c r="F2928" s="474"/>
      <c r="G2928" s="696"/>
      <c r="H2928" s="474"/>
      <c r="I2928" s="696"/>
    </row>
    <row r="2929" spans="1:9" ht="12.75">
      <c r="A2929" s="998"/>
      <c r="B2929" s="999"/>
      <c r="C2929" s="474"/>
      <c r="D2929" s="474"/>
      <c r="E2929" s="474"/>
      <c r="F2929" s="474"/>
      <c r="G2929" s="696"/>
      <c r="H2929" s="474"/>
      <c r="I2929" s="696"/>
    </row>
    <row r="2930" spans="1:9" ht="12.75">
      <c r="A2930" s="998"/>
      <c r="B2930" s="999"/>
      <c r="C2930" s="474"/>
      <c r="D2930" s="474"/>
      <c r="E2930" s="474"/>
      <c r="F2930" s="474"/>
      <c r="G2930" s="696"/>
      <c r="H2930" s="474"/>
      <c r="I2930" s="696"/>
    </row>
    <row r="2931" spans="1:9" ht="12.75">
      <c r="A2931" s="998"/>
      <c r="B2931" s="999"/>
      <c r="C2931" s="474"/>
      <c r="D2931" s="474"/>
      <c r="E2931" s="474"/>
      <c r="F2931" s="474"/>
      <c r="G2931" s="696"/>
      <c r="H2931" s="474"/>
      <c r="I2931" s="696"/>
    </row>
    <row r="2932" spans="1:9" ht="12.75">
      <c r="A2932" s="998"/>
      <c r="B2932" s="999"/>
      <c r="C2932" s="474"/>
      <c r="D2932" s="474"/>
      <c r="E2932" s="474"/>
      <c r="F2932" s="474"/>
      <c r="G2932" s="696"/>
      <c r="H2932" s="474"/>
      <c r="I2932" s="696"/>
    </row>
    <row r="2933" spans="1:9" ht="12.75">
      <c r="A2933" s="998"/>
      <c r="B2933" s="999"/>
      <c r="C2933" s="474"/>
      <c r="D2933" s="474"/>
      <c r="E2933" s="474"/>
      <c r="F2933" s="474"/>
      <c r="G2933" s="696"/>
      <c r="H2933" s="474"/>
      <c r="I2933" s="696"/>
    </row>
    <row r="2934" spans="1:9" ht="12.75">
      <c r="A2934" s="998"/>
      <c r="B2934" s="999"/>
      <c r="C2934" s="474"/>
      <c r="D2934" s="474"/>
      <c r="E2934" s="474"/>
      <c r="F2934" s="474"/>
      <c r="G2934" s="696"/>
      <c r="H2934" s="474"/>
      <c r="I2934" s="696"/>
    </row>
    <row r="2935" spans="1:9" ht="12.75">
      <c r="A2935" s="998"/>
      <c r="B2935" s="999"/>
      <c r="C2935" s="474"/>
      <c r="D2935" s="474"/>
      <c r="E2935" s="474"/>
      <c r="F2935" s="474"/>
      <c r="G2935" s="696"/>
      <c r="H2935" s="474"/>
      <c r="I2935" s="696"/>
    </row>
    <row r="2936" spans="1:9" ht="12.75">
      <c r="A2936" s="998"/>
      <c r="B2936" s="999"/>
      <c r="C2936" s="474"/>
      <c r="D2936" s="474"/>
      <c r="E2936" s="474"/>
      <c r="F2936" s="474"/>
      <c r="G2936" s="696"/>
      <c r="H2936" s="474"/>
      <c r="I2936" s="696"/>
    </row>
    <row r="2937" spans="1:9" ht="12.75">
      <c r="A2937" s="998"/>
      <c r="B2937" s="999"/>
      <c r="C2937" s="474"/>
      <c r="D2937" s="474"/>
      <c r="E2937" s="474"/>
      <c r="F2937" s="474"/>
      <c r="G2937" s="696"/>
      <c r="H2937" s="474"/>
      <c r="I2937" s="696"/>
    </row>
    <row r="2938" spans="1:9" ht="12.75">
      <c r="A2938" s="998"/>
      <c r="B2938" s="999"/>
      <c r="C2938" s="474"/>
      <c r="D2938" s="474"/>
      <c r="E2938" s="474"/>
      <c r="F2938" s="474"/>
      <c r="G2938" s="696"/>
      <c r="H2938" s="474"/>
      <c r="I2938" s="696"/>
    </row>
    <row r="2939" spans="1:9" ht="12.75">
      <c r="A2939" s="998"/>
      <c r="B2939" s="999"/>
      <c r="C2939" s="474"/>
      <c r="D2939" s="474"/>
      <c r="E2939" s="474"/>
      <c r="F2939" s="474"/>
      <c r="G2939" s="696"/>
      <c r="H2939" s="474"/>
      <c r="I2939" s="696"/>
    </row>
    <row r="2940" spans="1:9" ht="12.75">
      <c r="A2940" s="998"/>
      <c r="B2940" s="999"/>
      <c r="C2940" s="474"/>
      <c r="D2940" s="474"/>
      <c r="E2940" s="474"/>
      <c r="F2940" s="474"/>
      <c r="G2940" s="696"/>
      <c r="H2940" s="474"/>
      <c r="I2940" s="696"/>
    </row>
    <row r="2941" spans="1:9" ht="12.75">
      <c r="A2941" s="998"/>
      <c r="B2941" s="999"/>
      <c r="C2941" s="474"/>
      <c r="D2941" s="474"/>
      <c r="E2941" s="474"/>
      <c r="F2941" s="474"/>
      <c r="G2941" s="696"/>
      <c r="H2941" s="474"/>
      <c r="I2941" s="696"/>
    </row>
    <row r="2942" spans="1:9" ht="12.75">
      <c r="A2942" s="998"/>
      <c r="B2942" s="999"/>
      <c r="C2942" s="474"/>
      <c r="D2942" s="474"/>
      <c r="E2942" s="474"/>
      <c r="F2942" s="474"/>
      <c r="G2942" s="696"/>
      <c r="H2942" s="474"/>
      <c r="I2942" s="696"/>
    </row>
    <row r="2943" spans="1:9" ht="12.75">
      <c r="A2943" s="998"/>
      <c r="B2943" s="999"/>
      <c r="C2943" s="474"/>
      <c r="D2943" s="474"/>
      <c r="E2943" s="474"/>
      <c r="F2943" s="474"/>
      <c r="G2943" s="696"/>
      <c r="H2943" s="474"/>
      <c r="I2943" s="696"/>
    </row>
    <row r="2944" spans="1:9" ht="12.75">
      <c r="A2944" s="998"/>
      <c r="B2944" s="999"/>
      <c r="C2944" s="474"/>
      <c r="D2944" s="474"/>
      <c r="E2944" s="474"/>
      <c r="F2944" s="474"/>
      <c r="G2944" s="696"/>
      <c r="H2944" s="474"/>
      <c r="I2944" s="696"/>
    </row>
    <row r="2945" spans="1:9" ht="12.75">
      <c r="A2945" s="998"/>
      <c r="B2945" s="999"/>
      <c r="C2945" s="474"/>
      <c r="D2945" s="474"/>
      <c r="E2945" s="474"/>
      <c r="F2945" s="474"/>
      <c r="G2945" s="696"/>
      <c r="H2945" s="474"/>
      <c r="I2945" s="696"/>
    </row>
    <row r="2946" spans="1:9" ht="12.75">
      <c r="A2946" s="998"/>
      <c r="B2946" s="999"/>
      <c r="C2946" s="474"/>
      <c r="D2946" s="474"/>
      <c r="E2946" s="474"/>
      <c r="F2946" s="474"/>
      <c r="G2946" s="696"/>
      <c r="H2946" s="474"/>
      <c r="I2946" s="696"/>
    </row>
    <row r="2947" spans="1:9" ht="12.75">
      <c r="A2947" s="998"/>
      <c r="B2947" s="999"/>
      <c r="C2947" s="474"/>
      <c r="D2947" s="474"/>
      <c r="E2947" s="474"/>
      <c r="F2947" s="474"/>
      <c r="G2947" s="696"/>
      <c r="H2947" s="474"/>
      <c r="I2947" s="696"/>
    </row>
    <row r="2948" spans="1:9" ht="12.75">
      <c r="A2948" s="998"/>
      <c r="B2948" s="999"/>
      <c r="C2948" s="474"/>
      <c r="D2948" s="474"/>
      <c r="E2948" s="474"/>
      <c r="F2948" s="474"/>
      <c r="G2948" s="696"/>
      <c r="H2948" s="474"/>
      <c r="I2948" s="696"/>
    </row>
    <row r="2949" spans="1:9" ht="12.75">
      <c r="A2949" s="998"/>
      <c r="B2949" s="999"/>
      <c r="C2949" s="474"/>
      <c r="D2949" s="474"/>
      <c r="E2949" s="474"/>
      <c r="F2949" s="474"/>
      <c r="G2949" s="696"/>
      <c r="H2949" s="474"/>
      <c r="I2949" s="696"/>
    </row>
    <row r="2950" spans="1:9" ht="12.75">
      <c r="A2950" s="998"/>
      <c r="B2950" s="999"/>
      <c r="C2950" s="474"/>
      <c r="D2950" s="474"/>
      <c r="E2950" s="474"/>
      <c r="F2950" s="474"/>
      <c r="G2950" s="696"/>
      <c r="H2950" s="474"/>
      <c r="I2950" s="696"/>
    </row>
    <row r="2951" spans="1:9" ht="12.75">
      <c r="A2951" s="998"/>
      <c r="B2951" s="999"/>
      <c r="C2951" s="474"/>
      <c r="D2951" s="474"/>
      <c r="E2951" s="474"/>
      <c r="F2951" s="474"/>
      <c r="G2951" s="696"/>
      <c r="H2951" s="474"/>
      <c r="I2951" s="696"/>
    </row>
    <row r="2952" spans="1:9" ht="12.75">
      <c r="A2952" s="998"/>
      <c r="B2952" s="999"/>
      <c r="C2952" s="474"/>
      <c r="D2952" s="474"/>
      <c r="E2952" s="474"/>
      <c r="F2952" s="474"/>
      <c r="G2952" s="696"/>
      <c r="H2952" s="474"/>
      <c r="I2952" s="696"/>
    </row>
    <row r="2953" spans="1:9" ht="12.75">
      <c r="A2953" s="998"/>
      <c r="B2953" s="999"/>
      <c r="C2953" s="474"/>
      <c r="D2953" s="474"/>
      <c r="E2953" s="474"/>
      <c r="F2953" s="474"/>
      <c r="G2953" s="696"/>
      <c r="H2953" s="474"/>
      <c r="I2953" s="696"/>
    </row>
    <row r="2954" spans="1:9" ht="12.75">
      <c r="A2954" s="998"/>
      <c r="B2954" s="999"/>
      <c r="C2954" s="474"/>
      <c r="D2954" s="474"/>
      <c r="E2954" s="474"/>
      <c r="F2954" s="474"/>
      <c r="G2954" s="696"/>
      <c r="H2954" s="474"/>
      <c r="I2954" s="696"/>
    </row>
    <row r="2955" spans="1:9" ht="12.75">
      <c r="A2955" s="998"/>
      <c r="B2955" s="999"/>
      <c r="C2955" s="474"/>
      <c r="D2955" s="474"/>
      <c r="E2955" s="474"/>
      <c r="F2955" s="474"/>
      <c r="G2955" s="696"/>
      <c r="H2955" s="474"/>
      <c r="I2955" s="696"/>
    </row>
    <row r="2956" spans="1:9" ht="12.75">
      <c r="A2956" s="998"/>
      <c r="B2956" s="999"/>
      <c r="C2956" s="474"/>
      <c r="D2956" s="474"/>
      <c r="E2956" s="474"/>
      <c r="F2956" s="474"/>
      <c r="G2956" s="696"/>
      <c r="H2956" s="474"/>
      <c r="I2956" s="696"/>
    </row>
    <row r="2957" spans="1:9" ht="12.75">
      <c r="A2957" s="998"/>
      <c r="B2957" s="999"/>
      <c r="C2957" s="474"/>
      <c r="D2957" s="474"/>
      <c r="E2957" s="474"/>
      <c r="F2957" s="474"/>
      <c r="G2957" s="696"/>
      <c r="H2957" s="474"/>
      <c r="I2957" s="696"/>
    </row>
    <row r="2958" spans="1:9" ht="12.75">
      <c r="A2958" s="998"/>
      <c r="B2958" s="999"/>
      <c r="C2958" s="474"/>
      <c r="D2958" s="474"/>
      <c r="E2958" s="474"/>
      <c r="F2958" s="474"/>
      <c r="G2958" s="696"/>
      <c r="H2958" s="474"/>
      <c r="I2958" s="696"/>
    </row>
    <row r="2959" spans="1:9" ht="12.75">
      <c r="A2959" s="998"/>
      <c r="B2959" s="999"/>
      <c r="C2959" s="474"/>
      <c r="D2959" s="474"/>
      <c r="E2959" s="474"/>
      <c r="F2959" s="474"/>
      <c r="G2959" s="696"/>
      <c r="H2959" s="474"/>
      <c r="I2959" s="696"/>
    </row>
    <row r="2960" spans="1:9" ht="12.75">
      <c r="A2960" s="998"/>
      <c r="B2960" s="999"/>
      <c r="C2960" s="474"/>
      <c r="D2960" s="474"/>
      <c r="E2960" s="474"/>
      <c r="F2960" s="474"/>
      <c r="G2960" s="696"/>
      <c r="H2960" s="474"/>
      <c r="I2960" s="696"/>
    </row>
    <row r="2961" spans="1:9" ht="12.75">
      <c r="A2961" s="998"/>
      <c r="B2961" s="999"/>
      <c r="C2961" s="474"/>
      <c r="D2961" s="474"/>
      <c r="E2961" s="474"/>
      <c r="F2961" s="474"/>
      <c r="G2961" s="696"/>
      <c r="H2961" s="474"/>
      <c r="I2961" s="696"/>
    </row>
    <row r="2962" spans="1:9" ht="12.75">
      <c r="A2962" s="998"/>
      <c r="B2962" s="999"/>
      <c r="C2962" s="474"/>
      <c r="D2962" s="474"/>
      <c r="E2962" s="474"/>
      <c r="F2962" s="474"/>
      <c r="G2962" s="696"/>
      <c r="H2962" s="474"/>
      <c r="I2962" s="696"/>
    </row>
    <row r="2963" spans="1:9" ht="12.75">
      <c r="A2963" s="998"/>
      <c r="B2963" s="999"/>
      <c r="C2963" s="474"/>
      <c r="D2963" s="474"/>
      <c r="E2963" s="474"/>
      <c r="F2963" s="474"/>
      <c r="G2963" s="696"/>
      <c r="H2963" s="474"/>
      <c r="I2963" s="696"/>
    </row>
    <row r="2964" spans="1:9" ht="12.75">
      <c r="A2964" s="998"/>
      <c r="B2964" s="999"/>
      <c r="C2964" s="474"/>
      <c r="D2964" s="474"/>
      <c r="E2964" s="474"/>
      <c r="F2964" s="474"/>
      <c r="G2964" s="696"/>
      <c r="H2964" s="474"/>
      <c r="I2964" s="696"/>
    </row>
    <row r="2965" spans="1:9" ht="12.75">
      <c r="A2965" s="998"/>
      <c r="B2965" s="999"/>
      <c r="C2965" s="474"/>
      <c r="D2965" s="474"/>
      <c r="E2965" s="474"/>
      <c r="F2965" s="474"/>
      <c r="G2965" s="696"/>
      <c r="H2965" s="474"/>
      <c r="I2965" s="696"/>
    </row>
    <row r="2966" spans="1:9" ht="12.75">
      <c r="A2966" s="998"/>
      <c r="B2966" s="999"/>
      <c r="C2966" s="474"/>
      <c r="D2966" s="474"/>
      <c r="E2966" s="474"/>
      <c r="F2966" s="474"/>
      <c r="G2966" s="696"/>
      <c r="H2966" s="474"/>
      <c r="I2966" s="696"/>
    </row>
    <row r="2967" spans="1:9" ht="12.75">
      <c r="A2967" s="998"/>
      <c r="B2967" s="999"/>
      <c r="C2967" s="474"/>
      <c r="D2967" s="474"/>
      <c r="E2967" s="474"/>
      <c r="F2967" s="474"/>
      <c r="G2967" s="696"/>
      <c r="H2967" s="474"/>
      <c r="I2967" s="696"/>
    </row>
    <row r="2968" spans="1:9" ht="12.75">
      <c r="A2968" s="998"/>
      <c r="B2968" s="999"/>
      <c r="C2968" s="474"/>
      <c r="D2968" s="474"/>
      <c r="E2968" s="474"/>
      <c r="F2968" s="474"/>
      <c r="G2968" s="696"/>
      <c r="H2968" s="474"/>
      <c r="I2968" s="696"/>
    </row>
    <row r="2969" spans="1:9" ht="12.75">
      <c r="A2969" s="998"/>
      <c r="B2969" s="999"/>
      <c r="C2969" s="474"/>
      <c r="D2969" s="474"/>
      <c r="E2969" s="474"/>
      <c r="F2969" s="474"/>
      <c r="G2969" s="696"/>
      <c r="H2969" s="474"/>
      <c r="I2969" s="696"/>
    </row>
    <row r="2970" spans="1:9" ht="12.75">
      <c r="A2970" s="998"/>
      <c r="B2970" s="999"/>
      <c r="C2970" s="474"/>
      <c r="D2970" s="474"/>
      <c r="E2970" s="474"/>
      <c r="F2970" s="474"/>
      <c r="G2970" s="696"/>
      <c r="H2970" s="474"/>
      <c r="I2970" s="696"/>
    </row>
    <row r="2971" spans="1:9" ht="12.75">
      <c r="A2971" s="998"/>
      <c r="B2971" s="999"/>
      <c r="C2971" s="474"/>
      <c r="D2971" s="474"/>
      <c r="E2971" s="474"/>
      <c r="F2971" s="474"/>
      <c r="G2971" s="696"/>
      <c r="H2971" s="474"/>
      <c r="I2971" s="696"/>
    </row>
    <row r="2972" spans="1:9" ht="12.75">
      <c r="A2972" s="998"/>
      <c r="B2972" s="999"/>
      <c r="C2972" s="474"/>
      <c r="D2972" s="474"/>
      <c r="E2972" s="474"/>
      <c r="F2972" s="474"/>
      <c r="G2972" s="696"/>
      <c r="H2972" s="474"/>
      <c r="I2972" s="696"/>
    </row>
    <row r="2973" spans="1:9" ht="12.75">
      <c r="A2973" s="998"/>
      <c r="B2973" s="999"/>
      <c r="C2973" s="474"/>
      <c r="D2973" s="474"/>
      <c r="E2973" s="474"/>
      <c r="F2973" s="474"/>
      <c r="G2973" s="696"/>
      <c r="H2973" s="474"/>
      <c r="I2973" s="696"/>
    </row>
    <row r="2974" spans="1:9" ht="12.75">
      <c r="A2974" s="998"/>
      <c r="B2974" s="999"/>
      <c r="C2974" s="474"/>
      <c r="D2974" s="474"/>
      <c r="E2974" s="474"/>
      <c r="F2974" s="474"/>
      <c r="G2974" s="696"/>
      <c r="H2974" s="474"/>
      <c r="I2974" s="696"/>
    </row>
    <row r="2975" spans="1:9" ht="12.75">
      <c r="A2975" s="998"/>
      <c r="B2975" s="999"/>
      <c r="C2975" s="474"/>
      <c r="D2975" s="474"/>
      <c r="E2975" s="474"/>
      <c r="F2975" s="474"/>
      <c r="G2975" s="696"/>
      <c r="H2975" s="474"/>
      <c r="I2975" s="696"/>
    </row>
    <row r="2976" spans="1:9" ht="12.75">
      <c r="A2976" s="998"/>
      <c r="B2976" s="999"/>
      <c r="C2976" s="474"/>
      <c r="D2976" s="474"/>
      <c r="E2976" s="474"/>
      <c r="F2976" s="474"/>
      <c r="G2976" s="696"/>
      <c r="H2976" s="474"/>
      <c r="I2976" s="696"/>
    </row>
    <row r="2977" spans="1:9" ht="12.75">
      <c r="A2977" s="998"/>
      <c r="B2977" s="999"/>
      <c r="C2977" s="474"/>
      <c r="D2977" s="474"/>
      <c r="E2977" s="474"/>
      <c r="F2977" s="474"/>
      <c r="G2977" s="696"/>
      <c r="H2977" s="474"/>
      <c r="I2977" s="696"/>
    </row>
    <row r="2978" spans="1:9" ht="12.75">
      <c r="A2978" s="998"/>
      <c r="B2978" s="999"/>
      <c r="C2978" s="474"/>
      <c r="D2978" s="474"/>
      <c r="E2978" s="474"/>
      <c r="F2978" s="474"/>
      <c r="G2978" s="696"/>
      <c r="H2978" s="474"/>
      <c r="I2978" s="696"/>
    </row>
    <row r="2979" spans="1:9" ht="12.75">
      <c r="A2979" s="998"/>
      <c r="B2979" s="999"/>
      <c r="C2979" s="474"/>
      <c r="D2979" s="474"/>
      <c r="E2979" s="474"/>
      <c r="F2979" s="474"/>
      <c r="G2979" s="696"/>
      <c r="H2979" s="474"/>
      <c r="I2979" s="696"/>
    </row>
    <row r="2980" spans="1:9" ht="12.75">
      <c r="A2980" s="998"/>
      <c r="B2980" s="999"/>
      <c r="C2980" s="474"/>
      <c r="D2980" s="474"/>
      <c r="E2980" s="474"/>
      <c r="F2980" s="474"/>
      <c r="G2980" s="696"/>
      <c r="H2980" s="474"/>
      <c r="I2980" s="696"/>
    </row>
    <row r="2981" spans="1:9" ht="12.75">
      <c r="A2981" s="998"/>
      <c r="B2981" s="999"/>
      <c r="C2981" s="474"/>
      <c r="D2981" s="474"/>
      <c r="E2981" s="474"/>
      <c r="F2981" s="474"/>
      <c r="G2981" s="696"/>
      <c r="H2981" s="474"/>
      <c r="I2981" s="696"/>
    </row>
    <row r="2982" spans="1:9" ht="12.75">
      <c r="A2982" s="998"/>
      <c r="B2982" s="999"/>
      <c r="C2982" s="474"/>
      <c r="D2982" s="474"/>
      <c r="E2982" s="474"/>
      <c r="F2982" s="474"/>
      <c r="G2982" s="696"/>
      <c r="H2982" s="474"/>
      <c r="I2982" s="696"/>
    </row>
    <row r="2983" spans="1:9" ht="12.75">
      <c r="A2983" s="998"/>
      <c r="B2983" s="999"/>
      <c r="C2983" s="474"/>
      <c r="D2983" s="474"/>
      <c r="E2983" s="474"/>
      <c r="F2983" s="474"/>
      <c r="G2983" s="696"/>
      <c r="H2983" s="474"/>
      <c r="I2983" s="696"/>
    </row>
    <row r="2984" spans="1:9" ht="12.75">
      <c r="A2984" s="998"/>
      <c r="B2984" s="999"/>
      <c r="C2984" s="474"/>
      <c r="D2984" s="474"/>
      <c r="E2984" s="474"/>
      <c r="F2984" s="474"/>
      <c r="G2984" s="696"/>
      <c r="H2984" s="474"/>
      <c r="I2984" s="696"/>
    </row>
    <row r="2985" spans="1:9" ht="12.75">
      <c r="A2985" s="998"/>
      <c r="B2985" s="999"/>
      <c r="C2985" s="474"/>
      <c r="D2985" s="474"/>
      <c r="E2985" s="474"/>
      <c r="F2985" s="474"/>
      <c r="G2985" s="696"/>
      <c r="H2985" s="474"/>
      <c r="I2985" s="696"/>
    </row>
    <row r="2986" spans="1:9" ht="12.75">
      <c r="A2986" s="998"/>
      <c r="B2986" s="999"/>
      <c r="C2986" s="474"/>
      <c r="D2986" s="474"/>
      <c r="E2986" s="474"/>
      <c r="F2986" s="474"/>
      <c r="G2986" s="696"/>
      <c r="H2986" s="474"/>
      <c r="I2986" s="696"/>
    </row>
    <row r="2987" spans="1:9" ht="12.75">
      <c r="A2987" s="998"/>
      <c r="B2987" s="999"/>
      <c r="C2987" s="474"/>
      <c r="D2987" s="474"/>
      <c r="E2987" s="474"/>
      <c r="F2987" s="474"/>
      <c r="G2987" s="696"/>
      <c r="H2987" s="474"/>
      <c r="I2987" s="696"/>
    </row>
    <row r="2988" spans="1:9" ht="12.75">
      <c r="A2988" s="998"/>
      <c r="B2988" s="999"/>
      <c r="C2988" s="474"/>
      <c r="D2988" s="474"/>
      <c r="E2988" s="474"/>
      <c r="F2988" s="474"/>
      <c r="G2988" s="696"/>
      <c r="H2988" s="474"/>
      <c r="I2988" s="696"/>
    </row>
    <row r="2989" spans="1:9" ht="12.75">
      <c r="A2989" s="998"/>
      <c r="B2989" s="999"/>
      <c r="C2989" s="474"/>
      <c r="D2989" s="474"/>
      <c r="E2989" s="474"/>
      <c r="F2989" s="474"/>
      <c r="G2989" s="696"/>
      <c r="H2989" s="474"/>
      <c r="I2989" s="696"/>
    </row>
    <row r="2990" spans="1:9" ht="12.75">
      <c r="A2990" s="998"/>
      <c r="B2990" s="999"/>
      <c r="C2990" s="474"/>
      <c r="D2990" s="474"/>
      <c r="E2990" s="474"/>
      <c r="F2990" s="474"/>
      <c r="G2990" s="696"/>
      <c r="H2990" s="474"/>
      <c r="I2990" s="696"/>
    </row>
    <row r="2991" spans="1:9" ht="12.75">
      <c r="A2991" s="998"/>
      <c r="B2991" s="999"/>
      <c r="C2991" s="474"/>
      <c r="D2991" s="474"/>
      <c r="E2991" s="474"/>
      <c r="F2991" s="474"/>
      <c r="G2991" s="696"/>
      <c r="H2991" s="474"/>
      <c r="I2991" s="696"/>
    </row>
    <row r="2992" spans="1:9" ht="12.75">
      <c r="A2992" s="998"/>
      <c r="B2992" s="999"/>
      <c r="C2992" s="474"/>
      <c r="D2992" s="474"/>
      <c r="E2992" s="474"/>
      <c r="F2992" s="474"/>
      <c r="G2992" s="696"/>
      <c r="H2992" s="474"/>
      <c r="I2992" s="696"/>
    </row>
    <row r="2993" spans="1:9" ht="12.75">
      <c r="A2993" s="998"/>
      <c r="B2993" s="999"/>
      <c r="C2993" s="474"/>
      <c r="D2993" s="474"/>
      <c r="E2993" s="474"/>
      <c r="F2993" s="474"/>
      <c r="G2993" s="696"/>
      <c r="H2993" s="474"/>
      <c r="I2993" s="696"/>
    </row>
    <row r="2994" spans="1:9" ht="12.75">
      <c r="A2994" s="998"/>
      <c r="B2994" s="999"/>
      <c r="C2994" s="474"/>
      <c r="D2994" s="474"/>
      <c r="E2994" s="474"/>
      <c r="F2994" s="474"/>
      <c r="G2994" s="696"/>
      <c r="H2994" s="474"/>
      <c r="I2994" s="696"/>
    </row>
    <row r="2995" spans="1:9" ht="12.75">
      <c r="A2995" s="998"/>
      <c r="B2995" s="999"/>
      <c r="C2995" s="474"/>
      <c r="D2995" s="474"/>
      <c r="E2995" s="474"/>
      <c r="F2995" s="474"/>
      <c r="G2995" s="696"/>
      <c r="H2995" s="474"/>
      <c r="I2995" s="696"/>
    </row>
    <row r="2996" spans="1:9" ht="12.75">
      <c r="A2996" s="998"/>
      <c r="B2996" s="999"/>
      <c r="C2996" s="474"/>
      <c r="D2996" s="474"/>
      <c r="E2996" s="474"/>
      <c r="F2996" s="474"/>
      <c r="G2996" s="696"/>
      <c r="H2996" s="474"/>
      <c r="I2996" s="696"/>
    </row>
    <row r="2997" spans="1:9" ht="12.75">
      <c r="A2997" s="998"/>
      <c r="B2997" s="999"/>
      <c r="C2997" s="474"/>
      <c r="D2997" s="474"/>
      <c r="E2997" s="474"/>
      <c r="F2997" s="474"/>
      <c r="G2997" s="696"/>
      <c r="H2997" s="474"/>
      <c r="I2997" s="696"/>
    </row>
    <row r="2998" spans="1:9" ht="12.75">
      <c r="A2998" s="998"/>
      <c r="B2998" s="999"/>
      <c r="C2998" s="474"/>
      <c r="D2998" s="474"/>
      <c r="E2998" s="474"/>
      <c r="F2998" s="474"/>
      <c r="G2998" s="696"/>
      <c r="H2998" s="474"/>
      <c r="I2998" s="696"/>
    </row>
    <row r="2999" spans="1:9" ht="12.75">
      <c r="A2999" s="998"/>
      <c r="B2999" s="999"/>
      <c r="C2999" s="474"/>
      <c r="D2999" s="474"/>
      <c r="E2999" s="474"/>
      <c r="F2999" s="474"/>
      <c r="G2999" s="696"/>
      <c r="H2999" s="474"/>
      <c r="I2999" s="696"/>
    </row>
    <row r="3000" spans="1:9" ht="12.75">
      <c r="A3000" s="998"/>
      <c r="B3000" s="999"/>
      <c r="C3000" s="474"/>
      <c r="D3000" s="474"/>
      <c r="E3000" s="474"/>
      <c r="F3000" s="474"/>
      <c r="G3000" s="696"/>
      <c r="H3000" s="474"/>
      <c r="I3000" s="696"/>
    </row>
    <row r="3001" spans="1:9" ht="12.75">
      <c r="A3001" s="998"/>
      <c r="B3001" s="999"/>
      <c r="C3001" s="474"/>
      <c r="D3001" s="474"/>
      <c r="E3001" s="474"/>
      <c r="F3001" s="474"/>
      <c r="G3001" s="696"/>
      <c r="H3001" s="474"/>
      <c r="I3001" s="696"/>
    </row>
    <row r="3002" spans="1:9" ht="12.75">
      <c r="A3002" s="998"/>
      <c r="B3002" s="999"/>
      <c r="C3002" s="474"/>
      <c r="D3002" s="474"/>
      <c r="E3002" s="474"/>
      <c r="F3002" s="474"/>
      <c r="G3002" s="696"/>
      <c r="H3002" s="474"/>
      <c r="I3002" s="696"/>
    </row>
    <row r="3003" spans="1:9" ht="12.75">
      <c r="A3003" s="998"/>
      <c r="B3003" s="999"/>
      <c r="C3003" s="474"/>
      <c r="D3003" s="474"/>
      <c r="E3003" s="474"/>
      <c r="F3003" s="474"/>
      <c r="G3003" s="696"/>
      <c r="H3003" s="474"/>
      <c r="I3003" s="696"/>
    </row>
    <row r="3004" spans="1:9" ht="12.75">
      <c r="A3004" s="998"/>
      <c r="B3004" s="999"/>
      <c r="C3004" s="474"/>
      <c r="D3004" s="474"/>
      <c r="E3004" s="474"/>
      <c r="F3004" s="474"/>
      <c r="G3004" s="696"/>
      <c r="H3004" s="474"/>
      <c r="I3004" s="696"/>
    </row>
    <row r="3005" spans="1:9" ht="12.75">
      <c r="A3005" s="998"/>
      <c r="B3005" s="999"/>
      <c r="C3005" s="474"/>
      <c r="D3005" s="474"/>
      <c r="E3005" s="474"/>
      <c r="F3005" s="474"/>
      <c r="G3005" s="696"/>
      <c r="H3005" s="474"/>
      <c r="I3005" s="696"/>
    </row>
    <row r="3006" spans="1:9" ht="12.75">
      <c r="A3006" s="998"/>
      <c r="B3006" s="999"/>
      <c r="C3006" s="474"/>
      <c r="D3006" s="474"/>
      <c r="E3006" s="474"/>
      <c r="F3006" s="474"/>
      <c r="G3006" s="696"/>
      <c r="H3006" s="474"/>
      <c r="I3006" s="696"/>
    </row>
    <row r="3007" spans="1:9" ht="12.75">
      <c r="A3007" s="998"/>
      <c r="B3007" s="999"/>
      <c r="C3007" s="474"/>
      <c r="D3007" s="474"/>
      <c r="E3007" s="474"/>
      <c r="F3007" s="474"/>
      <c r="G3007" s="696"/>
      <c r="H3007" s="474"/>
      <c r="I3007" s="696"/>
    </row>
    <row r="3008" spans="1:9" ht="12.75">
      <c r="A3008" s="998"/>
      <c r="B3008" s="999"/>
      <c r="C3008" s="474"/>
      <c r="D3008" s="474"/>
      <c r="E3008" s="474"/>
      <c r="F3008" s="474"/>
      <c r="G3008" s="696"/>
      <c r="H3008" s="474"/>
      <c r="I3008" s="696"/>
    </row>
    <row r="3009" spans="1:9" ht="12.75">
      <c r="A3009" s="998"/>
      <c r="B3009" s="999"/>
      <c r="C3009" s="474"/>
      <c r="D3009" s="474"/>
      <c r="E3009" s="474"/>
      <c r="F3009" s="474"/>
      <c r="G3009" s="696"/>
      <c r="H3009" s="474"/>
      <c r="I3009" s="696"/>
    </row>
    <row r="3010" spans="1:9" ht="12.75">
      <c r="A3010" s="998"/>
      <c r="B3010" s="999"/>
      <c r="C3010" s="474"/>
      <c r="D3010" s="474"/>
      <c r="E3010" s="474"/>
      <c r="F3010" s="474"/>
      <c r="G3010" s="696"/>
      <c r="H3010" s="474"/>
      <c r="I3010" s="696"/>
    </row>
    <row r="3011" spans="1:9" ht="12.75">
      <c r="A3011" s="998"/>
      <c r="B3011" s="999"/>
      <c r="C3011" s="474"/>
      <c r="D3011" s="474"/>
      <c r="E3011" s="474"/>
      <c r="F3011" s="474"/>
      <c r="G3011" s="696"/>
      <c r="H3011" s="474"/>
      <c r="I3011" s="696"/>
    </row>
    <row r="3012" spans="1:9" ht="12.75">
      <c r="A3012" s="998"/>
      <c r="B3012" s="999"/>
      <c r="C3012" s="474"/>
      <c r="D3012" s="474"/>
      <c r="E3012" s="474"/>
      <c r="F3012" s="474"/>
      <c r="G3012" s="696"/>
      <c r="H3012" s="474"/>
      <c r="I3012" s="696"/>
    </row>
    <row r="3013" spans="1:9" ht="12.75">
      <c r="A3013" s="998"/>
      <c r="B3013" s="999"/>
      <c r="C3013" s="474"/>
      <c r="D3013" s="474"/>
      <c r="E3013" s="474"/>
      <c r="F3013" s="474"/>
      <c r="G3013" s="696"/>
      <c r="H3013" s="474"/>
      <c r="I3013" s="696"/>
    </row>
    <row r="3014" spans="1:9" ht="12.75">
      <c r="A3014" s="998"/>
      <c r="B3014" s="999"/>
      <c r="C3014" s="474"/>
      <c r="D3014" s="474"/>
      <c r="E3014" s="474"/>
      <c r="F3014" s="474"/>
      <c r="G3014" s="696"/>
      <c r="H3014" s="474"/>
      <c r="I3014" s="696"/>
    </row>
    <row r="3015" spans="1:9" ht="12.75">
      <c r="A3015" s="998"/>
      <c r="B3015" s="999"/>
      <c r="C3015" s="474"/>
      <c r="D3015" s="474"/>
      <c r="E3015" s="474"/>
      <c r="F3015" s="474"/>
      <c r="G3015" s="696"/>
      <c r="H3015" s="474"/>
      <c r="I3015" s="696"/>
    </row>
    <row r="3016" spans="1:9" ht="12.75">
      <c r="A3016" s="998"/>
      <c r="B3016" s="999"/>
      <c r="C3016" s="474"/>
      <c r="D3016" s="474"/>
      <c r="E3016" s="474"/>
      <c r="F3016" s="474"/>
      <c r="G3016" s="696"/>
      <c r="H3016" s="474"/>
      <c r="I3016" s="696"/>
    </row>
    <row r="3017" spans="1:9" ht="12.75">
      <c r="A3017" s="998"/>
      <c r="B3017" s="999"/>
      <c r="C3017" s="474"/>
      <c r="D3017" s="474"/>
      <c r="E3017" s="474"/>
      <c r="F3017" s="474"/>
      <c r="G3017" s="696"/>
      <c r="H3017" s="474"/>
      <c r="I3017" s="696"/>
    </row>
    <row r="3018" spans="1:9" ht="12.75">
      <c r="A3018" s="998"/>
      <c r="B3018" s="999"/>
      <c r="C3018" s="474"/>
      <c r="D3018" s="474"/>
      <c r="E3018" s="474"/>
      <c r="F3018" s="474"/>
      <c r="G3018" s="696"/>
      <c r="H3018" s="474"/>
      <c r="I3018" s="696"/>
    </row>
    <row r="3019" spans="1:9" ht="12.75">
      <c r="A3019" s="998"/>
      <c r="B3019" s="999"/>
      <c r="C3019" s="474"/>
      <c r="D3019" s="474"/>
      <c r="E3019" s="474"/>
      <c r="F3019" s="474"/>
      <c r="G3019" s="696"/>
      <c r="H3019" s="474"/>
      <c r="I3019" s="696"/>
    </row>
    <row r="3020" spans="1:9" ht="12.75">
      <c r="A3020" s="998"/>
      <c r="B3020" s="999"/>
      <c r="C3020" s="474"/>
      <c r="D3020" s="474"/>
      <c r="E3020" s="474"/>
      <c r="F3020" s="474"/>
      <c r="G3020" s="696"/>
      <c r="H3020" s="474"/>
      <c r="I3020" s="696"/>
    </row>
    <row r="3021" spans="1:9" ht="12.75">
      <c r="A3021" s="998"/>
      <c r="B3021" s="999"/>
      <c r="C3021" s="474"/>
      <c r="D3021" s="474"/>
      <c r="E3021" s="474"/>
      <c r="F3021" s="474"/>
      <c r="G3021" s="696"/>
      <c r="H3021" s="474"/>
      <c r="I3021" s="696"/>
    </row>
    <row r="3022" spans="1:9" ht="12.75">
      <c r="A3022" s="998"/>
      <c r="B3022" s="999"/>
      <c r="C3022" s="474"/>
      <c r="D3022" s="474"/>
      <c r="E3022" s="474"/>
      <c r="F3022" s="474"/>
      <c r="G3022" s="696"/>
      <c r="H3022" s="474"/>
      <c r="I3022" s="696"/>
    </row>
    <row r="3023" spans="1:9" ht="12.75">
      <c r="A3023" s="998"/>
      <c r="B3023" s="999"/>
      <c r="C3023" s="474"/>
      <c r="D3023" s="474"/>
      <c r="E3023" s="474"/>
      <c r="F3023" s="474"/>
      <c r="G3023" s="696"/>
      <c r="H3023" s="474"/>
      <c r="I3023" s="696"/>
    </row>
    <row r="3024" spans="1:9" ht="12.75">
      <c r="A3024" s="998"/>
      <c r="B3024" s="999"/>
      <c r="C3024" s="474"/>
      <c r="D3024" s="474"/>
      <c r="E3024" s="474"/>
      <c r="F3024" s="474"/>
      <c r="G3024" s="696"/>
      <c r="H3024" s="474"/>
      <c r="I3024" s="696"/>
    </row>
    <row r="3025" spans="1:9" ht="12.75">
      <c r="A3025" s="998"/>
      <c r="B3025" s="999"/>
      <c r="C3025" s="474"/>
      <c r="D3025" s="474"/>
      <c r="E3025" s="474"/>
      <c r="F3025" s="474"/>
      <c r="G3025" s="696"/>
      <c r="H3025" s="474"/>
      <c r="I3025" s="696"/>
    </row>
    <row r="3026" spans="1:9" ht="12.75">
      <c r="A3026" s="998"/>
      <c r="B3026" s="999"/>
      <c r="C3026" s="474"/>
      <c r="D3026" s="474"/>
      <c r="E3026" s="474"/>
      <c r="F3026" s="474"/>
      <c r="G3026" s="696"/>
      <c r="H3026" s="474"/>
      <c r="I3026" s="696"/>
    </row>
    <row r="3027" spans="1:9" ht="12.75">
      <c r="A3027" s="998"/>
      <c r="B3027" s="999"/>
      <c r="C3027" s="474"/>
      <c r="D3027" s="474"/>
      <c r="E3027" s="474"/>
      <c r="F3027" s="474"/>
      <c r="G3027" s="696"/>
      <c r="H3027" s="474"/>
      <c r="I3027" s="696"/>
    </row>
    <row r="3028" spans="1:9" ht="12.75">
      <c r="A3028" s="998"/>
      <c r="B3028" s="999"/>
      <c r="C3028" s="474"/>
      <c r="D3028" s="474"/>
      <c r="E3028" s="474"/>
      <c r="F3028" s="474"/>
      <c r="G3028" s="696"/>
      <c r="H3028" s="474"/>
      <c r="I3028" s="696"/>
    </row>
    <row r="3029" spans="1:9" ht="12.75">
      <c r="A3029" s="998"/>
      <c r="B3029" s="999"/>
      <c r="C3029" s="474"/>
      <c r="D3029" s="474"/>
      <c r="E3029" s="474"/>
      <c r="F3029" s="474"/>
      <c r="G3029" s="696"/>
      <c r="H3029" s="474"/>
      <c r="I3029" s="696"/>
    </row>
    <row r="3030" spans="1:9" ht="12.75">
      <c r="A3030" s="998"/>
      <c r="B3030" s="999"/>
      <c r="C3030" s="474"/>
      <c r="D3030" s="474"/>
      <c r="E3030" s="474"/>
      <c r="F3030" s="474"/>
      <c r="G3030" s="696"/>
      <c r="H3030" s="474"/>
      <c r="I3030" s="696"/>
    </row>
    <row r="3031" spans="1:9" ht="12.75">
      <c r="A3031" s="998"/>
      <c r="B3031" s="999"/>
      <c r="C3031" s="474"/>
      <c r="D3031" s="474"/>
      <c r="E3031" s="474"/>
      <c r="F3031" s="474"/>
      <c r="G3031" s="696"/>
      <c r="H3031" s="474"/>
      <c r="I3031" s="696"/>
    </row>
    <row r="3032" spans="1:9" ht="12.75">
      <c r="A3032" s="998"/>
      <c r="B3032" s="999"/>
      <c r="C3032" s="474"/>
      <c r="D3032" s="474"/>
      <c r="E3032" s="474"/>
      <c r="F3032" s="474"/>
      <c r="G3032" s="696"/>
      <c r="H3032" s="474"/>
      <c r="I3032" s="696"/>
    </row>
    <row r="3033" spans="1:9" ht="12.75">
      <c r="A3033" s="998"/>
      <c r="B3033" s="999"/>
      <c r="C3033" s="474"/>
      <c r="D3033" s="474"/>
      <c r="E3033" s="474"/>
      <c r="F3033" s="474"/>
      <c r="G3033" s="696"/>
      <c r="H3033" s="474"/>
      <c r="I3033" s="696"/>
    </row>
    <row r="3034" spans="1:9" ht="12.75">
      <c r="A3034" s="998"/>
      <c r="B3034" s="999"/>
      <c r="C3034" s="474"/>
      <c r="D3034" s="474"/>
      <c r="E3034" s="474"/>
      <c r="F3034" s="474"/>
      <c r="G3034" s="696"/>
      <c r="H3034" s="474"/>
      <c r="I3034" s="696"/>
    </row>
    <row r="3035" spans="1:9" ht="12.75">
      <c r="A3035" s="998"/>
      <c r="B3035" s="999"/>
      <c r="C3035" s="474"/>
      <c r="D3035" s="474"/>
      <c r="E3035" s="474"/>
      <c r="F3035" s="474"/>
      <c r="G3035" s="696"/>
      <c r="H3035" s="474"/>
      <c r="I3035" s="696"/>
    </row>
    <row r="3036" spans="1:9" ht="12.75">
      <c r="A3036" s="998"/>
      <c r="B3036" s="999"/>
      <c r="C3036" s="474"/>
      <c r="D3036" s="474"/>
      <c r="E3036" s="474"/>
      <c r="F3036" s="474"/>
      <c r="G3036" s="696"/>
      <c r="H3036" s="474"/>
      <c r="I3036" s="696"/>
    </row>
    <row r="3037" spans="1:9" ht="12.75">
      <c r="A3037" s="998"/>
      <c r="B3037" s="999"/>
      <c r="C3037" s="474"/>
      <c r="D3037" s="474"/>
      <c r="E3037" s="474"/>
      <c r="F3037" s="474"/>
      <c r="G3037" s="696"/>
      <c r="H3037" s="474"/>
      <c r="I3037" s="696"/>
    </row>
    <row r="3038" spans="1:9" ht="12.75">
      <c r="A3038" s="998"/>
      <c r="B3038" s="999"/>
      <c r="C3038" s="474"/>
      <c r="D3038" s="474"/>
      <c r="E3038" s="474"/>
      <c r="F3038" s="474"/>
      <c r="G3038" s="696"/>
      <c r="H3038" s="474"/>
      <c r="I3038" s="696"/>
    </row>
    <row r="3039" spans="1:9" ht="12.75">
      <c r="A3039" s="998"/>
      <c r="B3039" s="999"/>
      <c r="C3039" s="474"/>
      <c r="D3039" s="474"/>
      <c r="E3039" s="474"/>
      <c r="F3039" s="474"/>
      <c r="G3039" s="696"/>
      <c r="H3039" s="474"/>
      <c r="I3039" s="696"/>
    </row>
    <row r="3040" spans="1:9" ht="12.75">
      <c r="A3040" s="998"/>
      <c r="B3040" s="999"/>
      <c r="C3040" s="474"/>
      <c r="D3040" s="474"/>
      <c r="E3040" s="474"/>
      <c r="F3040" s="474"/>
      <c r="G3040" s="696"/>
      <c r="H3040" s="474"/>
      <c r="I3040" s="696"/>
    </row>
    <row r="3041" spans="1:9" ht="12.75">
      <c r="A3041" s="998"/>
      <c r="B3041" s="999"/>
      <c r="C3041" s="474"/>
      <c r="D3041" s="474"/>
      <c r="E3041" s="474"/>
      <c r="F3041" s="474"/>
      <c r="G3041" s="696"/>
      <c r="H3041" s="474"/>
      <c r="I3041" s="696"/>
    </row>
    <row r="3042" spans="1:9" ht="12.75">
      <c r="A3042" s="998"/>
      <c r="B3042" s="999"/>
      <c r="C3042" s="474"/>
      <c r="D3042" s="474"/>
      <c r="E3042" s="474"/>
      <c r="F3042" s="474"/>
      <c r="G3042" s="696"/>
      <c r="H3042" s="474"/>
      <c r="I3042" s="696"/>
    </row>
    <row r="3043" spans="1:9" ht="12.75">
      <c r="A3043" s="998"/>
      <c r="B3043" s="999"/>
      <c r="C3043" s="474"/>
      <c r="D3043" s="474"/>
      <c r="E3043" s="474"/>
      <c r="F3043" s="474"/>
      <c r="G3043" s="696"/>
      <c r="H3043" s="474"/>
      <c r="I3043" s="696"/>
    </row>
    <row r="3044" spans="1:9" ht="12.75">
      <c r="A3044" s="998"/>
      <c r="B3044" s="999"/>
      <c r="C3044" s="474"/>
      <c r="D3044" s="474"/>
      <c r="E3044" s="474"/>
      <c r="F3044" s="474"/>
      <c r="G3044" s="696"/>
      <c r="H3044" s="474"/>
      <c r="I3044" s="696"/>
    </row>
    <row r="3045" spans="1:9" ht="12.75">
      <c r="A3045" s="998"/>
      <c r="B3045" s="999"/>
      <c r="C3045" s="474"/>
      <c r="D3045" s="474"/>
      <c r="E3045" s="474"/>
      <c r="F3045" s="474"/>
      <c r="G3045" s="696"/>
      <c r="H3045" s="474"/>
      <c r="I3045" s="696"/>
    </row>
    <row r="3046" spans="1:9" ht="12.75">
      <c r="A3046" s="998"/>
      <c r="B3046" s="999"/>
      <c r="C3046" s="474"/>
      <c r="D3046" s="474"/>
      <c r="E3046" s="474"/>
      <c r="F3046" s="474"/>
      <c r="G3046" s="696"/>
      <c r="H3046" s="474"/>
      <c r="I3046" s="696"/>
    </row>
    <row r="3047" spans="1:9" ht="12.75">
      <c r="A3047" s="998"/>
      <c r="B3047" s="999"/>
      <c r="C3047" s="474"/>
      <c r="D3047" s="474"/>
      <c r="E3047" s="474"/>
      <c r="F3047" s="474"/>
      <c r="G3047" s="696"/>
      <c r="H3047" s="474"/>
      <c r="I3047" s="696"/>
    </row>
    <row r="3048" spans="1:9" ht="12.75">
      <c r="A3048" s="998"/>
      <c r="B3048" s="999"/>
      <c r="C3048" s="474"/>
      <c r="D3048" s="474"/>
      <c r="E3048" s="474"/>
      <c r="F3048" s="474"/>
      <c r="G3048" s="696"/>
      <c r="H3048" s="474"/>
      <c r="I3048" s="696"/>
    </row>
    <row r="3049" spans="1:9" ht="12.75">
      <c r="A3049" s="998"/>
      <c r="B3049" s="999"/>
      <c r="C3049" s="474"/>
      <c r="D3049" s="474"/>
      <c r="E3049" s="474"/>
      <c r="F3049" s="474"/>
      <c r="G3049" s="696"/>
      <c r="H3049" s="474"/>
      <c r="I3049" s="696"/>
    </row>
    <row r="3050" spans="1:9" ht="12.75">
      <c r="A3050" s="998"/>
      <c r="B3050" s="999"/>
      <c r="C3050" s="474"/>
      <c r="D3050" s="474"/>
      <c r="E3050" s="474"/>
      <c r="F3050" s="474"/>
      <c r="G3050" s="696"/>
      <c r="H3050" s="474"/>
      <c r="I3050" s="696"/>
    </row>
    <row r="3051" spans="1:9" ht="12.75">
      <c r="A3051" s="998"/>
      <c r="B3051" s="999"/>
      <c r="C3051" s="474"/>
      <c r="D3051" s="474"/>
      <c r="E3051" s="474"/>
      <c r="F3051" s="474"/>
      <c r="G3051" s="696"/>
      <c r="H3051" s="474"/>
      <c r="I3051" s="696"/>
    </row>
    <row r="3052" spans="1:9" ht="12.75">
      <c r="A3052" s="998"/>
      <c r="B3052" s="999"/>
      <c r="C3052" s="474"/>
      <c r="D3052" s="474"/>
      <c r="E3052" s="474"/>
      <c r="F3052" s="474"/>
      <c r="G3052" s="696"/>
      <c r="H3052" s="474"/>
      <c r="I3052" s="696"/>
    </row>
    <row r="3053" spans="1:9" ht="12.75">
      <c r="A3053" s="998"/>
      <c r="B3053" s="999"/>
      <c r="C3053" s="474"/>
      <c r="D3053" s="474"/>
      <c r="E3053" s="474"/>
      <c r="F3053" s="474"/>
      <c r="G3053" s="696"/>
      <c r="H3053" s="474"/>
      <c r="I3053" s="696"/>
    </row>
    <row r="3054" spans="1:9" ht="12.75">
      <c r="A3054" s="998"/>
      <c r="B3054" s="999"/>
      <c r="C3054" s="474"/>
      <c r="D3054" s="474"/>
      <c r="E3054" s="474"/>
      <c r="F3054" s="474"/>
      <c r="G3054" s="696"/>
      <c r="H3054" s="474"/>
      <c r="I3054" s="696"/>
    </row>
    <row r="3055" spans="1:9" ht="12.75">
      <c r="A3055" s="998"/>
      <c r="B3055" s="999"/>
      <c r="C3055" s="474"/>
      <c r="D3055" s="474"/>
      <c r="E3055" s="474"/>
      <c r="F3055" s="474"/>
      <c r="G3055" s="696"/>
      <c r="H3055" s="474"/>
      <c r="I3055" s="696"/>
    </row>
    <row r="3056" spans="1:9" ht="12.75">
      <c r="A3056" s="998"/>
      <c r="B3056" s="999"/>
      <c r="C3056" s="474"/>
      <c r="D3056" s="474"/>
      <c r="E3056" s="474"/>
      <c r="F3056" s="474"/>
      <c r="G3056" s="696"/>
      <c r="H3056" s="474"/>
      <c r="I3056" s="696"/>
    </row>
    <row r="3057" spans="1:9" ht="12.75">
      <c r="A3057" s="998"/>
      <c r="B3057" s="999"/>
      <c r="C3057" s="474"/>
      <c r="D3057" s="474"/>
      <c r="E3057" s="474"/>
      <c r="F3057" s="474"/>
      <c r="G3057" s="696"/>
      <c r="H3057" s="474"/>
      <c r="I3057" s="696"/>
    </row>
    <row r="3058" spans="1:9" ht="12.75">
      <c r="A3058" s="998"/>
      <c r="B3058" s="999"/>
      <c r="C3058" s="474"/>
      <c r="D3058" s="474"/>
      <c r="E3058" s="474"/>
      <c r="F3058" s="474"/>
      <c r="G3058" s="696"/>
      <c r="H3058" s="474"/>
      <c r="I3058" s="696"/>
    </row>
    <row r="3059" spans="1:9" ht="12.75">
      <c r="A3059" s="998"/>
      <c r="B3059" s="999"/>
      <c r="C3059" s="474"/>
      <c r="D3059" s="474"/>
      <c r="E3059" s="474"/>
      <c r="F3059" s="474"/>
      <c r="G3059" s="696"/>
      <c r="H3059" s="474"/>
      <c r="I3059" s="696"/>
    </row>
    <row r="3060" spans="1:9" ht="12.75">
      <c r="A3060" s="998"/>
      <c r="B3060" s="999"/>
      <c r="C3060" s="474"/>
      <c r="D3060" s="474"/>
      <c r="E3060" s="474"/>
      <c r="F3060" s="474"/>
      <c r="G3060" s="696"/>
      <c r="H3060" s="474"/>
      <c r="I3060" s="696"/>
    </row>
    <row r="3061" spans="1:9" ht="12.75">
      <c r="A3061" s="998"/>
      <c r="B3061" s="999"/>
      <c r="C3061" s="474"/>
      <c r="D3061" s="474"/>
      <c r="E3061" s="474"/>
      <c r="F3061" s="474"/>
      <c r="G3061" s="696"/>
      <c r="H3061" s="474"/>
      <c r="I3061" s="696"/>
    </row>
    <row r="3062" spans="1:9" ht="12.75">
      <c r="A3062" s="998"/>
      <c r="B3062" s="999"/>
      <c r="C3062" s="474"/>
      <c r="D3062" s="474"/>
      <c r="E3062" s="474"/>
      <c r="F3062" s="474"/>
      <c r="G3062" s="696"/>
      <c r="H3062" s="474"/>
      <c r="I3062" s="696"/>
    </row>
    <row r="3063" spans="1:9" ht="12.75">
      <c r="A3063" s="998"/>
      <c r="B3063" s="999"/>
      <c r="C3063" s="474"/>
      <c r="D3063" s="474"/>
      <c r="E3063" s="474"/>
      <c r="F3063" s="474"/>
      <c r="G3063" s="696"/>
      <c r="H3063" s="474"/>
      <c r="I3063" s="696"/>
    </row>
    <row r="3064" spans="1:9" ht="12.75">
      <c r="A3064" s="998"/>
      <c r="B3064" s="999"/>
      <c r="C3064" s="474"/>
      <c r="D3064" s="474"/>
      <c r="E3064" s="474"/>
      <c r="F3064" s="474"/>
      <c r="G3064" s="696"/>
      <c r="H3064" s="474"/>
      <c r="I3064" s="696"/>
    </row>
    <row r="3065" spans="1:9" ht="12.75">
      <c r="A3065" s="998"/>
      <c r="B3065" s="999"/>
      <c r="C3065" s="474"/>
      <c r="D3065" s="474"/>
      <c r="E3065" s="474"/>
      <c r="F3065" s="474"/>
      <c r="G3065" s="696"/>
      <c r="H3065" s="474"/>
      <c r="I3065" s="696"/>
    </row>
    <row r="3066" spans="1:9" ht="12.75">
      <c r="A3066" s="998"/>
      <c r="B3066" s="999"/>
      <c r="C3066" s="474"/>
      <c r="D3066" s="474"/>
      <c r="E3066" s="474"/>
      <c r="F3066" s="474"/>
      <c r="G3066" s="696"/>
      <c r="H3066" s="474"/>
      <c r="I3066" s="696"/>
    </row>
    <row r="3067" spans="1:9" ht="12.75">
      <c r="A3067" s="998"/>
      <c r="B3067" s="999"/>
      <c r="C3067" s="474"/>
      <c r="D3067" s="474"/>
      <c r="E3067" s="474"/>
      <c r="F3067" s="474"/>
      <c r="G3067" s="696"/>
      <c r="H3067" s="474"/>
      <c r="I3067" s="696"/>
    </row>
    <row r="3068" spans="1:9" ht="12.75">
      <c r="A3068" s="998"/>
      <c r="B3068" s="999"/>
      <c r="C3068" s="474"/>
      <c r="D3068" s="474"/>
      <c r="E3068" s="474"/>
      <c r="F3068" s="474"/>
      <c r="G3068" s="696"/>
      <c r="H3068" s="474"/>
      <c r="I3068" s="696"/>
    </row>
    <row r="3069" spans="1:9" ht="12.75">
      <c r="A3069" s="998"/>
      <c r="B3069" s="999"/>
      <c r="C3069" s="474"/>
      <c r="D3069" s="474"/>
      <c r="E3069" s="474"/>
      <c r="F3069" s="474"/>
      <c r="G3069" s="696"/>
      <c r="H3069" s="474"/>
      <c r="I3069" s="696"/>
    </row>
    <row r="3070" spans="1:9" ht="12.75">
      <c r="A3070" s="998"/>
      <c r="B3070" s="999"/>
      <c r="C3070" s="474"/>
      <c r="D3070" s="474"/>
      <c r="E3070" s="474"/>
      <c r="F3070" s="474"/>
      <c r="G3070" s="696"/>
      <c r="H3070" s="474"/>
      <c r="I3070" s="696"/>
    </row>
    <row r="3071" spans="1:9" ht="12.75">
      <c r="A3071" s="998"/>
      <c r="B3071" s="999"/>
      <c r="C3071" s="474"/>
      <c r="D3071" s="474"/>
      <c r="E3071" s="474"/>
      <c r="F3071" s="474"/>
      <c r="G3071" s="696"/>
      <c r="H3071" s="474"/>
      <c r="I3071" s="696"/>
    </row>
    <row r="3072" spans="1:9" ht="12.75">
      <c r="A3072" s="998"/>
      <c r="B3072" s="999"/>
      <c r="C3072" s="474"/>
      <c r="D3072" s="474"/>
      <c r="E3072" s="474"/>
      <c r="F3072" s="474"/>
      <c r="G3072" s="696"/>
      <c r="H3072" s="474"/>
      <c r="I3072" s="696"/>
    </row>
    <row r="3073" spans="1:9" ht="12.75">
      <c r="A3073" s="998"/>
      <c r="B3073" s="999"/>
      <c r="C3073" s="474"/>
      <c r="D3073" s="474"/>
      <c r="E3073" s="474"/>
      <c r="F3073" s="474"/>
      <c r="G3073" s="696"/>
      <c r="H3073" s="474"/>
      <c r="I3073" s="696"/>
    </row>
    <row r="3074" spans="1:9" ht="12.75">
      <c r="A3074" s="998"/>
      <c r="B3074" s="999"/>
      <c r="C3074" s="474"/>
      <c r="D3074" s="474"/>
      <c r="E3074" s="474"/>
      <c r="F3074" s="474"/>
      <c r="G3074" s="696"/>
      <c r="H3074" s="474"/>
      <c r="I3074" s="696"/>
    </row>
    <row r="3075" spans="1:9" ht="12.75">
      <c r="A3075" s="998"/>
      <c r="B3075" s="999"/>
      <c r="C3075" s="474"/>
      <c r="D3075" s="474"/>
      <c r="E3075" s="474"/>
      <c r="F3075" s="474"/>
      <c r="G3075" s="696"/>
      <c r="H3075" s="474"/>
      <c r="I3075" s="696"/>
    </row>
    <row r="3076" spans="1:9" ht="12.75">
      <c r="A3076" s="998"/>
      <c r="B3076" s="999"/>
      <c r="C3076" s="474"/>
      <c r="D3076" s="474"/>
      <c r="E3076" s="474"/>
      <c r="F3076" s="474"/>
      <c r="G3076" s="696"/>
      <c r="H3076" s="474"/>
      <c r="I3076" s="696"/>
    </row>
    <row r="3077" spans="1:9" ht="12.75">
      <c r="A3077" s="998"/>
      <c r="B3077" s="999"/>
      <c r="C3077" s="474"/>
      <c r="D3077" s="474"/>
      <c r="E3077" s="474"/>
      <c r="F3077" s="474"/>
      <c r="G3077" s="696"/>
      <c r="H3077" s="474"/>
      <c r="I3077" s="696"/>
    </row>
    <row r="3078" spans="1:9" ht="12.75">
      <c r="A3078" s="998"/>
      <c r="B3078" s="999"/>
      <c r="C3078" s="474"/>
      <c r="D3078" s="474"/>
      <c r="E3078" s="474"/>
      <c r="F3078" s="474"/>
      <c r="G3078" s="696"/>
      <c r="H3078" s="474"/>
      <c r="I3078" s="696"/>
    </row>
    <row r="3079" spans="1:9" ht="12.75">
      <c r="A3079" s="998"/>
      <c r="B3079" s="999"/>
      <c r="C3079" s="474"/>
      <c r="D3079" s="474"/>
      <c r="E3079" s="474"/>
      <c r="F3079" s="474"/>
      <c r="G3079" s="696"/>
      <c r="H3079" s="474"/>
      <c r="I3079" s="696"/>
    </row>
    <row r="3080" spans="1:9" ht="12.75">
      <c r="A3080" s="998"/>
      <c r="B3080" s="999"/>
      <c r="C3080" s="474"/>
      <c r="D3080" s="474"/>
      <c r="E3080" s="474"/>
      <c r="F3080" s="474"/>
      <c r="G3080" s="696"/>
      <c r="H3080" s="474"/>
      <c r="I3080" s="696"/>
    </row>
    <row r="3081" spans="1:9" ht="12.75">
      <c r="A3081" s="998"/>
      <c r="B3081" s="999"/>
      <c r="C3081" s="474"/>
      <c r="D3081" s="474"/>
      <c r="E3081" s="474"/>
      <c r="F3081" s="474"/>
      <c r="G3081" s="696"/>
      <c r="H3081" s="474"/>
      <c r="I3081" s="696"/>
    </row>
    <row r="3082" spans="1:9" ht="12.75">
      <c r="A3082" s="998"/>
      <c r="B3082" s="999"/>
      <c r="C3082" s="474"/>
      <c r="D3082" s="474"/>
      <c r="E3082" s="474"/>
      <c r="F3082" s="474"/>
      <c r="G3082" s="696"/>
      <c r="H3082" s="474"/>
      <c r="I3082" s="696"/>
    </row>
    <row r="3083" spans="1:9" ht="12.75">
      <c r="A3083" s="998"/>
      <c r="B3083" s="999"/>
      <c r="C3083" s="474"/>
      <c r="D3083" s="474"/>
      <c r="E3083" s="474"/>
      <c r="F3083" s="474"/>
      <c r="G3083" s="696"/>
      <c r="H3083" s="474"/>
      <c r="I3083" s="696"/>
    </row>
    <row r="3084" spans="1:9" ht="12.75">
      <c r="A3084" s="998"/>
      <c r="B3084" s="999"/>
      <c r="C3084" s="474"/>
      <c r="D3084" s="474"/>
      <c r="E3084" s="474"/>
      <c r="F3084" s="474"/>
      <c r="G3084" s="696"/>
      <c r="H3084" s="474"/>
      <c r="I3084" s="696"/>
    </row>
    <row r="3085" spans="1:9" ht="12.75">
      <c r="A3085" s="998"/>
      <c r="B3085" s="999"/>
      <c r="C3085" s="474"/>
      <c r="D3085" s="474"/>
      <c r="E3085" s="474"/>
      <c r="F3085" s="474"/>
      <c r="G3085" s="696"/>
      <c r="H3085" s="474"/>
      <c r="I3085" s="696"/>
    </row>
    <row r="3086" spans="1:9" ht="12.75">
      <c r="A3086" s="998"/>
      <c r="B3086" s="999"/>
      <c r="C3086" s="474"/>
      <c r="D3086" s="474"/>
      <c r="E3086" s="474"/>
      <c r="F3086" s="474"/>
      <c r="G3086" s="696"/>
      <c r="H3086" s="474"/>
      <c r="I3086" s="696"/>
    </row>
    <row r="3087" spans="1:9" ht="12.75">
      <c r="A3087" s="998"/>
      <c r="B3087" s="999"/>
      <c r="C3087" s="474"/>
      <c r="D3087" s="474"/>
      <c r="E3087" s="474"/>
      <c r="F3087" s="474"/>
      <c r="G3087" s="696"/>
      <c r="H3087" s="474"/>
      <c r="I3087" s="696"/>
    </row>
    <row r="3088" spans="1:9" ht="12.75">
      <c r="A3088" s="998"/>
      <c r="B3088" s="999"/>
      <c r="C3088" s="474"/>
      <c r="D3088" s="474"/>
      <c r="E3088" s="474"/>
      <c r="F3088" s="474"/>
      <c r="G3088" s="696"/>
      <c r="H3088" s="474"/>
      <c r="I3088" s="696"/>
    </row>
    <row r="3089" spans="1:9" ht="12.75">
      <c r="A3089" s="998"/>
      <c r="B3089" s="999"/>
      <c r="C3089" s="474"/>
      <c r="D3089" s="474"/>
      <c r="E3089" s="474"/>
      <c r="F3089" s="474"/>
      <c r="G3089" s="696"/>
      <c r="H3089" s="474"/>
      <c r="I3089" s="696"/>
    </row>
    <row r="3090" spans="1:9" ht="12.75">
      <c r="A3090" s="998"/>
      <c r="B3090" s="999"/>
      <c r="C3090" s="474"/>
      <c r="D3090" s="474"/>
      <c r="E3090" s="474"/>
      <c r="F3090" s="474"/>
      <c r="G3090" s="696"/>
      <c r="H3090" s="474"/>
      <c r="I3090" s="696"/>
    </row>
    <row r="3091" spans="1:9" ht="12.75">
      <c r="A3091" s="998"/>
      <c r="B3091" s="999"/>
      <c r="C3091" s="474"/>
      <c r="D3091" s="474"/>
      <c r="E3091" s="474"/>
      <c r="F3091" s="474"/>
      <c r="G3091" s="696"/>
      <c r="H3091" s="474"/>
      <c r="I3091" s="696"/>
    </row>
    <row r="3092" spans="1:9" ht="12.75">
      <c r="A3092" s="998"/>
      <c r="B3092" s="999"/>
      <c r="C3092" s="474"/>
      <c r="D3092" s="474"/>
      <c r="E3092" s="474"/>
      <c r="F3092" s="474"/>
      <c r="G3092" s="696"/>
      <c r="H3092" s="474"/>
      <c r="I3092" s="696"/>
    </row>
    <row r="3093" spans="1:9" ht="12.75">
      <c r="A3093" s="998"/>
      <c r="B3093" s="999"/>
      <c r="C3093" s="474"/>
      <c r="D3093" s="474"/>
      <c r="E3093" s="474"/>
      <c r="F3093" s="474"/>
      <c r="G3093" s="696"/>
      <c r="H3093" s="474"/>
      <c r="I3093" s="696"/>
    </row>
    <row r="3094" spans="1:9" ht="12.75">
      <c r="A3094" s="998"/>
      <c r="B3094" s="999"/>
      <c r="C3094" s="474"/>
      <c r="D3094" s="474"/>
      <c r="E3094" s="474"/>
      <c r="F3094" s="474"/>
      <c r="G3094" s="696"/>
      <c r="H3094" s="474"/>
      <c r="I3094" s="696"/>
    </row>
    <row r="3095" spans="1:9" ht="12.75">
      <c r="A3095" s="998"/>
      <c r="B3095" s="999"/>
      <c r="C3095" s="474"/>
      <c r="D3095" s="474"/>
      <c r="E3095" s="474"/>
      <c r="F3095" s="474"/>
      <c r="G3095" s="696"/>
      <c r="H3095" s="474"/>
      <c r="I3095" s="696"/>
    </row>
    <row r="3096" spans="1:9" ht="12.75">
      <c r="A3096" s="998"/>
      <c r="B3096" s="999"/>
      <c r="C3096" s="474"/>
      <c r="D3096" s="474"/>
      <c r="E3096" s="474"/>
      <c r="F3096" s="474"/>
      <c r="G3096" s="696"/>
      <c r="H3096" s="474"/>
      <c r="I3096" s="696"/>
    </row>
    <row r="3097" spans="1:9" ht="12.75">
      <c r="A3097" s="998"/>
      <c r="B3097" s="999"/>
      <c r="C3097" s="474"/>
      <c r="D3097" s="474"/>
      <c r="E3097" s="474"/>
      <c r="F3097" s="474"/>
      <c r="G3097" s="696"/>
      <c r="H3097" s="474"/>
      <c r="I3097" s="696"/>
    </row>
    <row r="3098" spans="1:9" ht="12.75">
      <c r="A3098" s="998"/>
      <c r="B3098" s="999"/>
      <c r="C3098" s="474"/>
      <c r="D3098" s="474"/>
      <c r="E3098" s="474"/>
      <c r="F3098" s="474"/>
      <c r="G3098" s="696"/>
      <c r="H3098" s="474"/>
      <c r="I3098" s="696"/>
    </row>
    <row r="3099" spans="1:9" ht="12.75">
      <c r="A3099" s="998"/>
      <c r="B3099" s="999"/>
      <c r="C3099" s="474"/>
      <c r="D3099" s="474"/>
      <c r="E3099" s="474"/>
      <c r="F3099" s="474"/>
      <c r="G3099" s="696"/>
      <c r="H3099" s="474"/>
      <c r="I3099" s="696"/>
    </row>
    <row r="3100" spans="1:9" ht="12.75">
      <c r="A3100" s="998"/>
      <c r="B3100" s="999"/>
      <c r="C3100" s="474"/>
      <c r="D3100" s="474"/>
      <c r="E3100" s="474"/>
      <c r="F3100" s="474"/>
      <c r="G3100" s="696"/>
      <c r="H3100" s="474"/>
      <c r="I3100" s="696"/>
    </row>
    <row r="3101" spans="1:9" ht="12.75">
      <c r="A3101" s="998"/>
      <c r="B3101" s="999"/>
      <c r="C3101" s="474"/>
      <c r="D3101" s="474"/>
      <c r="E3101" s="474"/>
      <c r="F3101" s="474"/>
      <c r="G3101" s="696"/>
      <c r="H3101" s="474"/>
      <c r="I3101" s="696"/>
    </row>
    <row r="3102" spans="1:9" ht="12.75">
      <c r="A3102" s="998"/>
      <c r="B3102" s="999"/>
      <c r="C3102" s="474"/>
      <c r="D3102" s="474"/>
      <c r="E3102" s="474"/>
      <c r="F3102" s="474"/>
      <c r="G3102" s="696"/>
      <c r="H3102" s="474"/>
      <c r="I3102" s="696"/>
    </row>
    <row r="3103" spans="1:9" ht="12.75">
      <c r="A3103" s="998"/>
      <c r="B3103" s="999"/>
      <c r="C3103" s="474"/>
      <c r="D3103" s="474"/>
      <c r="E3103" s="474"/>
      <c r="F3103" s="474"/>
      <c r="G3103" s="696"/>
      <c r="H3103" s="474"/>
      <c r="I3103" s="696"/>
    </row>
    <row r="3104" spans="1:9" ht="12.75">
      <c r="A3104" s="998"/>
      <c r="B3104" s="999"/>
      <c r="C3104" s="474"/>
      <c r="D3104" s="474"/>
      <c r="E3104" s="474"/>
      <c r="F3104" s="474"/>
      <c r="G3104" s="696"/>
      <c r="H3104" s="474"/>
      <c r="I3104" s="696"/>
    </row>
    <row r="3105" spans="1:9" ht="12.75">
      <c r="A3105" s="998"/>
      <c r="B3105" s="999"/>
      <c r="C3105" s="474"/>
      <c r="D3105" s="474"/>
      <c r="E3105" s="474"/>
      <c r="F3105" s="474"/>
      <c r="G3105" s="696"/>
      <c r="H3105" s="474"/>
      <c r="I3105" s="696"/>
    </row>
    <row r="3106" spans="1:9" ht="12.75">
      <c r="A3106" s="998"/>
      <c r="B3106" s="999"/>
      <c r="C3106" s="474"/>
      <c r="D3106" s="474"/>
      <c r="E3106" s="474"/>
      <c r="F3106" s="474"/>
      <c r="G3106" s="696"/>
      <c r="H3106" s="474"/>
      <c r="I3106" s="696"/>
    </row>
    <row r="3107" spans="1:9" ht="12.75">
      <c r="A3107" s="998"/>
      <c r="B3107" s="999"/>
      <c r="C3107" s="474"/>
      <c r="D3107" s="474"/>
      <c r="E3107" s="474"/>
      <c r="F3107" s="474"/>
      <c r="G3107" s="696"/>
      <c r="H3107" s="474"/>
      <c r="I3107" s="696"/>
    </row>
    <row r="3108" spans="1:9" ht="12.75">
      <c r="A3108" s="998"/>
      <c r="B3108" s="999"/>
      <c r="C3108" s="474"/>
      <c r="D3108" s="474"/>
      <c r="E3108" s="474"/>
      <c r="F3108" s="474"/>
      <c r="G3108" s="696"/>
      <c r="H3108" s="474"/>
      <c r="I3108" s="696"/>
    </row>
    <row r="3109" spans="1:9" ht="12.75">
      <c r="A3109" s="998"/>
      <c r="B3109" s="999"/>
      <c r="C3109" s="474"/>
      <c r="D3109" s="474"/>
      <c r="E3109" s="474"/>
      <c r="F3109" s="474"/>
      <c r="G3109" s="696"/>
      <c r="H3109" s="474"/>
      <c r="I3109" s="696"/>
    </row>
    <row r="3110" spans="1:9" ht="12.75">
      <c r="A3110" s="998"/>
      <c r="B3110" s="999"/>
      <c r="C3110" s="474"/>
      <c r="D3110" s="474"/>
      <c r="E3110" s="474"/>
      <c r="F3110" s="474"/>
      <c r="G3110" s="696"/>
      <c r="H3110" s="474"/>
      <c r="I3110" s="696"/>
    </row>
    <row r="3111" spans="1:9" ht="12.75">
      <c r="A3111" s="998"/>
      <c r="B3111" s="999"/>
      <c r="C3111" s="474"/>
      <c r="D3111" s="474"/>
      <c r="E3111" s="474"/>
      <c r="F3111" s="474"/>
      <c r="G3111" s="696"/>
      <c r="H3111" s="474"/>
      <c r="I3111" s="696"/>
    </row>
    <row r="3112" spans="1:9" ht="12.75">
      <c r="A3112" s="998"/>
      <c r="B3112" s="999"/>
      <c r="C3112" s="474"/>
      <c r="D3112" s="474"/>
      <c r="E3112" s="474"/>
      <c r="F3112" s="474"/>
      <c r="G3112" s="696"/>
      <c r="H3112" s="474"/>
      <c r="I3112" s="696"/>
    </row>
    <row r="3113" spans="1:9" ht="12.75">
      <c r="A3113" s="998"/>
      <c r="B3113" s="999"/>
      <c r="C3113" s="474"/>
      <c r="D3113" s="474"/>
      <c r="E3113" s="474"/>
      <c r="F3113" s="474"/>
      <c r="G3113" s="696"/>
      <c r="H3113" s="474"/>
      <c r="I3113" s="696"/>
    </row>
    <row r="3114" spans="1:9" ht="12.75">
      <c r="A3114" s="998"/>
      <c r="B3114" s="999"/>
      <c r="C3114" s="474"/>
      <c r="D3114" s="474"/>
      <c r="E3114" s="474"/>
      <c r="F3114" s="474"/>
      <c r="G3114" s="696"/>
      <c r="H3114" s="474"/>
      <c r="I3114" s="696"/>
    </row>
    <row r="3115" spans="1:9" ht="12.75">
      <c r="A3115" s="998"/>
      <c r="B3115" s="999"/>
      <c r="C3115" s="474"/>
      <c r="D3115" s="474"/>
      <c r="E3115" s="474"/>
      <c r="F3115" s="474"/>
      <c r="G3115" s="696"/>
      <c r="H3115" s="474"/>
      <c r="I3115" s="696"/>
    </row>
    <row r="3116" spans="1:9" ht="12.75">
      <c r="A3116" s="998"/>
      <c r="B3116" s="999"/>
      <c r="C3116" s="474"/>
      <c r="D3116" s="474"/>
      <c r="E3116" s="474"/>
      <c r="F3116" s="474"/>
      <c r="G3116" s="696"/>
      <c r="H3116" s="474"/>
      <c r="I3116" s="696"/>
    </row>
    <row r="3117" spans="1:9" ht="12.75">
      <c r="A3117" s="998"/>
      <c r="B3117" s="999"/>
      <c r="C3117" s="474"/>
      <c r="D3117" s="474"/>
      <c r="E3117" s="474"/>
      <c r="F3117" s="474"/>
      <c r="G3117" s="696"/>
      <c r="H3117" s="474"/>
      <c r="I3117" s="696"/>
    </row>
    <row r="3118" spans="1:9" ht="12.75">
      <c r="A3118" s="998"/>
      <c r="B3118" s="999"/>
      <c r="C3118" s="474"/>
      <c r="D3118" s="474"/>
      <c r="E3118" s="474"/>
      <c r="F3118" s="474"/>
      <c r="G3118" s="696"/>
      <c r="H3118" s="474"/>
      <c r="I3118" s="696"/>
    </row>
    <row r="3119" spans="1:9" ht="12.75">
      <c r="A3119" s="998"/>
      <c r="B3119" s="999"/>
      <c r="C3119" s="474"/>
      <c r="D3119" s="474"/>
      <c r="E3119" s="474"/>
      <c r="F3119" s="474"/>
      <c r="G3119" s="696"/>
      <c r="H3119" s="474"/>
      <c r="I3119" s="696"/>
    </row>
    <row r="3120" spans="1:9" ht="12.75">
      <c r="A3120" s="998"/>
      <c r="B3120" s="999"/>
      <c r="C3120" s="474"/>
      <c r="D3120" s="474"/>
      <c r="E3120" s="474"/>
      <c r="F3120" s="474"/>
      <c r="G3120" s="696"/>
      <c r="H3120" s="474"/>
      <c r="I3120" s="696"/>
    </row>
    <row r="3121" spans="1:9" ht="12.75">
      <c r="A3121" s="998"/>
      <c r="B3121" s="999"/>
      <c r="C3121" s="474"/>
      <c r="D3121" s="474"/>
      <c r="E3121" s="474"/>
      <c r="F3121" s="474"/>
      <c r="G3121" s="696"/>
      <c r="H3121" s="474"/>
      <c r="I3121" s="696"/>
    </row>
    <row r="3122" spans="1:9" ht="12.75">
      <c r="A3122" s="998"/>
      <c r="B3122" s="999"/>
      <c r="C3122" s="474"/>
      <c r="D3122" s="474"/>
      <c r="E3122" s="474"/>
      <c r="F3122" s="474"/>
      <c r="G3122" s="696"/>
      <c r="H3122" s="474"/>
      <c r="I3122" s="696"/>
    </row>
    <row r="3123" spans="1:9" ht="12.75">
      <c r="A3123" s="998"/>
      <c r="B3123" s="999"/>
      <c r="C3123" s="474"/>
      <c r="D3123" s="474"/>
      <c r="E3123" s="474"/>
      <c r="F3123" s="474"/>
      <c r="G3123" s="696"/>
      <c r="H3123" s="474"/>
      <c r="I3123" s="696"/>
    </row>
    <row r="3124" spans="1:9" ht="12.75">
      <c r="A3124" s="998"/>
      <c r="B3124" s="999"/>
      <c r="C3124" s="474"/>
      <c r="D3124" s="474"/>
      <c r="E3124" s="474"/>
      <c r="F3124" s="474"/>
      <c r="G3124" s="696"/>
      <c r="H3124" s="474"/>
      <c r="I3124" s="696"/>
    </row>
    <row r="3125" spans="1:9" ht="12.75">
      <c r="A3125" s="998"/>
      <c r="B3125" s="999"/>
      <c r="C3125" s="474"/>
      <c r="D3125" s="474"/>
      <c r="E3125" s="474"/>
      <c r="F3125" s="474"/>
      <c r="G3125" s="696"/>
      <c r="H3125" s="474"/>
      <c r="I3125" s="696"/>
    </row>
    <row r="3126" spans="1:9" ht="12.75">
      <c r="A3126" s="998"/>
      <c r="B3126" s="999"/>
      <c r="C3126" s="474"/>
      <c r="D3126" s="474"/>
      <c r="E3126" s="474"/>
      <c r="F3126" s="474"/>
      <c r="G3126" s="696"/>
      <c r="H3126" s="474"/>
      <c r="I3126" s="696"/>
    </row>
    <row r="3127" spans="1:9" ht="12.75">
      <c r="A3127" s="998"/>
      <c r="B3127" s="999"/>
      <c r="C3127" s="474"/>
      <c r="D3127" s="474"/>
      <c r="E3127" s="474"/>
      <c r="F3127" s="474"/>
      <c r="G3127" s="696"/>
      <c r="H3127" s="474"/>
      <c r="I3127" s="696"/>
    </row>
    <row r="3128" spans="1:9" ht="12.75">
      <c r="A3128" s="998"/>
      <c r="B3128" s="999"/>
      <c r="C3128" s="474"/>
      <c r="D3128" s="474"/>
      <c r="E3128" s="474"/>
      <c r="F3128" s="474"/>
      <c r="G3128" s="696"/>
      <c r="H3128" s="474"/>
      <c r="I3128" s="696"/>
    </row>
    <row r="3129" spans="1:9" ht="12.75">
      <c r="A3129" s="998"/>
      <c r="B3129" s="999"/>
      <c r="C3129" s="474"/>
      <c r="D3129" s="474"/>
      <c r="E3129" s="474"/>
      <c r="F3129" s="474"/>
      <c r="G3129" s="696"/>
      <c r="H3129" s="474"/>
      <c r="I3129" s="696"/>
    </row>
    <row r="3130" spans="1:9" ht="12.75">
      <c r="A3130" s="998"/>
      <c r="B3130" s="999"/>
      <c r="C3130" s="474"/>
      <c r="D3130" s="474"/>
      <c r="E3130" s="474"/>
      <c r="F3130" s="474"/>
      <c r="G3130" s="696"/>
      <c r="H3130" s="474"/>
      <c r="I3130" s="696"/>
    </row>
    <row r="3131" spans="1:9" ht="12.75">
      <c r="A3131" s="998"/>
      <c r="B3131" s="999"/>
      <c r="C3131" s="474"/>
      <c r="D3131" s="474"/>
      <c r="E3131" s="474"/>
      <c r="F3131" s="474"/>
      <c r="G3131" s="696"/>
      <c r="H3131" s="474"/>
      <c r="I3131" s="696"/>
    </row>
    <row r="3132" spans="1:9" ht="12.75">
      <c r="A3132" s="998"/>
      <c r="B3132" s="999"/>
      <c r="C3132" s="474"/>
      <c r="D3132" s="474"/>
      <c r="E3132" s="474"/>
      <c r="F3132" s="474"/>
      <c r="G3132" s="696"/>
      <c r="H3132" s="474"/>
      <c r="I3132" s="696"/>
    </row>
    <row r="3133" spans="1:9" ht="12.75">
      <c r="A3133" s="998"/>
      <c r="B3133" s="999"/>
      <c r="C3133" s="474"/>
      <c r="D3133" s="474"/>
      <c r="E3133" s="474"/>
      <c r="F3133" s="474"/>
      <c r="G3133" s="696"/>
      <c r="H3133" s="474"/>
      <c r="I3133" s="696"/>
    </row>
    <row r="3134" spans="1:9" ht="12.75">
      <c r="A3134" s="998"/>
      <c r="B3134" s="999"/>
      <c r="C3134" s="474"/>
      <c r="D3134" s="474"/>
      <c r="E3134" s="474"/>
      <c r="F3134" s="474"/>
      <c r="G3134" s="696"/>
      <c r="H3134" s="474"/>
      <c r="I3134" s="696"/>
    </row>
    <row r="3135" spans="1:9" ht="12.75">
      <c r="A3135" s="998"/>
      <c r="B3135" s="999"/>
      <c r="C3135" s="474"/>
      <c r="D3135" s="474"/>
      <c r="E3135" s="474"/>
      <c r="F3135" s="474"/>
      <c r="G3135" s="696"/>
      <c r="H3135" s="474"/>
      <c r="I3135" s="696"/>
    </row>
    <row r="3136" spans="1:9" ht="12.75">
      <c r="A3136" s="998"/>
      <c r="B3136" s="999"/>
      <c r="C3136" s="474"/>
      <c r="D3136" s="474"/>
      <c r="E3136" s="474"/>
      <c r="F3136" s="474"/>
      <c r="G3136" s="696"/>
      <c r="H3136" s="474"/>
      <c r="I3136" s="696"/>
    </row>
    <row r="3137" spans="1:9" ht="12.75">
      <c r="A3137" s="998"/>
      <c r="B3137" s="999"/>
      <c r="C3137" s="474"/>
      <c r="D3137" s="474"/>
      <c r="E3137" s="474"/>
      <c r="F3137" s="474"/>
      <c r="G3137" s="696"/>
      <c r="H3137" s="474"/>
      <c r="I3137" s="696"/>
    </row>
    <row r="3138" spans="1:9" ht="12.75">
      <c r="A3138" s="998"/>
      <c r="B3138" s="999"/>
      <c r="C3138" s="474"/>
      <c r="D3138" s="474"/>
      <c r="E3138" s="474"/>
      <c r="F3138" s="474"/>
      <c r="G3138" s="696"/>
      <c r="H3138" s="474"/>
      <c r="I3138" s="696"/>
    </row>
    <row r="3139" spans="1:9" ht="12.75">
      <c r="A3139" s="998"/>
      <c r="B3139" s="999"/>
      <c r="C3139" s="474"/>
      <c r="D3139" s="474"/>
      <c r="E3139" s="474"/>
      <c r="F3139" s="474"/>
      <c r="G3139" s="696"/>
      <c r="H3139" s="474"/>
      <c r="I3139" s="696"/>
    </row>
    <row r="3140" spans="1:9" ht="12.75">
      <c r="A3140" s="998"/>
      <c r="B3140" s="999"/>
      <c r="C3140" s="474"/>
      <c r="D3140" s="474"/>
      <c r="E3140" s="474"/>
      <c r="F3140" s="474"/>
      <c r="G3140" s="696"/>
      <c r="H3140" s="474"/>
      <c r="I3140" s="696"/>
    </row>
    <row r="3141" spans="1:9" ht="12.75">
      <c r="A3141" s="998"/>
      <c r="B3141" s="999"/>
      <c r="C3141" s="474"/>
      <c r="D3141" s="474"/>
      <c r="E3141" s="474"/>
      <c r="F3141" s="474"/>
      <c r="G3141" s="696"/>
      <c r="H3141" s="474"/>
      <c r="I3141" s="696"/>
    </row>
    <row r="3142" spans="1:9" ht="12.75">
      <c r="A3142" s="998"/>
      <c r="B3142" s="999"/>
      <c r="C3142" s="474"/>
      <c r="D3142" s="474"/>
      <c r="E3142" s="474"/>
      <c r="F3142" s="474"/>
      <c r="G3142" s="696"/>
      <c r="H3142" s="474"/>
      <c r="I3142" s="696"/>
    </row>
    <row r="3143" spans="1:9" ht="12.75">
      <c r="A3143" s="998"/>
      <c r="B3143" s="999"/>
      <c r="C3143" s="474"/>
      <c r="D3143" s="474"/>
      <c r="E3143" s="474"/>
      <c r="F3143" s="474"/>
      <c r="G3143" s="696"/>
      <c r="H3143" s="474"/>
      <c r="I3143" s="696"/>
    </row>
    <row r="3144" spans="1:9" ht="12.75">
      <c r="A3144" s="998"/>
      <c r="B3144" s="999"/>
      <c r="C3144" s="474"/>
      <c r="D3144" s="474"/>
      <c r="E3144" s="474"/>
      <c r="F3144" s="474"/>
      <c r="G3144" s="696"/>
      <c r="H3144" s="474"/>
      <c r="I3144" s="696"/>
    </row>
    <row r="3145" spans="1:9" ht="12.75">
      <c r="A3145" s="998"/>
      <c r="B3145" s="999"/>
      <c r="C3145" s="474"/>
      <c r="D3145" s="474"/>
      <c r="E3145" s="474"/>
      <c r="F3145" s="474"/>
      <c r="G3145" s="696"/>
      <c r="H3145" s="474"/>
      <c r="I3145" s="696"/>
    </row>
    <row r="3146" spans="1:9" ht="12.75">
      <c r="A3146" s="998"/>
      <c r="B3146" s="999"/>
      <c r="C3146" s="474"/>
      <c r="D3146" s="474"/>
      <c r="E3146" s="474"/>
      <c r="F3146" s="474"/>
      <c r="G3146" s="696"/>
      <c r="H3146" s="474"/>
      <c r="I3146" s="696"/>
    </row>
    <row r="3147" spans="1:9" ht="12.75">
      <c r="A3147" s="998"/>
      <c r="B3147" s="999"/>
      <c r="C3147" s="474"/>
      <c r="D3147" s="474"/>
      <c r="E3147" s="474"/>
      <c r="F3147" s="474"/>
      <c r="G3147" s="696"/>
      <c r="H3147" s="474"/>
      <c r="I3147" s="696"/>
    </row>
    <row r="3148" spans="1:9" ht="12.75">
      <c r="A3148" s="998"/>
      <c r="B3148" s="999"/>
      <c r="C3148" s="474"/>
      <c r="D3148" s="474"/>
      <c r="E3148" s="474"/>
      <c r="F3148" s="474"/>
      <c r="G3148" s="696"/>
      <c r="H3148" s="474"/>
      <c r="I3148" s="696"/>
    </row>
    <row r="3149" spans="1:9" ht="12.75">
      <c r="A3149" s="998"/>
      <c r="B3149" s="999"/>
      <c r="C3149" s="474"/>
      <c r="D3149" s="474"/>
      <c r="E3149" s="474"/>
      <c r="F3149" s="474"/>
      <c r="G3149" s="696"/>
      <c r="H3149" s="474"/>
      <c r="I3149" s="696"/>
    </row>
    <row r="3150" spans="1:9" ht="12.75">
      <c r="A3150" s="998"/>
      <c r="B3150" s="999"/>
      <c r="C3150" s="474"/>
      <c r="D3150" s="474"/>
      <c r="E3150" s="474"/>
      <c r="F3150" s="474"/>
      <c r="G3150" s="696"/>
      <c r="H3150" s="474"/>
      <c r="I3150" s="696"/>
    </row>
    <row r="3151" spans="1:9" ht="12.75">
      <c r="A3151" s="998"/>
      <c r="B3151" s="999"/>
      <c r="C3151" s="474"/>
      <c r="D3151" s="474"/>
      <c r="E3151" s="474"/>
      <c r="F3151" s="474"/>
      <c r="G3151" s="696"/>
      <c r="H3151" s="474"/>
      <c r="I3151" s="696"/>
    </row>
    <row r="3152" spans="1:9" ht="12.75">
      <c r="A3152" s="998"/>
      <c r="B3152" s="999"/>
      <c r="C3152" s="474"/>
      <c r="D3152" s="474"/>
      <c r="E3152" s="474"/>
      <c r="F3152" s="474"/>
      <c r="G3152" s="696"/>
      <c r="H3152" s="474"/>
      <c r="I3152" s="696"/>
    </row>
    <row r="3153" spans="1:9" ht="12.75">
      <c r="A3153" s="998"/>
      <c r="B3153" s="999"/>
      <c r="C3153" s="474"/>
      <c r="D3153" s="474"/>
      <c r="E3153" s="474"/>
      <c r="F3153" s="474"/>
      <c r="G3153" s="696"/>
      <c r="H3153" s="474"/>
      <c r="I3153" s="696"/>
    </row>
    <row r="3154" spans="1:9" ht="12.75">
      <c r="A3154" s="998"/>
      <c r="B3154" s="999"/>
      <c r="C3154" s="474"/>
      <c r="D3154" s="474"/>
      <c r="E3154" s="474"/>
      <c r="F3154" s="474"/>
      <c r="G3154" s="696"/>
      <c r="H3154" s="474"/>
      <c r="I3154" s="696"/>
    </row>
    <row r="3155" spans="1:9" ht="12.75">
      <c r="A3155" s="998"/>
      <c r="B3155" s="999"/>
      <c r="C3155" s="474"/>
      <c r="D3155" s="474"/>
      <c r="E3155" s="474"/>
      <c r="F3155" s="474"/>
      <c r="G3155" s="696"/>
      <c r="H3155" s="474"/>
      <c r="I3155" s="696"/>
    </row>
    <row r="3156" spans="1:9" ht="12.75">
      <c r="A3156" s="998"/>
      <c r="B3156" s="999"/>
      <c r="C3156" s="474"/>
      <c r="D3156" s="474"/>
      <c r="E3156" s="474"/>
      <c r="F3156" s="474"/>
      <c r="G3156" s="696"/>
      <c r="H3156" s="474"/>
      <c r="I3156" s="696"/>
    </row>
    <row r="3157" spans="1:9" ht="12.75">
      <c r="A3157" s="998"/>
      <c r="B3157" s="999"/>
      <c r="C3157" s="474"/>
      <c r="D3157" s="474"/>
      <c r="E3157" s="474"/>
      <c r="F3157" s="474"/>
      <c r="G3157" s="696"/>
      <c r="H3157" s="474"/>
      <c r="I3157" s="696"/>
    </row>
    <row r="3158" spans="1:9" ht="12.75">
      <c r="A3158" s="998"/>
      <c r="B3158" s="999"/>
      <c r="C3158" s="474"/>
      <c r="D3158" s="474"/>
      <c r="E3158" s="474"/>
      <c r="F3158" s="474"/>
      <c r="G3158" s="696"/>
      <c r="H3158" s="474"/>
      <c r="I3158" s="696"/>
    </row>
    <row r="3159" spans="1:9" ht="12.75">
      <c r="A3159" s="998"/>
      <c r="B3159" s="999"/>
      <c r="C3159" s="474"/>
      <c r="D3159" s="474"/>
      <c r="E3159" s="474"/>
      <c r="F3159" s="474"/>
      <c r="G3159" s="696"/>
      <c r="H3159" s="474"/>
      <c r="I3159" s="696"/>
    </row>
    <row r="3160" spans="1:9" ht="12.75">
      <c r="A3160" s="998"/>
      <c r="B3160" s="999"/>
      <c r="C3160" s="474"/>
      <c r="D3160" s="474"/>
      <c r="E3160" s="474"/>
      <c r="F3160" s="474"/>
      <c r="G3160" s="696"/>
      <c r="H3160" s="474"/>
      <c r="I3160" s="696"/>
    </row>
    <row r="3161" spans="1:9" ht="12.75">
      <c r="A3161" s="998"/>
      <c r="B3161" s="999"/>
      <c r="C3161" s="474"/>
      <c r="D3161" s="474"/>
      <c r="E3161" s="474"/>
      <c r="F3161" s="474"/>
      <c r="G3161" s="696"/>
      <c r="H3161" s="474"/>
      <c r="I3161" s="696"/>
    </row>
    <row r="3162" spans="1:9" ht="12.75">
      <c r="A3162" s="998"/>
      <c r="B3162" s="999"/>
      <c r="C3162" s="474"/>
      <c r="D3162" s="474"/>
      <c r="E3162" s="474"/>
      <c r="F3162" s="474"/>
      <c r="G3162" s="696"/>
      <c r="H3162" s="474"/>
      <c r="I3162" s="696"/>
    </row>
    <row r="3163" spans="1:9" ht="12.75">
      <c r="A3163" s="998"/>
      <c r="B3163" s="999"/>
      <c r="C3163" s="474"/>
      <c r="D3163" s="474"/>
      <c r="E3163" s="474"/>
      <c r="F3163" s="474"/>
      <c r="G3163" s="696"/>
      <c r="H3163" s="474"/>
      <c r="I3163" s="696"/>
    </row>
    <row r="3164" spans="1:9" ht="12.75">
      <c r="A3164" s="998"/>
      <c r="B3164" s="999"/>
      <c r="C3164" s="474"/>
      <c r="D3164" s="474"/>
      <c r="E3164" s="474"/>
      <c r="F3164" s="474"/>
      <c r="G3164" s="696"/>
      <c r="H3164" s="474"/>
      <c r="I3164" s="696"/>
    </row>
    <row r="3165" spans="1:9" ht="12.75">
      <c r="A3165" s="998"/>
      <c r="B3165" s="999"/>
      <c r="C3165" s="474"/>
      <c r="D3165" s="474"/>
      <c r="E3165" s="474"/>
      <c r="F3165" s="474"/>
      <c r="G3165" s="696"/>
      <c r="H3165" s="474"/>
      <c r="I3165" s="696"/>
    </row>
    <row r="3166" spans="1:9" ht="12.75">
      <c r="A3166" s="998"/>
      <c r="B3166" s="999"/>
      <c r="C3166" s="474"/>
      <c r="D3166" s="474"/>
      <c r="E3166" s="474"/>
      <c r="F3166" s="474"/>
      <c r="G3166" s="696"/>
      <c r="H3166" s="474"/>
      <c r="I3166" s="696"/>
    </row>
    <row r="3167" spans="1:9" ht="12.75">
      <c r="A3167" s="998"/>
      <c r="B3167" s="999"/>
      <c r="C3167" s="474"/>
      <c r="D3167" s="474"/>
      <c r="E3167" s="474"/>
      <c r="F3167" s="474"/>
      <c r="G3167" s="696"/>
      <c r="H3167" s="474"/>
      <c r="I3167" s="696"/>
    </row>
    <row r="3168" spans="1:9" ht="12.75">
      <c r="A3168" s="998"/>
      <c r="B3168" s="999"/>
      <c r="C3168" s="474"/>
      <c r="D3168" s="474"/>
      <c r="E3168" s="474"/>
      <c r="F3168" s="474"/>
      <c r="G3168" s="696"/>
      <c r="H3168" s="474"/>
      <c r="I3168" s="696"/>
    </row>
    <row r="3169" spans="1:9" ht="12.75">
      <c r="A3169" s="998"/>
      <c r="B3169" s="999"/>
      <c r="C3169" s="474"/>
      <c r="D3169" s="474"/>
      <c r="E3169" s="474"/>
      <c r="F3169" s="474"/>
      <c r="G3169" s="696"/>
      <c r="H3169" s="474"/>
      <c r="I3169" s="696"/>
    </row>
    <row r="3170" spans="1:9" ht="12.75">
      <c r="A3170" s="998"/>
      <c r="B3170" s="999"/>
      <c r="C3170" s="474"/>
      <c r="D3170" s="474"/>
      <c r="E3170" s="474"/>
      <c r="F3170" s="474"/>
      <c r="G3170" s="696"/>
      <c r="H3170" s="474"/>
      <c r="I3170" s="696"/>
    </row>
    <row r="3171" spans="1:9" ht="12.75">
      <c r="A3171" s="998"/>
      <c r="B3171" s="999"/>
      <c r="C3171" s="474"/>
      <c r="D3171" s="474"/>
      <c r="E3171" s="474"/>
      <c r="F3171" s="474"/>
      <c r="G3171" s="696"/>
      <c r="H3171" s="474"/>
      <c r="I3171" s="696"/>
    </row>
    <row r="3172" spans="1:9" ht="12.75">
      <c r="A3172" s="998"/>
      <c r="B3172" s="999"/>
      <c r="C3172" s="474"/>
      <c r="D3172" s="474"/>
      <c r="E3172" s="474"/>
      <c r="F3172" s="474"/>
      <c r="G3172" s="696"/>
      <c r="H3172" s="474"/>
      <c r="I3172" s="696"/>
    </row>
    <row r="3173" spans="1:9" ht="12.75">
      <c r="A3173" s="998"/>
      <c r="B3173" s="999"/>
      <c r="C3173" s="474"/>
      <c r="D3173" s="474"/>
      <c r="E3173" s="474"/>
      <c r="F3173" s="474"/>
      <c r="G3173" s="696"/>
      <c r="H3173" s="474"/>
      <c r="I3173" s="696"/>
    </row>
    <row r="3174" spans="1:9" ht="12.75">
      <c r="A3174" s="998"/>
      <c r="B3174" s="999"/>
      <c r="C3174" s="474"/>
      <c r="D3174" s="474"/>
      <c r="E3174" s="474"/>
      <c r="F3174" s="474"/>
      <c r="G3174" s="696"/>
      <c r="H3174" s="474"/>
      <c r="I3174" s="696"/>
    </row>
    <row r="3175" spans="1:9" ht="12.75">
      <c r="A3175" s="998"/>
      <c r="B3175" s="999"/>
      <c r="C3175" s="474"/>
      <c r="D3175" s="474"/>
      <c r="E3175" s="474"/>
      <c r="F3175" s="474"/>
      <c r="G3175" s="696"/>
      <c r="H3175" s="474"/>
      <c r="I3175" s="696"/>
    </row>
    <row r="3176" spans="1:9" ht="12.75">
      <c r="A3176" s="998"/>
      <c r="B3176" s="999"/>
      <c r="C3176" s="474"/>
      <c r="D3176" s="474"/>
      <c r="E3176" s="474"/>
      <c r="F3176" s="474"/>
      <c r="G3176" s="696"/>
      <c r="H3176" s="474"/>
      <c r="I3176" s="696"/>
    </row>
    <row r="3177" spans="1:9" ht="12.75">
      <c r="A3177" s="998"/>
      <c r="B3177" s="999"/>
      <c r="C3177" s="474"/>
      <c r="D3177" s="474"/>
      <c r="E3177" s="474"/>
      <c r="F3177" s="474"/>
      <c r="G3177" s="696"/>
      <c r="H3177" s="474"/>
      <c r="I3177" s="696"/>
    </row>
    <row r="3178" spans="1:9" ht="12.75">
      <c r="A3178" s="998"/>
      <c r="B3178" s="999"/>
      <c r="C3178" s="474"/>
      <c r="D3178" s="474"/>
      <c r="E3178" s="474"/>
      <c r="F3178" s="474"/>
      <c r="G3178" s="696"/>
      <c r="H3178" s="474"/>
      <c r="I3178" s="696"/>
    </row>
    <row r="3179" spans="1:9" ht="12.75">
      <c r="A3179" s="998"/>
      <c r="B3179" s="999"/>
      <c r="C3179" s="474"/>
      <c r="D3179" s="474"/>
      <c r="E3179" s="474"/>
      <c r="F3179" s="474"/>
      <c r="G3179" s="696"/>
      <c r="H3179" s="474"/>
      <c r="I3179" s="696"/>
    </row>
    <row r="3180" spans="1:9" ht="12.75">
      <c r="A3180" s="998"/>
      <c r="B3180" s="999"/>
      <c r="C3180" s="474"/>
      <c r="D3180" s="474"/>
      <c r="E3180" s="474"/>
      <c r="F3180" s="474"/>
      <c r="G3180" s="696"/>
      <c r="H3180" s="474"/>
      <c r="I3180" s="696"/>
    </row>
    <row r="3181" spans="1:9" ht="12.75">
      <c r="A3181" s="998"/>
      <c r="B3181" s="999"/>
      <c r="C3181" s="474"/>
      <c r="D3181" s="474"/>
      <c r="E3181" s="474"/>
      <c r="F3181" s="474"/>
      <c r="G3181" s="696"/>
      <c r="H3181" s="474"/>
      <c r="I3181" s="696"/>
    </row>
    <row r="3182" spans="1:9" ht="12.75">
      <c r="A3182" s="998"/>
      <c r="B3182" s="999"/>
      <c r="C3182" s="474"/>
      <c r="D3182" s="474"/>
      <c r="E3182" s="474"/>
      <c r="F3182" s="474"/>
      <c r="G3182" s="696"/>
      <c r="H3182" s="474"/>
      <c r="I3182" s="696"/>
    </row>
    <row r="3183" spans="1:9" ht="12.75">
      <c r="A3183" s="998"/>
      <c r="B3183" s="999"/>
      <c r="C3183" s="474"/>
      <c r="D3183" s="474"/>
      <c r="E3183" s="474"/>
      <c r="F3183" s="474"/>
      <c r="G3183" s="696"/>
      <c r="H3183" s="474"/>
      <c r="I3183" s="696"/>
    </row>
    <row r="3184" spans="1:9" ht="12.75">
      <c r="A3184" s="998"/>
      <c r="B3184" s="999"/>
      <c r="C3184" s="474"/>
      <c r="D3184" s="474"/>
      <c r="E3184" s="474"/>
      <c r="F3184" s="474"/>
      <c r="G3184" s="696"/>
      <c r="H3184" s="474"/>
      <c r="I3184" s="696"/>
    </row>
    <row r="3185" spans="1:9" ht="12.75">
      <c r="A3185" s="998"/>
      <c r="B3185" s="999"/>
      <c r="C3185" s="474"/>
      <c r="D3185" s="474"/>
      <c r="E3185" s="474"/>
      <c r="F3185" s="474"/>
      <c r="G3185" s="696"/>
      <c r="H3185" s="474"/>
      <c r="I3185" s="696"/>
    </row>
    <row r="3186" spans="1:9" ht="12.75">
      <c r="A3186" s="998"/>
      <c r="B3186" s="999"/>
      <c r="C3186" s="474"/>
      <c r="D3186" s="474"/>
      <c r="E3186" s="474"/>
      <c r="F3186" s="474"/>
      <c r="G3186" s="696"/>
      <c r="H3186" s="474"/>
      <c r="I3186" s="696"/>
    </row>
    <row r="3187" spans="1:9" ht="12.75">
      <c r="A3187" s="998"/>
      <c r="B3187" s="999"/>
      <c r="C3187" s="474"/>
      <c r="D3187" s="474"/>
      <c r="E3187" s="474"/>
      <c r="F3187" s="474"/>
      <c r="G3187" s="696"/>
      <c r="H3187" s="474"/>
      <c r="I3187" s="696"/>
    </row>
    <row r="3188" spans="1:9" ht="12.75">
      <c r="A3188" s="998"/>
      <c r="B3188" s="999"/>
      <c r="C3188" s="474"/>
      <c r="D3188" s="474"/>
      <c r="E3188" s="474"/>
      <c r="F3188" s="474"/>
      <c r="G3188" s="696"/>
      <c r="H3188" s="474"/>
      <c r="I3188" s="696"/>
    </row>
    <row r="3189" spans="1:9" ht="12.75">
      <c r="A3189" s="998"/>
      <c r="B3189" s="999"/>
      <c r="C3189" s="474"/>
      <c r="D3189" s="474"/>
      <c r="E3189" s="474"/>
      <c r="F3189" s="474"/>
      <c r="G3189" s="696"/>
      <c r="H3189" s="474"/>
      <c r="I3189" s="696"/>
    </row>
    <row r="3190" spans="1:9" ht="12.75">
      <c r="A3190" s="998"/>
      <c r="B3190" s="999"/>
      <c r="C3190" s="474"/>
      <c r="D3190" s="474"/>
      <c r="E3190" s="474"/>
      <c r="F3190" s="474"/>
      <c r="G3190" s="696"/>
      <c r="H3190" s="474"/>
      <c r="I3190" s="696"/>
    </row>
    <row r="3191" spans="1:9" ht="12.75">
      <c r="A3191" s="998"/>
      <c r="B3191" s="999"/>
      <c r="C3191" s="474"/>
      <c r="D3191" s="474"/>
      <c r="E3191" s="474"/>
      <c r="F3191" s="474"/>
      <c r="G3191" s="696"/>
      <c r="H3191" s="474"/>
      <c r="I3191" s="696"/>
    </row>
    <row r="3192" spans="1:9" ht="12.75">
      <c r="A3192" s="998"/>
      <c r="B3192" s="999"/>
      <c r="C3192" s="474"/>
      <c r="D3192" s="474"/>
      <c r="E3192" s="474"/>
      <c r="F3192" s="474"/>
      <c r="G3192" s="696"/>
      <c r="H3192" s="474"/>
      <c r="I3192" s="696"/>
    </row>
    <row r="3193" spans="1:9" ht="12.75">
      <c r="A3193" s="998"/>
      <c r="B3193" s="999"/>
      <c r="C3193" s="474"/>
      <c r="D3193" s="474"/>
      <c r="E3193" s="474"/>
      <c r="F3193" s="474"/>
      <c r="G3193" s="696"/>
      <c r="H3193" s="474"/>
      <c r="I3193" s="696"/>
    </row>
    <row r="3194" spans="1:9" ht="12.75">
      <c r="A3194" s="998"/>
      <c r="B3194" s="999"/>
      <c r="C3194" s="474"/>
      <c r="D3194" s="474"/>
      <c r="E3194" s="474"/>
      <c r="F3194" s="474"/>
      <c r="G3194" s="696"/>
      <c r="H3194" s="474"/>
      <c r="I3194" s="696"/>
    </row>
    <row r="3195" spans="1:9" ht="12.75">
      <c r="A3195" s="998"/>
      <c r="B3195" s="999"/>
      <c r="C3195" s="474"/>
      <c r="D3195" s="474"/>
      <c r="E3195" s="474"/>
      <c r="F3195" s="474"/>
      <c r="G3195" s="696"/>
      <c r="H3195" s="474"/>
      <c r="I3195" s="696"/>
    </row>
    <row r="3196" spans="1:9" ht="12.75">
      <c r="A3196" s="998"/>
      <c r="B3196" s="999"/>
      <c r="C3196" s="474"/>
      <c r="D3196" s="474"/>
      <c r="E3196" s="474"/>
      <c r="F3196" s="474"/>
      <c r="G3196" s="696"/>
      <c r="H3196" s="474"/>
      <c r="I3196" s="696"/>
    </row>
    <row r="3197" spans="1:9" ht="12.75">
      <c r="A3197" s="998"/>
      <c r="B3197" s="999"/>
      <c r="C3197" s="474"/>
      <c r="D3197" s="474"/>
      <c r="E3197" s="474"/>
      <c r="F3197" s="474"/>
      <c r="G3197" s="696"/>
      <c r="H3197" s="474"/>
      <c r="I3197" s="696"/>
    </row>
    <row r="3198" spans="1:9" ht="12.75">
      <c r="A3198" s="998"/>
      <c r="B3198" s="999"/>
      <c r="C3198" s="474"/>
      <c r="D3198" s="474"/>
      <c r="E3198" s="474"/>
      <c r="F3198" s="474"/>
      <c r="G3198" s="696"/>
      <c r="H3198" s="474"/>
      <c r="I3198" s="696"/>
    </row>
    <row r="3199" spans="1:9" ht="12.75">
      <c r="A3199" s="998"/>
      <c r="B3199" s="999"/>
      <c r="C3199" s="474"/>
      <c r="D3199" s="474"/>
      <c r="E3199" s="474"/>
      <c r="F3199" s="474"/>
      <c r="G3199" s="696"/>
      <c r="H3199" s="474"/>
      <c r="I3199" s="696"/>
    </row>
    <row r="3200" spans="1:9" ht="12.75">
      <c r="A3200" s="998"/>
      <c r="B3200" s="999"/>
      <c r="C3200" s="474"/>
      <c r="D3200" s="474"/>
      <c r="E3200" s="474"/>
      <c r="F3200" s="474"/>
      <c r="G3200" s="696"/>
      <c r="H3200" s="474"/>
      <c r="I3200" s="696"/>
    </row>
    <row r="3201" spans="1:9" ht="12.75">
      <c r="A3201" s="998"/>
      <c r="B3201" s="999"/>
      <c r="C3201" s="474"/>
      <c r="D3201" s="474"/>
      <c r="E3201" s="474"/>
      <c r="F3201" s="474"/>
      <c r="G3201" s="696"/>
      <c r="H3201" s="474"/>
      <c r="I3201" s="696"/>
    </row>
    <row r="3202" spans="1:9" ht="12.75">
      <c r="A3202" s="998"/>
      <c r="B3202" s="999"/>
      <c r="C3202" s="474"/>
      <c r="D3202" s="474"/>
      <c r="E3202" s="474"/>
      <c r="F3202" s="474"/>
      <c r="G3202" s="696"/>
      <c r="H3202" s="474"/>
      <c r="I3202" s="696"/>
    </row>
    <row r="3203" spans="1:9" ht="12.75">
      <c r="A3203" s="998"/>
      <c r="B3203" s="999"/>
      <c r="C3203" s="474"/>
      <c r="D3203" s="474"/>
      <c r="E3203" s="474"/>
      <c r="F3203" s="474"/>
      <c r="G3203" s="696"/>
      <c r="H3203" s="474"/>
      <c r="I3203" s="696"/>
    </row>
    <row r="3204" spans="1:9" ht="12.75">
      <c r="A3204" s="998"/>
      <c r="B3204" s="999"/>
      <c r="C3204" s="474"/>
      <c r="D3204" s="474"/>
      <c r="E3204" s="474"/>
      <c r="F3204" s="474"/>
      <c r="G3204" s="696"/>
      <c r="H3204" s="474"/>
      <c r="I3204" s="696"/>
    </row>
    <row r="3205" spans="1:9" ht="12.75">
      <c r="A3205" s="998"/>
      <c r="B3205" s="999"/>
      <c r="C3205" s="474"/>
      <c r="D3205" s="474"/>
      <c r="E3205" s="474"/>
      <c r="F3205" s="474"/>
      <c r="G3205" s="696"/>
      <c r="H3205" s="474"/>
      <c r="I3205" s="696"/>
    </row>
    <row r="3206" spans="1:9" ht="12.75">
      <c r="A3206" s="998"/>
      <c r="B3206" s="999"/>
      <c r="C3206" s="474"/>
      <c r="D3206" s="474"/>
      <c r="E3206" s="474"/>
      <c r="F3206" s="474"/>
      <c r="G3206" s="696"/>
      <c r="H3206" s="474"/>
      <c r="I3206" s="696"/>
    </row>
    <row r="3207" spans="1:9" ht="12.75">
      <c r="A3207" s="998"/>
      <c r="B3207" s="999"/>
      <c r="C3207" s="474"/>
      <c r="D3207" s="474"/>
      <c r="E3207" s="474"/>
      <c r="F3207" s="474"/>
      <c r="G3207" s="696"/>
      <c r="H3207" s="474"/>
      <c r="I3207" s="696"/>
    </row>
    <row r="3208" spans="1:9" ht="12.75">
      <c r="A3208" s="998"/>
      <c r="B3208" s="999"/>
      <c r="C3208" s="474"/>
      <c r="D3208" s="474"/>
      <c r="E3208" s="474"/>
      <c r="F3208" s="474"/>
      <c r="G3208" s="696"/>
      <c r="H3208" s="474"/>
      <c r="I3208" s="696"/>
    </row>
    <row r="3209" spans="1:9" ht="12.75">
      <c r="A3209" s="998"/>
      <c r="B3209" s="999"/>
      <c r="C3209" s="474"/>
      <c r="D3209" s="474"/>
      <c r="E3209" s="474"/>
      <c r="F3209" s="474"/>
      <c r="G3209" s="696"/>
      <c r="H3209" s="474"/>
      <c r="I3209" s="696"/>
    </row>
    <row r="3210" spans="1:9" ht="12.75">
      <c r="A3210" s="998"/>
      <c r="B3210" s="999"/>
      <c r="C3210" s="474"/>
      <c r="D3210" s="474"/>
      <c r="E3210" s="474"/>
      <c r="F3210" s="474"/>
      <c r="G3210" s="696"/>
      <c r="H3210" s="474"/>
      <c r="I3210" s="696"/>
    </row>
    <row r="3211" spans="1:9" ht="12.75">
      <c r="A3211" s="998"/>
      <c r="B3211" s="999"/>
      <c r="C3211" s="474"/>
      <c r="D3211" s="474"/>
      <c r="E3211" s="474"/>
      <c r="F3211" s="474"/>
      <c r="G3211" s="696"/>
      <c r="H3211" s="474"/>
      <c r="I3211" s="696"/>
    </row>
    <row r="3212" spans="1:9" ht="12.75">
      <c r="A3212" s="998"/>
      <c r="B3212" s="999"/>
      <c r="C3212" s="474"/>
      <c r="D3212" s="474"/>
      <c r="E3212" s="474"/>
      <c r="F3212" s="474"/>
      <c r="G3212" s="696"/>
      <c r="H3212" s="474"/>
      <c r="I3212" s="696"/>
    </row>
    <row r="3213" spans="1:9" ht="12.75">
      <c r="A3213" s="998"/>
      <c r="B3213" s="999"/>
      <c r="C3213" s="474"/>
      <c r="D3213" s="474"/>
      <c r="E3213" s="474"/>
      <c r="F3213" s="474"/>
      <c r="G3213" s="696"/>
      <c r="H3213" s="474"/>
      <c r="I3213" s="696"/>
    </row>
    <row r="3214" spans="1:9" ht="12.75">
      <c r="A3214" s="998"/>
      <c r="B3214" s="999"/>
      <c r="C3214" s="474"/>
      <c r="D3214" s="474"/>
      <c r="E3214" s="474"/>
      <c r="F3214" s="474"/>
      <c r="G3214" s="696"/>
      <c r="H3214" s="474"/>
      <c r="I3214" s="696"/>
    </row>
    <row r="3215" spans="1:9" ht="12.75">
      <c r="A3215" s="998"/>
      <c r="B3215" s="999"/>
      <c r="C3215" s="474"/>
      <c r="D3215" s="474"/>
      <c r="E3215" s="474"/>
      <c r="F3215" s="474"/>
      <c r="G3215" s="696"/>
      <c r="H3215" s="474"/>
      <c r="I3215" s="696"/>
    </row>
    <row r="3216" spans="1:9" ht="12.75">
      <c r="A3216" s="998"/>
      <c r="B3216" s="999"/>
      <c r="C3216" s="474"/>
      <c r="D3216" s="474"/>
      <c r="E3216" s="474"/>
      <c r="F3216" s="474"/>
      <c r="G3216" s="696"/>
      <c r="H3216" s="474"/>
      <c r="I3216" s="696"/>
    </row>
    <row r="3217" spans="1:9" ht="12.75">
      <c r="A3217" s="998"/>
      <c r="B3217" s="999"/>
      <c r="C3217" s="474"/>
      <c r="D3217" s="474"/>
      <c r="E3217" s="474"/>
      <c r="F3217" s="474"/>
      <c r="G3217" s="696"/>
      <c r="H3217" s="474"/>
      <c r="I3217" s="696"/>
    </row>
    <row r="3218" spans="1:9" ht="12.75">
      <c r="A3218" s="998"/>
      <c r="B3218" s="999"/>
      <c r="C3218" s="474"/>
      <c r="D3218" s="474"/>
      <c r="E3218" s="474"/>
      <c r="F3218" s="474"/>
      <c r="G3218" s="696"/>
      <c r="H3218" s="474"/>
      <c r="I3218" s="696"/>
    </row>
    <row r="3219" spans="1:9" ht="12.75">
      <c r="A3219" s="998"/>
      <c r="B3219" s="999"/>
      <c r="C3219" s="474"/>
      <c r="D3219" s="474"/>
      <c r="E3219" s="474"/>
      <c r="F3219" s="474"/>
      <c r="G3219" s="696"/>
      <c r="H3219" s="474"/>
      <c r="I3219" s="696"/>
    </row>
    <row r="3220" spans="1:9" ht="12.75">
      <c r="A3220" s="998"/>
      <c r="B3220" s="999"/>
      <c r="C3220" s="474"/>
      <c r="D3220" s="474"/>
      <c r="E3220" s="474"/>
      <c r="F3220" s="474"/>
      <c r="G3220" s="696"/>
      <c r="H3220" s="474"/>
      <c r="I3220" s="696"/>
    </row>
    <row r="3221" spans="1:9" ht="12.75">
      <c r="A3221" s="998"/>
      <c r="B3221" s="999"/>
      <c r="C3221" s="474"/>
      <c r="D3221" s="474"/>
      <c r="E3221" s="474"/>
      <c r="F3221" s="474"/>
      <c r="G3221" s="696"/>
      <c r="H3221" s="474"/>
      <c r="I3221" s="696"/>
    </row>
    <row r="3222" spans="1:9" ht="12.75">
      <c r="A3222" s="998"/>
      <c r="B3222" s="999"/>
      <c r="C3222" s="474"/>
      <c r="D3222" s="474"/>
      <c r="E3222" s="474"/>
      <c r="F3222" s="474"/>
      <c r="G3222" s="696"/>
      <c r="H3222" s="474"/>
      <c r="I3222" s="696"/>
    </row>
    <row r="3223" spans="1:9" ht="12.75">
      <c r="A3223" s="998"/>
      <c r="B3223" s="999"/>
      <c r="C3223" s="474"/>
      <c r="D3223" s="474"/>
      <c r="E3223" s="474"/>
      <c r="F3223" s="474"/>
      <c r="G3223" s="696"/>
      <c r="H3223" s="474"/>
      <c r="I3223" s="696"/>
    </row>
    <row r="3224" spans="1:9" ht="12.75">
      <c r="A3224" s="998"/>
      <c r="B3224" s="999"/>
      <c r="C3224" s="474"/>
      <c r="D3224" s="474"/>
      <c r="E3224" s="474"/>
      <c r="F3224" s="474"/>
      <c r="G3224" s="696"/>
      <c r="H3224" s="474"/>
      <c r="I3224" s="696"/>
    </row>
    <row r="3225" spans="1:9" ht="12.75">
      <c r="A3225" s="998"/>
      <c r="B3225" s="999"/>
      <c r="C3225" s="474"/>
      <c r="D3225" s="474"/>
      <c r="E3225" s="474"/>
      <c r="F3225" s="474"/>
      <c r="G3225" s="696"/>
      <c r="H3225" s="474"/>
      <c r="I3225" s="696"/>
    </row>
    <row r="3226" spans="1:9" ht="12.75">
      <c r="A3226" s="998"/>
      <c r="B3226" s="999"/>
      <c r="C3226" s="474"/>
      <c r="D3226" s="474"/>
      <c r="E3226" s="474"/>
      <c r="F3226" s="474"/>
      <c r="G3226" s="696"/>
      <c r="H3226" s="474"/>
      <c r="I3226" s="696"/>
    </row>
    <row r="3227" spans="1:9" ht="12.75">
      <c r="A3227" s="998"/>
      <c r="B3227" s="999"/>
      <c r="C3227" s="474"/>
      <c r="D3227" s="474"/>
      <c r="E3227" s="474"/>
      <c r="F3227" s="474"/>
      <c r="G3227" s="696"/>
      <c r="H3227" s="474"/>
      <c r="I3227" s="696"/>
    </row>
    <row r="3228" spans="1:9" ht="12.75">
      <c r="A3228" s="998"/>
      <c r="B3228" s="999"/>
      <c r="C3228" s="474"/>
      <c r="D3228" s="474"/>
      <c r="E3228" s="474"/>
      <c r="F3228" s="474"/>
      <c r="G3228" s="696"/>
      <c r="H3228" s="474"/>
      <c r="I3228" s="696"/>
    </row>
    <row r="3229" spans="1:9" ht="12.75">
      <c r="A3229" s="998"/>
      <c r="B3229" s="999"/>
      <c r="C3229" s="474"/>
      <c r="D3229" s="474"/>
      <c r="E3229" s="474"/>
      <c r="F3229" s="474"/>
      <c r="G3229" s="696"/>
      <c r="H3229" s="474"/>
      <c r="I3229" s="696"/>
    </row>
    <row r="3230" spans="1:9" ht="12.75">
      <c r="A3230" s="998"/>
      <c r="B3230" s="999"/>
      <c r="C3230" s="474"/>
      <c r="D3230" s="474"/>
      <c r="E3230" s="474"/>
      <c r="F3230" s="474"/>
      <c r="G3230" s="696"/>
      <c r="H3230" s="474"/>
      <c r="I3230" s="696"/>
    </row>
    <row r="3231" spans="1:9" ht="12.75">
      <c r="A3231" s="998"/>
      <c r="B3231" s="999"/>
      <c r="C3231" s="474"/>
      <c r="D3231" s="474"/>
      <c r="E3231" s="474"/>
      <c r="F3231" s="474"/>
      <c r="G3231" s="696"/>
      <c r="H3231" s="474"/>
      <c r="I3231" s="696"/>
    </row>
    <row r="3232" spans="1:9" ht="12.75">
      <c r="A3232" s="998"/>
      <c r="B3232" s="999"/>
      <c r="C3232" s="474"/>
      <c r="D3232" s="474"/>
      <c r="E3232" s="474"/>
      <c r="F3232" s="474"/>
      <c r="G3232" s="696"/>
      <c r="H3232" s="474"/>
      <c r="I3232" s="696"/>
    </row>
    <row r="3233" spans="1:9" ht="12.75">
      <c r="A3233" s="998"/>
      <c r="B3233" s="999"/>
      <c r="C3233" s="474"/>
      <c r="D3233" s="474"/>
      <c r="E3233" s="474"/>
      <c r="F3233" s="474"/>
      <c r="G3233" s="696"/>
      <c r="H3233" s="474"/>
      <c r="I3233" s="696"/>
    </row>
    <row r="3234" spans="1:9" ht="12.75">
      <c r="A3234" s="998"/>
      <c r="B3234" s="999"/>
      <c r="C3234" s="474"/>
      <c r="D3234" s="474"/>
      <c r="E3234" s="474"/>
      <c r="F3234" s="474"/>
      <c r="G3234" s="696"/>
      <c r="H3234" s="474"/>
      <c r="I3234" s="696"/>
    </row>
    <row r="3235" spans="1:9" ht="12.75">
      <c r="A3235" s="998"/>
      <c r="B3235" s="999"/>
      <c r="C3235" s="474"/>
      <c r="D3235" s="474"/>
      <c r="E3235" s="474"/>
      <c r="F3235" s="474"/>
      <c r="G3235" s="696"/>
      <c r="H3235" s="474"/>
      <c r="I3235" s="696"/>
    </row>
    <row r="3236" spans="1:9" ht="12.75">
      <c r="A3236" s="998"/>
      <c r="B3236" s="999"/>
      <c r="C3236" s="474"/>
      <c r="D3236" s="474"/>
      <c r="E3236" s="474"/>
      <c r="F3236" s="474"/>
      <c r="G3236" s="696"/>
      <c r="H3236" s="474"/>
      <c r="I3236" s="696"/>
    </row>
    <row r="3237" spans="1:9" ht="12.75">
      <c r="A3237" s="998"/>
      <c r="B3237" s="999"/>
      <c r="C3237" s="474"/>
      <c r="D3237" s="474"/>
      <c r="E3237" s="474"/>
      <c r="F3237" s="474"/>
      <c r="G3237" s="696"/>
      <c r="H3237" s="474"/>
      <c r="I3237" s="696"/>
    </row>
    <row r="3238" spans="1:9" ht="12.75">
      <c r="A3238" s="998"/>
      <c r="B3238" s="999"/>
      <c r="C3238" s="474"/>
      <c r="D3238" s="474"/>
      <c r="E3238" s="474"/>
      <c r="F3238" s="474"/>
      <c r="G3238" s="696"/>
      <c r="H3238" s="474"/>
      <c r="I3238" s="696"/>
    </row>
    <row r="3239" spans="1:9" ht="12.75">
      <c r="A3239" s="998"/>
      <c r="B3239" s="999"/>
      <c r="C3239" s="474"/>
      <c r="D3239" s="474"/>
      <c r="E3239" s="474"/>
      <c r="F3239" s="474"/>
      <c r="G3239" s="696"/>
      <c r="H3239" s="474"/>
      <c r="I3239" s="696"/>
    </row>
    <row r="3240" spans="1:9" ht="12.75">
      <c r="A3240" s="998"/>
      <c r="B3240" s="999"/>
      <c r="C3240" s="474"/>
      <c r="D3240" s="474"/>
      <c r="E3240" s="474"/>
      <c r="F3240" s="474"/>
      <c r="G3240" s="696"/>
      <c r="H3240" s="474"/>
      <c r="I3240" s="696"/>
    </row>
    <row r="3241" spans="1:9" ht="12.75">
      <c r="A3241" s="998"/>
      <c r="B3241" s="999"/>
      <c r="C3241" s="474"/>
      <c r="D3241" s="474"/>
      <c r="E3241" s="474"/>
      <c r="F3241" s="474"/>
      <c r="G3241" s="696"/>
      <c r="H3241" s="474"/>
      <c r="I3241" s="696"/>
    </row>
    <row r="3242" spans="1:9" ht="12.75">
      <c r="A3242" s="998"/>
      <c r="B3242" s="999"/>
      <c r="C3242" s="474"/>
      <c r="D3242" s="474"/>
      <c r="E3242" s="474"/>
      <c r="F3242" s="474"/>
      <c r="G3242" s="696"/>
      <c r="H3242" s="474"/>
      <c r="I3242" s="696"/>
    </row>
    <row r="3243" spans="1:9" ht="12.75">
      <c r="A3243" s="998"/>
      <c r="B3243" s="999"/>
      <c r="C3243" s="474"/>
      <c r="D3243" s="474"/>
      <c r="E3243" s="474"/>
      <c r="F3243" s="474"/>
      <c r="G3243" s="696"/>
      <c r="H3243" s="474"/>
      <c r="I3243" s="696"/>
    </row>
    <row r="3244" spans="1:9" ht="12.75">
      <c r="A3244" s="998"/>
      <c r="B3244" s="999"/>
      <c r="C3244" s="474"/>
      <c r="D3244" s="474"/>
      <c r="E3244" s="474"/>
      <c r="F3244" s="474"/>
      <c r="G3244" s="696"/>
      <c r="H3244" s="474"/>
      <c r="I3244" s="696"/>
    </row>
    <row r="3245" spans="1:9" ht="12.75">
      <c r="A3245" s="998"/>
      <c r="B3245" s="999"/>
      <c r="C3245" s="474"/>
      <c r="D3245" s="474"/>
      <c r="E3245" s="474"/>
      <c r="F3245" s="474"/>
      <c r="G3245" s="696"/>
      <c r="H3245" s="474"/>
      <c r="I3245" s="696"/>
    </row>
    <row r="3246" spans="1:9" ht="12.75">
      <c r="A3246" s="998"/>
      <c r="B3246" s="999"/>
      <c r="C3246" s="474"/>
      <c r="D3246" s="474"/>
      <c r="E3246" s="474"/>
      <c r="F3246" s="474"/>
      <c r="G3246" s="696"/>
      <c r="H3246" s="474"/>
      <c r="I3246" s="696"/>
    </row>
    <row r="3247" spans="1:9" ht="12.75">
      <c r="A3247" s="998"/>
      <c r="B3247" s="999"/>
      <c r="C3247" s="474"/>
      <c r="D3247" s="474"/>
      <c r="E3247" s="474"/>
      <c r="F3247" s="474"/>
      <c r="G3247" s="696"/>
      <c r="H3247" s="474"/>
      <c r="I3247" s="696"/>
    </row>
    <row r="3248" spans="1:9" ht="12.75">
      <c r="A3248" s="998"/>
      <c r="B3248" s="999"/>
      <c r="C3248" s="474"/>
      <c r="D3248" s="474"/>
      <c r="E3248" s="474"/>
      <c r="F3248" s="474"/>
      <c r="G3248" s="696"/>
      <c r="H3248" s="474"/>
      <c r="I3248" s="696"/>
    </row>
    <row r="3249" spans="1:9" ht="12.75">
      <c r="A3249" s="998"/>
      <c r="B3249" s="999"/>
      <c r="C3249" s="474"/>
      <c r="D3249" s="474"/>
      <c r="E3249" s="474"/>
      <c r="F3249" s="474"/>
      <c r="G3249" s="696"/>
      <c r="H3249" s="474"/>
      <c r="I3249" s="696"/>
    </row>
    <row r="3250" spans="1:9" ht="12.75">
      <c r="A3250" s="998"/>
      <c r="B3250" s="999"/>
      <c r="C3250" s="474"/>
      <c r="D3250" s="474"/>
      <c r="E3250" s="474"/>
      <c r="F3250" s="474"/>
      <c r="G3250" s="696"/>
      <c r="H3250" s="474"/>
      <c r="I3250" s="696"/>
    </row>
    <row r="3251" spans="1:9" ht="12.75">
      <c r="A3251" s="998"/>
      <c r="B3251" s="999"/>
      <c r="C3251" s="474"/>
      <c r="D3251" s="474"/>
      <c r="E3251" s="474"/>
      <c r="F3251" s="474"/>
      <c r="G3251" s="696"/>
      <c r="H3251" s="474"/>
      <c r="I3251" s="696"/>
    </row>
    <row r="3252" spans="1:9" ht="12.75">
      <c r="A3252" s="998"/>
      <c r="B3252" s="999"/>
      <c r="C3252" s="474"/>
      <c r="D3252" s="474"/>
      <c r="E3252" s="474"/>
      <c r="F3252" s="474"/>
      <c r="G3252" s="696"/>
      <c r="H3252" s="474"/>
      <c r="I3252" s="696"/>
    </row>
    <row r="3253" spans="1:9" ht="12.75">
      <c r="A3253" s="998"/>
      <c r="B3253" s="999"/>
      <c r="C3253" s="474"/>
      <c r="D3253" s="474"/>
      <c r="E3253" s="474"/>
      <c r="F3253" s="474"/>
      <c r="G3253" s="696"/>
      <c r="H3253" s="474"/>
      <c r="I3253" s="696"/>
    </row>
    <row r="3254" spans="1:9" ht="12.75">
      <c r="A3254" s="998"/>
      <c r="B3254" s="999"/>
      <c r="C3254" s="474"/>
      <c r="D3254" s="474"/>
      <c r="E3254" s="474"/>
      <c r="F3254" s="474"/>
      <c r="G3254" s="696"/>
      <c r="H3254" s="474"/>
      <c r="I3254" s="696"/>
    </row>
    <row r="3255" spans="1:9" ht="12.75">
      <c r="A3255" s="998"/>
      <c r="B3255" s="999"/>
      <c r="C3255" s="474"/>
      <c r="D3255" s="474"/>
      <c r="E3255" s="474"/>
      <c r="F3255" s="474"/>
      <c r="G3255" s="696"/>
      <c r="H3255" s="474"/>
      <c r="I3255" s="696"/>
    </row>
    <row r="3256" spans="1:9" ht="12.75">
      <c r="A3256" s="998"/>
      <c r="B3256" s="999"/>
      <c r="C3256" s="474"/>
      <c r="D3256" s="474"/>
      <c r="E3256" s="474"/>
      <c r="F3256" s="474"/>
      <c r="G3256" s="696"/>
      <c r="H3256" s="474"/>
      <c r="I3256" s="696"/>
    </row>
    <row r="3257" spans="1:9" ht="12.75">
      <c r="A3257" s="998"/>
      <c r="B3257" s="999"/>
      <c r="C3257" s="474"/>
      <c r="D3257" s="474"/>
      <c r="E3257" s="474"/>
      <c r="F3257" s="474"/>
      <c r="G3257" s="696"/>
      <c r="H3257" s="474"/>
      <c r="I3257" s="696"/>
    </row>
    <row r="3258" spans="1:9" ht="12.75">
      <c r="A3258" s="998"/>
      <c r="B3258" s="999"/>
      <c r="C3258" s="474"/>
      <c r="D3258" s="474"/>
      <c r="E3258" s="474"/>
      <c r="F3258" s="474"/>
      <c r="G3258" s="696"/>
      <c r="H3258" s="474"/>
      <c r="I3258" s="696"/>
    </row>
    <row r="3259" spans="1:9" ht="12.75">
      <c r="A3259" s="998"/>
      <c r="B3259" s="999"/>
      <c r="C3259" s="474"/>
      <c r="D3259" s="474"/>
      <c r="E3259" s="474"/>
      <c r="F3259" s="474"/>
      <c r="G3259" s="696"/>
      <c r="H3259" s="474"/>
      <c r="I3259" s="696"/>
    </row>
    <row r="3260" spans="1:9" ht="12.75">
      <c r="A3260" s="998"/>
      <c r="B3260" s="999"/>
      <c r="C3260" s="474"/>
      <c r="D3260" s="474"/>
      <c r="E3260" s="474"/>
      <c r="F3260" s="474"/>
      <c r="G3260" s="696"/>
      <c r="H3260" s="474"/>
      <c r="I3260" s="696"/>
    </row>
    <row r="3261" spans="1:9" ht="12.75">
      <c r="A3261" s="998"/>
      <c r="B3261" s="999"/>
      <c r="C3261" s="474"/>
      <c r="D3261" s="474"/>
      <c r="E3261" s="474"/>
      <c r="F3261" s="474"/>
      <c r="G3261" s="696"/>
      <c r="H3261" s="474"/>
      <c r="I3261" s="696"/>
    </row>
    <row r="3262" spans="1:9" ht="12.75">
      <c r="A3262" s="998"/>
      <c r="B3262" s="999"/>
      <c r="C3262" s="474"/>
      <c r="D3262" s="474"/>
      <c r="E3262" s="474"/>
      <c r="F3262" s="474"/>
      <c r="G3262" s="696"/>
      <c r="H3262" s="474"/>
      <c r="I3262" s="696"/>
    </row>
    <row r="3263" spans="1:9" ht="12.75">
      <c r="A3263" s="998"/>
      <c r="B3263" s="999"/>
      <c r="C3263" s="474"/>
      <c r="D3263" s="474"/>
      <c r="E3263" s="474"/>
      <c r="F3263" s="474"/>
      <c r="G3263" s="696"/>
      <c r="H3263" s="474"/>
      <c r="I3263" s="696"/>
    </row>
    <row r="3264" spans="1:9" ht="12.75">
      <c r="A3264" s="998"/>
      <c r="B3264" s="999"/>
      <c r="C3264" s="474"/>
      <c r="D3264" s="474"/>
      <c r="E3264" s="474"/>
      <c r="F3264" s="474"/>
      <c r="G3264" s="696"/>
      <c r="H3264" s="474"/>
      <c r="I3264" s="696"/>
    </row>
    <row r="3265" spans="1:9" ht="12.75">
      <c r="A3265" s="998"/>
      <c r="B3265" s="999"/>
      <c r="C3265" s="474"/>
      <c r="D3265" s="474"/>
      <c r="E3265" s="474"/>
      <c r="F3265" s="474"/>
      <c r="G3265" s="696"/>
      <c r="H3265" s="474"/>
      <c r="I3265" s="696"/>
    </row>
    <row r="3266" spans="1:9" ht="12.75">
      <c r="A3266" s="998"/>
      <c r="B3266" s="999"/>
      <c r="C3266" s="474"/>
      <c r="D3266" s="474"/>
      <c r="E3266" s="474"/>
      <c r="F3266" s="474"/>
      <c r="G3266" s="696"/>
      <c r="H3266" s="474"/>
      <c r="I3266" s="696"/>
    </row>
    <row r="3267" spans="1:9" ht="12.75">
      <c r="A3267" s="998"/>
      <c r="B3267" s="999"/>
      <c r="C3267" s="474"/>
      <c r="D3267" s="474"/>
      <c r="E3267" s="474"/>
      <c r="F3267" s="474"/>
      <c r="G3267" s="696"/>
      <c r="H3267" s="474"/>
      <c r="I3267" s="696"/>
    </row>
    <row r="3268" spans="1:9" ht="12.75">
      <c r="A3268" s="998"/>
      <c r="B3268" s="999"/>
      <c r="C3268" s="474"/>
      <c r="D3268" s="474"/>
      <c r="E3268" s="474"/>
      <c r="F3268" s="474"/>
      <c r="G3268" s="696"/>
      <c r="H3268" s="474"/>
      <c r="I3268" s="696"/>
    </row>
    <row r="3269" spans="1:9" ht="12.75">
      <c r="A3269" s="998"/>
      <c r="B3269" s="999"/>
      <c r="C3269" s="474"/>
      <c r="D3269" s="474"/>
      <c r="E3269" s="474"/>
      <c r="F3269" s="474"/>
      <c r="G3269" s="696"/>
      <c r="H3269" s="474"/>
      <c r="I3269" s="696"/>
    </row>
    <row r="3270" spans="1:9" ht="12.75">
      <c r="A3270" s="998"/>
      <c r="B3270" s="999"/>
      <c r="C3270" s="474"/>
      <c r="D3270" s="474"/>
      <c r="E3270" s="474"/>
      <c r="F3270" s="474"/>
      <c r="G3270" s="696"/>
      <c r="H3270" s="474"/>
      <c r="I3270" s="696"/>
    </row>
    <row r="3271" spans="1:9" ht="12.75">
      <c r="A3271" s="998"/>
      <c r="B3271" s="999"/>
      <c r="C3271" s="474"/>
      <c r="D3271" s="474"/>
      <c r="E3271" s="474"/>
      <c r="F3271" s="474"/>
      <c r="G3271" s="696"/>
      <c r="H3271" s="474"/>
      <c r="I3271" s="696"/>
    </row>
    <row r="3272" spans="1:9" ht="12.75">
      <c r="A3272" s="998"/>
      <c r="B3272" s="999"/>
      <c r="C3272" s="474"/>
      <c r="D3272" s="474"/>
      <c r="E3272" s="474"/>
      <c r="F3272" s="474"/>
      <c r="G3272" s="696"/>
      <c r="H3272" s="474"/>
      <c r="I3272" s="696"/>
    </row>
    <row r="3273" spans="1:9" ht="12.75">
      <c r="A3273" s="998"/>
      <c r="B3273" s="999"/>
      <c r="C3273" s="474"/>
      <c r="D3273" s="474"/>
      <c r="E3273" s="474"/>
      <c r="F3273" s="474"/>
      <c r="G3273" s="696"/>
      <c r="H3273" s="474"/>
      <c r="I3273" s="696"/>
    </row>
    <row r="3274" spans="1:9" ht="12.75">
      <c r="A3274" s="998"/>
      <c r="B3274" s="999"/>
      <c r="C3274" s="474"/>
      <c r="D3274" s="474"/>
      <c r="E3274" s="474"/>
      <c r="F3274" s="474"/>
      <c r="G3274" s="696"/>
      <c r="H3274" s="474"/>
      <c r="I3274" s="696"/>
    </row>
    <row r="3275" spans="1:9" ht="12.75">
      <c r="A3275" s="998"/>
      <c r="B3275" s="999"/>
      <c r="C3275" s="474"/>
      <c r="D3275" s="474"/>
      <c r="E3275" s="474"/>
      <c r="F3275" s="474"/>
      <c r="G3275" s="696"/>
      <c r="H3275" s="474"/>
      <c r="I3275" s="696"/>
    </row>
    <row r="3276" spans="1:9" ht="12.75">
      <c r="A3276" s="998"/>
      <c r="B3276" s="999"/>
      <c r="C3276" s="474"/>
      <c r="D3276" s="474"/>
      <c r="E3276" s="474"/>
      <c r="F3276" s="474"/>
      <c r="G3276" s="696"/>
      <c r="H3276" s="474"/>
      <c r="I3276" s="696"/>
    </row>
    <row r="3277" spans="1:9" ht="12.75">
      <c r="A3277" s="998"/>
      <c r="B3277" s="999"/>
      <c r="C3277" s="474"/>
      <c r="D3277" s="474"/>
      <c r="E3277" s="474"/>
      <c r="F3277" s="474"/>
      <c r="G3277" s="696"/>
      <c r="H3277" s="474"/>
      <c r="I3277" s="696"/>
    </row>
    <row r="3278" spans="1:9" ht="12.75">
      <c r="A3278" s="998"/>
      <c r="B3278" s="999"/>
      <c r="C3278" s="474"/>
      <c r="D3278" s="474"/>
      <c r="E3278" s="474"/>
      <c r="F3278" s="474"/>
      <c r="G3278" s="696"/>
      <c r="H3278" s="474"/>
      <c r="I3278" s="696"/>
    </row>
    <row r="3279" spans="1:9" ht="12.75">
      <c r="A3279" s="998"/>
      <c r="B3279" s="999"/>
      <c r="C3279" s="474"/>
      <c r="D3279" s="474"/>
      <c r="E3279" s="474"/>
      <c r="F3279" s="474"/>
      <c r="G3279" s="696"/>
      <c r="H3279" s="474"/>
      <c r="I3279" s="696"/>
    </row>
    <row r="3280" spans="1:9" ht="12.75">
      <c r="A3280" s="998"/>
      <c r="B3280" s="999"/>
      <c r="C3280" s="474"/>
      <c r="D3280" s="474"/>
      <c r="E3280" s="474"/>
      <c r="F3280" s="474"/>
      <c r="G3280" s="696"/>
      <c r="H3280" s="474"/>
      <c r="I3280" s="696"/>
    </row>
    <row r="3281" spans="1:9" ht="12.75">
      <c r="A3281" s="998"/>
      <c r="B3281" s="999"/>
      <c r="C3281" s="474"/>
      <c r="D3281" s="474"/>
      <c r="E3281" s="474"/>
      <c r="F3281" s="474"/>
      <c r="G3281" s="696"/>
      <c r="H3281" s="474"/>
      <c r="I3281" s="696"/>
    </row>
    <row r="3282" spans="1:9" ht="12.75">
      <c r="A3282" s="998"/>
      <c r="B3282" s="999"/>
      <c r="C3282" s="474"/>
      <c r="D3282" s="474"/>
      <c r="E3282" s="474"/>
      <c r="F3282" s="474"/>
      <c r="G3282" s="696"/>
      <c r="H3282" s="474"/>
      <c r="I3282" s="696"/>
    </row>
    <row r="3283" spans="1:9" ht="12.75">
      <c r="A3283" s="998"/>
      <c r="B3283" s="999"/>
      <c r="C3283" s="474"/>
      <c r="D3283" s="474"/>
      <c r="E3283" s="474"/>
      <c r="F3283" s="474"/>
      <c r="G3283" s="696"/>
      <c r="H3283" s="474"/>
      <c r="I3283" s="696"/>
    </row>
    <row r="3284" spans="1:9" ht="12.75">
      <c r="A3284" s="998"/>
      <c r="B3284" s="999"/>
      <c r="C3284" s="474"/>
      <c r="D3284" s="474"/>
      <c r="E3284" s="474"/>
      <c r="F3284" s="474"/>
      <c r="G3284" s="696"/>
      <c r="H3284" s="474"/>
      <c r="I3284" s="696"/>
    </row>
    <row r="3285" spans="1:9" ht="12.75">
      <c r="A3285" s="998"/>
      <c r="B3285" s="999"/>
      <c r="C3285" s="474"/>
      <c r="D3285" s="474"/>
      <c r="E3285" s="474"/>
      <c r="F3285" s="474"/>
      <c r="G3285" s="696"/>
      <c r="H3285" s="474"/>
      <c r="I3285" s="696"/>
    </row>
    <row r="3286" spans="1:9" ht="12.75">
      <c r="A3286" s="998"/>
      <c r="B3286" s="999"/>
      <c r="C3286" s="474"/>
      <c r="D3286" s="474"/>
      <c r="E3286" s="474"/>
      <c r="F3286" s="474"/>
      <c r="G3286" s="696"/>
      <c r="H3286" s="474"/>
      <c r="I3286" s="696"/>
    </row>
    <row r="3287" spans="1:9" ht="12.75">
      <c r="A3287" s="998"/>
      <c r="B3287" s="999"/>
      <c r="C3287" s="474"/>
      <c r="D3287" s="474"/>
      <c r="E3287" s="474"/>
      <c r="F3287" s="474"/>
      <c r="G3287" s="696"/>
      <c r="H3287" s="474"/>
      <c r="I3287" s="696"/>
    </row>
    <row r="3288" spans="1:9" ht="12.75">
      <c r="A3288" s="998"/>
      <c r="B3288" s="999"/>
      <c r="C3288" s="474"/>
      <c r="D3288" s="474"/>
      <c r="E3288" s="474"/>
      <c r="F3288" s="474"/>
      <c r="G3288" s="696"/>
      <c r="H3288" s="474"/>
      <c r="I3288" s="696"/>
    </row>
    <row r="3289" spans="1:9" ht="12.75">
      <c r="A3289" s="998"/>
      <c r="B3289" s="999"/>
      <c r="C3289" s="474"/>
      <c r="D3289" s="474"/>
      <c r="E3289" s="474"/>
      <c r="F3289" s="474"/>
      <c r="G3289" s="696"/>
      <c r="H3289" s="474"/>
      <c r="I3289" s="696"/>
    </row>
    <row r="3290" spans="1:9" ht="12.75">
      <c r="A3290" s="998"/>
      <c r="B3290" s="999"/>
      <c r="C3290" s="474"/>
      <c r="D3290" s="474"/>
      <c r="E3290" s="474"/>
      <c r="F3290" s="474"/>
      <c r="G3290" s="696"/>
      <c r="H3290" s="474"/>
      <c r="I3290" s="696"/>
    </row>
    <row r="3291" spans="1:9" ht="12.75">
      <c r="A3291" s="998"/>
      <c r="B3291" s="999"/>
      <c r="C3291" s="474"/>
      <c r="D3291" s="474"/>
      <c r="E3291" s="474"/>
      <c r="F3291" s="474"/>
      <c r="G3291" s="696"/>
      <c r="H3291" s="474"/>
      <c r="I3291" s="696"/>
    </row>
    <row r="3292" spans="1:9" ht="12.75">
      <c r="A3292" s="998"/>
      <c r="B3292" s="999"/>
      <c r="C3292" s="474"/>
      <c r="D3292" s="474"/>
      <c r="E3292" s="474"/>
      <c r="F3292" s="474"/>
      <c r="G3292" s="696"/>
      <c r="H3292" s="474"/>
      <c r="I3292" s="696"/>
    </row>
    <row r="3293" spans="1:9" ht="12.75">
      <c r="A3293" s="998"/>
      <c r="B3293" s="999"/>
      <c r="C3293" s="474"/>
      <c r="D3293" s="474"/>
      <c r="E3293" s="474"/>
      <c r="F3293" s="474"/>
      <c r="G3293" s="696"/>
      <c r="H3293" s="474"/>
      <c r="I3293" s="696"/>
    </row>
    <row r="3294" spans="1:9" ht="12.75">
      <c r="A3294" s="998"/>
      <c r="B3294" s="999"/>
      <c r="C3294" s="474"/>
      <c r="D3294" s="474"/>
      <c r="E3294" s="474"/>
      <c r="F3294" s="474"/>
      <c r="G3294" s="696"/>
      <c r="H3294" s="474"/>
      <c r="I3294" s="696"/>
    </row>
    <row r="3295" spans="1:9" ht="12.75">
      <c r="A3295" s="998"/>
      <c r="B3295" s="999"/>
      <c r="C3295" s="474"/>
      <c r="D3295" s="474"/>
      <c r="E3295" s="474"/>
      <c r="F3295" s="474"/>
      <c r="G3295" s="696"/>
      <c r="H3295" s="474"/>
      <c r="I3295" s="696"/>
    </row>
    <row r="3296" spans="1:9" ht="12.75">
      <c r="A3296" s="998"/>
      <c r="B3296" s="999"/>
      <c r="C3296" s="474"/>
      <c r="D3296" s="474"/>
      <c r="E3296" s="474"/>
      <c r="F3296" s="474"/>
      <c r="G3296" s="696"/>
      <c r="H3296" s="474"/>
      <c r="I3296" s="696"/>
    </row>
    <row r="3297" spans="1:9" ht="12.75">
      <c r="A3297" s="998"/>
      <c r="B3297" s="999"/>
      <c r="C3297" s="474"/>
      <c r="D3297" s="474"/>
      <c r="E3297" s="474"/>
      <c r="F3297" s="474"/>
      <c r="G3297" s="696"/>
      <c r="H3297" s="474"/>
      <c r="I3297" s="696"/>
    </row>
    <row r="3298" spans="1:9" ht="12.75">
      <c r="A3298" s="998"/>
      <c r="B3298" s="999"/>
      <c r="C3298" s="474"/>
      <c r="D3298" s="474"/>
      <c r="E3298" s="474"/>
      <c r="F3298" s="474"/>
      <c r="G3298" s="696"/>
      <c r="H3298" s="474"/>
      <c r="I3298" s="696"/>
    </row>
    <row r="3299" spans="1:9" ht="12.75">
      <c r="A3299" s="998"/>
      <c r="B3299" s="999"/>
      <c r="C3299" s="474"/>
      <c r="D3299" s="474"/>
      <c r="E3299" s="474"/>
      <c r="F3299" s="474"/>
      <c r="G3299" s="696"/>
      <c r="H3299" s="474"/>
      <c r="I3299" s="696"/>
    </row>
    <row r="3300" spans="1:9" ht="12.75">
      <c r="A3300" s="998"/>
      <c r="B3300" s="999"/>
      <c r="C3300" s="474"/>
      <c r="D3300" s="474"/>
      <c r="E3300" s="474"/>
      <c r="F3300" s="474"/>
      <c r="G3300" s="696"/>
      <c r="H3300" s="474"/>
      <c r="I3300" s="696"/>
    </row>
    <row r="3301" spans="1:9" ht="12.75">
      <c r="A3301" s="998"/>
      <c r="B3301" s="999"/>
      <c r="C3301" s="474"/>
      <c r="D3301" s="474"/>
      <c r="E3301" s="474"/>
      <c r="F3301" s="474"/>
      <c r="G3301" s="696"/>
      <c r="H3301" s="474"/>
      <c r="I3301" s="696"/>
    </row>
    <row r="3302" spans="1:9" ht="12.75">
      <c r="A3302" s="998"/>
      <c r="B3302" s="999"/>
      <c r="C3302" s="474"/>
      <c r="D3302" s="474"/>
      <c r="E3302" s="474"/>
      <c r="F3302" s="474"/>
      <c r="G3302" s="696"/>
      <c r="H3302" s="474"/>
      <c r="I3302" s="696"/>
    </row>
    <row r="3303" spans="1:9" ht="12.75">
      <c r="A3303" s="998"/>
      <c r="B3303" s="999"/>
      <c r="C3303" s="474"/>
      <c r="D3303" s="474"/>
      <c r="E3303" s="474"/>
      <c r="F3303" s="474"/>
      <c r="G3303" s="696"/>
      <c r="H3303" s="474"/>
      <c r="I3303" s="696"/>
    </row>
    <row r="3304" spans="1:9" ht="12.75">
      <c r="A3304" s="998"/>
      <c r="B3304" s="999"/>
      <c r="C3304" s="474"/>
      <c r="D3304" s="474"/>
      <c r="E3304" s="474"/>
      <c r="F3304" s="474"/>
      <c r="G3304" s="696"/>
      <c r="H3304" s="474"/>
      <c r="I3304" s="696"/>
    </row>
    <row r="3305" spans="1:9" ht="12.75">
      <c r="A3305" s="998"/>
      <c r="B3305" s="999"/>
      <c r="C3305" s="474"/>
      <c r="D3305" s="474"/>
      <c r="E3305" s="474"/>
      <c r="F3305" s="474"/>
      <c r="G3305" s="696"/>
      <c r="H3305" s="474"/>
      <c r="I3305" s="696"/>
    </row>
    <row r="3306" spans="1:9" ht="12.75">
      <c r="A3306" s="998"/>
      <c r="B3306" s="999"/>
      <c r="C3306" s="474"/>
      <c r="D3306" s="474"/>
      <c r="E3306" s="474"/>
      <c r="F3306" s="474"/>
      <c r="G3306" s="696"/>
      <c r="H3306" s="474"/>
      <c r="I3306" s="696"/>
    </row>
    <row r="3307" spans="1:9" ht="12.75">
      <c r="A3307" s="998"/>
      <c r="B3307" s="999"/>
      <c r="C3307" s="474"/>
      <c r="D3307" s="474"/>
      <c r="E3307" s="474"/>
      <c r="F3307" s="474"/>
      <c r="G3307" s="696"/>
      <c r="H3307" s="474"/>
      <c r="I3307" s="696"/>
    </row>
    <row r="3308" spans="1:9" ht="12.75">
      <c r="A3308" s="998"/>
      <c r="B3308" s="999"/>
      <c r="C3308" s="474"/>
      <c r="D3308" s="474"/>
      <c r="E3308" s="474"/>
      <c r="F3308" s="474"/>
      <c r="G3308" s="696"/>
      <c r="H3308" s="474"/>
      <c r="I3308" s="696"/>
    </row>
    <row r="3309" spans="1:9" ht="12.75">
      <c r="A3309" s="998"/>
      <c r="B3309" s="999"/>
      <c r="C3309" s="474"/>
      <c r="D3309" s="474"/>
      <c r="E3309" s="474"/>
      <c r="F3309" s="474"/>
      <c r="G3309" s="696"/>
      <c r="H3309" s="474"/>
      <c r="I3309" s="696"/>
    </row>
    <row r="3310" spans="1:9" ht="12.75">
      <c r="A3310" s="998"/>
      <c r="B3310" s="999"/>
      <c r="C3310" s="474"/>
      <c r="D3310" s="474"/>
      <c r="E3310" s="474"/>
      <c r="F3310" s="474"/>
      <c r="G3310" s="696"/>
      <c r="H3310" s="474"/>
      <c r="I3310" s="696"/>
    </row>
    <row r="3311" spans="1:9" ht="12.75">
      <c r="A3311" s="998"/>
      <c r="B3311" s="999"/>
      <c r="C3311" s="474"/>
      <c r="D3311" s="474"/>
      <c r="E3311" s="474"/>
      <c r="F3311" s="474"/>
      <c r="G3311" s="696"/>
      <c r="H3311" s="474"/>
      <c r="I3311" s="696"/>
    </row>
    <row r="3312" spans="1:9" ht="12.75">
      <c r="A3312" s="998"/>
      <c r="B3312" s="999"/>
      <c r="C3312" s="474"/>
      <c r="D3312" s="474"/>
      <c r="E3312" s="474"/>
      <c r="F3312" s="474"/>
      <c r="G3312" s="696"/>
      <c r="H3312" s="474"/>
      <c r="I3312" s="696"/>
    </row>
    <row r="3313" spans="1:9" ht="12.75">
      <c r="A3313" s="998"/>
      <c r="B3313" s="999"/>
      <c r="C3313" s="474"/>
      <c r="D3313" s="474"/>
      <c r="E3313" s="474"/>
      <c r="F3313" s="474"/>
      <c r="G3313" s="696"/>
      <c r="H3313" s="474"/>
      <c r="I3313" s="696"/>
    </row>
    <row r="3314" spans="1:9" ht="12.75">
      <c r="A3314" s="998"/>
      <c r="B3314" s="999"/>
      <c r="C3314" s="474"/>
      <c r="D3314" s="474"/>
      <c r="E3314" s="474"/>
      <c r="F3314" s="474"/>
      <c r="G3314" s="696"/>
      <c r="H3314" s="474"/>
      <c r="I3314" s="696"/>
    </row>
    <row r="3315" spans="1:9" ht="12.75">
      <c r="A3315" s="998"/>
      <c r="B3315" s="999"/>
      <c r="C3315" s="474"/>
      <c r="D3315" s="474"/>
      <c r="E3315" s="474"/>
      <c r="F3315" s="474"/>
      <c r="G3315" s="696"/>
      <c r="H3315" s="474"/>
      <c r="I3315" s="696"/>
    </row>
    <row r="3316" spans="1:9" ht="12.75">
      <c r="A3316" s="998"/>
      <c r="B3316" s="999"/>
      <c r="C3316" s="474"/>
      <c r="D3316" s="474"/>
      <c r="E3316" s="474"/>
      <c r="F3316" s="474"/>
      <c r="G3316" s="696"/>
      <c r="H3316" s="474"/>
      <c r="I3316" s="696"/>
    </row>
    <row r="3317" spans="1:9" ht="12.75">
      <c r="A3317" s="998"/>
      <c r="B3317" s="999"/>
      <c r="C3317" s="474"/>
      <c r="D3317" s="474"/>
      <c r="E3317" s="474"/>
      <c r="F3317" s="474"/>
      <c r="G3317" s="696"/>
      <c r="H3317" s="474"/>
      <c r="I3317" s="696"/>
    </row>
    <row r="3318" spans="1:9" ht="12.75">
      <c r="A3318" s="998"/>
      <c r="B3318" s="999"/>
      <c r="C3318" s="474"/>
      <c r="D3318" s="474"/>
      <c r="E3318" s="474"/>
      <c r="F3318" s="474"/>
      <c r="G3318" s="696"/>
      <c r="H3318" s="474"/>
      <c r="I3318" s="696"/>
    </row>
    <row r="3319" spans="1:9" ht="12.75">
      <c r="A3319" s="998"/>
      <c r="B3319" s="999"/>
      <c r="C3319" s="474"/>
      <c r="D3319" s="474"/>
      <c r="E3319" s="474"/>
      <c r="F3319" s="474"/>
      <c r="G3319" s="696"/>
      <c r="H3319" s="474"/>
      <c r="I3319" s="696"/>
    </row>
    <row r="3320" spans="1:9" ht="12.75">
      <c r="A3320" s="998"/>
      <c r="B3320" s="999"/>
      <c r="C3320" s="474"/>
      <c r="D3320" s="474"/>
      <c r="E3320" s="474"/>
      <c r="F3320" s="474"/>
      <c r="G3320" s="696"/>
      <c r="H3320" s="474"/>
      <c r="I3320" s="696"/>
    </row>
    <row r="3321" spans="1:9" ht="12.75">
      <c r="A3321" s="998"/>
      <c r="B3321" s="999"/>
      <c r="C3321" s="474"/>
      <c r="D3321" s="474"/>
      <c r="E3321" s="474"/>
      <c r="F3321" s="474"/>
      <c r="G3321" s="696"/>
      <c r="H3321" s="474"/>
      <c r="I3321" s="696"/>
    </row>
    <row r="3322" spans="1:9" ht="12.75">
      <c r="A3322" s="998"/>
      <c r="B3322" s="999"/>
      <c r="C3322" s="474"/>
      <c r="D3322" s="474"/>
      <c r="E3322" s="474"/>
      <c r="F3322" s="474"/>
      <c r="G3322" s="696"/>
      <c r="H3322" s="474"/>
      <c r="I3322" s="696"/>
    </row>
    <row r="3323" spans="1:9" ht="12.75">
      <c r="A3323" s="998"/>
      <c r="B3323" s="999"/>
      <c r="C3323" s="474"/>
      <c r="D3323" s="474"/>
      <c r="E3323" s="474"/>
      <c r="F3323" s="474"/>
      <c r="G3323" s="696"/>
      <c r="H3323" s="474"/>
      <c r="I3323" s="696"/>
    </row>
    <row r="3324" spans="1:9" ht="12.75">
      <c r="A3324" s="998"/>
      <c r="B3324" s="999"/>
      <c r="C3324" s="474"/>
      <c r="D3324" s="474"/>
      <c r="E3324" s="474"/>
      <c r="F3324" s="474"/>
      <c r="G3324" s="696"/>
      <c r="H3324" s="474"/>
      <c r="I3324" s="696"/>
    </row>
    <row r="3325" spans="1:9" ht="12.75">
      <c r="A3325" s="998"/>
      <c r="B3325" s="999"/>
      <c r="C3325" s="474"/>
      <c r="D3325" s="474"/>
      <c r="E3325" s="474"/>
      <c r="F3325" s="474"/>
      <c r="G3325" s="696"/>
      <c r="H3325" s="474"/>
      <c r="I3325" s="696"/>
    </row>
    <row r="3326" spans="1:9" ht="12.75">
      <c r="A3326" s="998"/>
      <c r="B3326" s="999"/>
      <c r="C3326" s="474"/>
      <c r="D3326" s="474"/>
      <c r="E3326" s="474"/>
      <c r="F3326" s="474"/>
      <c r="G3326" s="696"/>
      <c r="H3326" s="474"/>
      <c r="I3326" s="696"/>
    </row>
    <row r="3327" spans="1:9" ht="12.75">
      <c r="A3327" s="998"/>
      <c r="B3327" s="999"/>
      <c r="C3327" s="474"/>
      <c r="D3327" s="474"/>
      <c r="E3327" s="474"/>
      <c r="F3327" s="474"/>
      <c r="G3327" s="696"/>
      <c r="H3327" s="474"/>
      <c r="I3327" s="696"/>
    </row>
    <row r="3328" spans="1:9" ht="12.75">
      <c r="A3328" s="998"/>
      <c r="B3328" s="999"/>
      <c r="C3328" s="474"/>
      <c r="D3328" s="474"/>
      <c r="E3328" s="474"/>
      <c r="F3328" s="474"/>
      <c r="G3328" s="696"/>
      <c r="H3328" s="474"/>
      <c r="I3328" s="696"/>
    </row>
    <row r="3329" spans="1:9" ht="12.75">
      <c r="A3329" s="998"/>
      <c r="B3329" s="999"/>
      <c r="C3329" s="474"/>
      <c r="D3329" s="474"/>
      <c r="E3329" s="474"/>
      <c r="F3329" s="474"/>
      <c r="G3329" s="696"/>
      <c r="H3329" s="474"/>
      <c r="I3329" s="696"/>
    </row>
    <row r="3330" spans="1:9" ht="12.75">
      <c r="A3330" s="998"/>
      <c r="B3330" s="999"/>
      <c r="C3330" s="474"/>
      <c r="D3330" s="474"/>
      <c r="E3330" s="474"/>
      <c r="F3330" s="474"/>
      <c r="G3330" s="696"/>
      <c r="H3330" s="474"/>
      <c r="I3330" s="696"/>
    </row>
    <row r="3331" spans="1:9" ht="12.75">
      <c r="A3331" s="998"/>
      <c r="B3331" s="999"/>
      <c r="C3331" s="474"/>
      <c r="D3331" s="474"/>
      <c r="E3331" s="474"/>
      <c r="F3331" s="474"/>
      <c r="G3331" s="696"/>
      <c r="H3331" s="474"/>
      <c r="I3331" s="696"/>
    </row>
    <row r="3332" spans="1:9" ht="12.75">
      <c r="A3332" s="998"/>
      <c r="B3332" s="999"/>
      <c r="C3332" s="474"/>
      <c r="D3332" s="474"/>
      <c r="E3332" s="474"/>
      <c r="F3332" s="474"/>
      <c r="G3332" s="696"/>
      <c r="H3332" s="474"/>
      <c r="I3332" s="696"/>
    </row>
    <row r="3333" spans="1:9" ht="12.75">
      <c r="A3333" s="998"/>
      <c r="B3333" s="999"/>
      <c r="C3333" s="474"/>
      <c r="D3333" s="474"/>
      <c r="E3333" s="474"/>
      <c r="F3333" s="474"/>
      <c r="G3333" s="696"/>
      <c r="H3333" s="474"/>
      <c r="I3333" s="696"/>
    </row>
    <row r="3334" spans="1:9" ht="12.75">
      <c r="A3334" s="998"/>
      <c r="B3334" s="999"/>
      <c r="C3334" s="474"/>
      <c r="D3334" s="474"/>
      <c r="E3334" s="474"/>
      <c r="F3334" s="474"/>
      <c r="G3334" s="696"/>
      <c r="H3334" s="474"/>
      <c r="I3334" s="696"/>
    </row>
    <row r="3335" spans="1:9" ht="12.75">
      <c r="A3335" s="998"/>
      <c r="B3335" s="999"/>
      <c r="C3335" s="474"/>
      <c r="D3335" s="474"/>
      <c r="E3335" s="474"/>
      <c r="F3335" s="474"/>
      <c r="G3335" s="696"/>
      <c r="H3335" s="474"/>
      <c r="I3335" s="696"/>
    </row>
    <row r="3336" spans="1:9" ht="12.75">
      <c r="A3336" s="998"/>
      <c r="B3336" s="999"/>
      <c r="C3336" s="474"/>
      <c r="D3336" s="474"/>
      <c r="E3336" s="474"/>
      <c r="F3336" s="474"/>
      <c r="G3336" s="696"/>
      <c r="H3336" s="474"/>
      <c r="I3336" s="696"/>
    </row>
    <row r="3337" spans="1:9" ht="12.75">
      <c r="A3337" s="998"/>
      <c r="B3337" s="1000"/>
      <c r="C3337" s="474"/>
      <c r="D3337" s="474"/>
      <c r="E3337" s="474"/>
      <c r="F3337" s="474"/>
      <c r="G3337" s="696"/>
      <c r="H3337" s="474"/>
      <c r="I3337" s="696"/>
    </row>
    <row r="3338" spans="1:9" ht="12.75">
      <c r="A3338" s="998"/>
      <c r="B3338" s="999"/>
      <c r="C3338" s="474"/>
      <c r="D3338" s="474"/>
      <c r="E3338" s="474"/>
      <c r="F3338" s="474"/>
      <c r="G3338" s="696"/>
      <c r="H3338" s="474"/>
      <c r="I3338" s="696"/>
    </row>
    <row r="3339" spans="1:9" ht="12.75">
      <c r="A3339" s="998"/>
      <c r="B3339" s="999"/>
      <c r="C3339" s="474"/>
      <c r="D3339" s="474"/>
      <c r="E3339" s="474"/>
      <c r="F3339" s="474"/>
      <c r="G3339" s="696"/>
      <c r="H3339" s="474"/>
      <c r="I3339" s="696"/>
    </row>
    <row r="3340" spans="1:9" ht="12.75">
      <c r="A3340" s="998"/>
      <c r="B3340" s="999"/>
      <c r="C3340" s="474"/>
      <c r="D3340" s="474"/>
      <c r="E3340" s="474"/>
      <c r="F3340" s="474"/>
      <c r="G3340" s="696"/>
      <c r="H3340" s="474"/>
      <c r="I3340" s="696"/>
    </row>
    <row r="3341" spans="1:9" ht="12.75">
      <c r="A3341" s="998"/>
      <c r="B3341" s="999"/>
      <c r="C3341" s="474"/>
      <c r="D3341" s="474"/>
      <c r="E3341" s="474"/>
      <c r="F3341" s="474"/>
      <c r="G3341" s="696"/>
      <c r="H3341" s="474"/>
      <c r="I3341" s="696"/>
    </row>
    <row r="3342" spans="1:9" ht="12.75">
      <c r="A3342" s="998"/>
      <c r="B3342" s="999"/>
      <c r="C3342" s="474"/>
      <c r="D3342" s="474"/>
      <c r="E3342" s="474"/>
      <c r="F3342" s="474"/>
      <c r="G3342" s="696"/>
      <c r="H3342" s="474"/>
      <c r="I3342" s="696"/>
    </row>
    <row r="3343" spans="1:9" ht="12.75">
      <c r="A3343" s="998"/>
      <c r="B3343" s="999"/>
      <c r="C3343" s="474"/>
      <c r="D3343" s="474"/>
      <c r="E3343" s="474"/>
      <c r="F3343" s="474"/>
      <c r="G3343" s="696"/>
      <c r="H3343" s="474"/>
      <c r="I3343" s="696"/>
    </row>
    <row r="3344" spans="1:9" ht="12.75">
      <c r="A3344" s="998"/>
      <c r="B3344" s="999"/>
      <c r="C3344" s="474"/>
      <c r="D3344" s="474"/>
      <c r="E3344" s="474"/>
      <c r="F3344" s="474"/>
      <c r="G3344" s="696"/>
      <c r="H3344" s="474"/>
      <c r="I3344" s="696"/>
    </row>
    <row r="3345" spans="1:9" ht="12.75">
      <c r="A3345" s="998"/>
      <c r="B3345" s="999"/>
      <c r="C3345" s="474"/>
      <c r="D3345" s="474"/>
      <c r="E3345" s="474"/>
      <c r="F3345" s="474"/>
      <c r="G3345" s="696"/>
      <c r="H3345" s="474"/>
      <c r="I3345" s="696"/>
    </row>
    <row r="3346" spans="1:9" ht="12.75">
      <c r="A3346" s="998"/>
      <c r="B3346" s="999"/>
      <c r="C3346" s="474"/>
      <c r="D3346" s="474"/>
      <c r="E3346" s="474"/>
      <c r="F3346" s="474"/>
      <c r="G3346" s="696"/>
      <c r="H3346" s="474"/>
      <c r="I3346" s="696"/>
    </row>
    <row r="3347" spans="1:9" ht="12.75">
      <c r="A3347" s="998"/>
      <c r="B3347" s="999"/>
      <c r="C3347" s="474"/>
      <c r="D3347" s="474"/>
      <c r="E3347" s="474"/>
      <c r="F3347" s="474"/>
      <c r="G3347" s="696"/>
      <c r="H3347" s="474"/>
      <c r="I3347" s="696"/>
    </row>
    <row r="3348" spans="1:9" ht="12.75">
      <c r="A3348" s="998"/>
      <c r="B3348" s="999"/>
      <c r="C3348" s="474"/>
      <c r="D3348" s="474"/>
      <c r="E3348" s="474"/>
      <c r="F3348" s="474"/>
      <c r="G3348" s="696"/>
      <c r="H3348" s="474"/>
      <c r="I3348" s="696"/>
    </row>
    <row r="3349" spans="1:9" ht="12.75">
      <c r="A3349" s="998"/>
      <c r="B3349" s="999"/>
      <c r="C3349" s="474"/>
      <c r="D3349" s="474"/>
      <c r="E3349" s="474"/>
      <c r="F3349" s="474"/>
      <c r="G3349" s="696"/>
      <c r="H3349" s="474"/>
      <c r="I3349" s="696"/>
    </row>
    <row r="3350" spans="1:9" ht="12.75">
      <c r="A3350" s="998"/>
      <c r="B3350" s="999"/>
      <c r="C3350" s="474"/>
      <c r="D3350" s="474"/>
      <c r="E3350" s="474"/>
      <c r="F3350" s="474"/>
      <c r="G3350" s="696"/>
      <c r="H3350" s="474"/>
      <c r="I3350" s="696"/>
    </row>
    <row r="3351" spans="1:9" ht="12.75">
      <c r="A3351" s="998"/>
      <c r="B3351" s="999"/>
      <c r="C3351" s="474"/>
      <c r="D3351" s="474"/>
      <c r="E3351" s="474"/>
      <c r="F3351" s="474"/>
      <c r="G3351" s="696"/>
      <c r="H3351" s="474"/>
      <c r="I3351" s="696"/>
    </row>
    <row r="3352" spans="1:9" ht="12.75">
      <c r="A3352" s="998"/>
      <c r="B3352" s="999"/>
      <c r="C3352" s="474"/>
      <c r="D3352" s="474"/>
      <c r="E3352" s="474"/>
      <c r="F3352" s="474"/>
      <c r="G3352" s="696"/>
      <c r="H3352" s="474"/>
      <c r="I3352" s="696"/>
    </row>
    <row r="3353" spans="1:9" ht="12.75">
      <c r="A3353" s="998"/>
      <c r="B3353" s="999"/>
      <c r="C3353" s="474"/>
      <c r="D3353" s="474"/>
      <c r="E3353" s="474"/>
      <c r="F3353" s="474"/>
      <c r="G3353" s="696"/>
      <c r="H3353" s="474"/>
      <c r="I3353" s="696"/>
    </row>
    <row r="3354" spans="1:9" ht="12.75">
      <c r="A3354" s="998"/>
      <c r="B3354" s="999"/>
      <c r="C3354" s="474"/>
      <c r="D3354" s="474"/>
      <c r="E3354" s="474"/>
      <c r="F3354" s="474"/>
      <c r="G3354" s="696"/>
      <c r="H3354" s="474"/>
      <c r="I3354" s="696"/>
    </row>
    <row r="3355" spans="1:9" ht="12.75">
      <c r="A3355" s="998"/>
      <c r="B3355" s="999"/>
      <c r="C3355" s="474"/>
      <c r="D3355" s="474"/>
      <c r="E3355" s="474"/>
      <c r="F3355" s="474"/>
      <c r="G3355" s="696"/>
      <c r="H3355" s="474"/>
      <c r="I3355" s="696"/>
    </row>
    <row r="3356" spans="1:9" ht="12.75">
      <c r="A3356" s="998"/>
      <c r="B3356" s="999"/>
      <c r="C3356" s="474"/>
      <c r="D3356" s="474"/>
      <c r="E3356" s="474"/>
      <c r="F3356" s="474"/>
      <c r="G3356" s="696"/>
      <c r="H3356" s="474"/>
      <c r="I3356" s="696"/>
    </row>
    <row r="3357" spans="1:9" ht="12.75">
      <c r="A3357" s="998"/>
      <c r="B3357" s="999"/>
      <c r="C3357" s="474"/>
      <c r="D3357" s="474"/>
      <c r="E3357" s="474"/>
      <c r="F3357" s="474"/>
      <c r="G3357" s="696"/>
      <c r="H3357" s="474"/>
      <c r="I3357" s="696"/>
    </row>
    <row r="3358" spans="1:9" ht="12.75">
      <c r="A3358" s="998"/>
      <c r="B3358" s="999"/>
      <c r="C3358" s="474"/>
      <c r="D3358" s="474"/>
      <c r="E3358" s="474"/>
      <c r="F3358" s="474"/>
      <c r="G3358" s="696"/>
      <c r="H3358" s="474"/>
      <c r="I3358" s="696"/>
    </row>
    <row r="3359" spans="1:9" ht="12.75">
      <c r="A3359" s="998"/>
      <c r="B3359" s="999"/>
      <c r="C3359" s="474"/>
      <c r="D3359" s="474"/>
      <c r="E3359" s="474"/>
      <c r="F3359" s="474"/>
      <c r="G3359" s="696"/>
      <c r="H3359" s="474"/>
      <c r="I3359" s="696"/>
    </row>
    <row r="3360" spans="1:9" ht="12.75">
      <c r="A3360" s="998"/>
      <c r="B3360" s="999"/>
      <c r="C3360" s="474"/>
      <c r="D3360" s="474"/>
      <c r="E3360" s="474"/>
      <c r="F3360" s="474"/>
      <c r="G3360" s="696"/>
      <c r="H3360" s="474"/>
      <c r="I3360" s="696"/>
    </row>
    <row r="3361" spans="1:9" ht="12.75">
      <c r="A3361" s="998"/>
      <c r="B3361" s="999"/>
      <c r="C3361" s="474"/>
      <c r="D3361" s="474"/>
      <c r="E3361" s="474"/>
      <c r="F3361" s="474"/>
      <c r="G3361" s="696"/>
      <c r="H3361" s="474"/>
      <c r="I3361" s="696"/>
    </row>
    <row r="3362" spans="1:9" ht="12.75">
      <c r="A3362" s="998"/>
      <c r="B3362" s="999"/>
      <c r="C3362" s="474"/>
      <c r="D3362" s="474"/>
      <c r="E3362" s="474"/>
      <c r="F3362" s="474"/>
      <c r="G3362" s="696"/>
      <c r="H3362" s="474"/>
      <c r="I3362" s="696"/>
    </row>
    <row r="3363" spans="1:9" ht="12.75">
      <c r="A3363" s="998"/>
      <c r="B3363" s="999"/>
      <c r="C3363" s="474"/>
      <c r="D3363" s="474"/>
      <c r="E3363" s="474"/>
      <c r="F3363" s="474"/>
      <c r="G3363" s="696"/>
      <c r="H3363" s="474"/>
      <c r="I3363" s="696"/>
    </row>
    <row r="3364" spans="1:9" ht="12.75">
      <c r="A3364" s="998"/>
      <c r="B3364" s="999"/>
      <c r="C3364" s="474"/>
      <c r="D3364" s="474"/>
      <c r="E3364" s="474"/>
      <c r="F3364" s="474"/>
      <c r="G3364" s="696"/>
      <c r="H3364" s="474"/>
      <c r="I3364" s="696"/>
    </row>
    <row r="3365" spans="1:9" ht="12.75">
      <c r="A3365" s="998"/>
      <c r="B3365" s="999"/>
      <c r="C3365" s="474"/>
      <c r="D3365" s="474"/>
      <c r="E3365" s="474"/>
      <c r="F3365" s="474"/>
      <c r="G3365" s="696"/>
      <c r="H3365" s="474"/>
      <c r="I3365" s="696"/>
    </row>
    <row r="3366" spans="1:9" ht="12.75">
      <c r="A3366" s="998"/>
      <c r="B3366" s="999"/>
      <c r="C3366" s="474"/>
      <c r="D3366" s="474"/>
      <c r="E3366" s="474"/>
      <c r="F3366" s="474"/>
      <c r="G3366" s="696"/>
      <c r="H3366" s="474"/>
      <c r="I3366" s="696"/>
    </row>
    <row r="3367" spans="1:9" ht="12.75">
      <c r="A3367" s="998"/>
      <c r="B3367" s="999"/>
      <c r="C3367" s="474"/>
      <c r="D3367" s="474"/>
      <c r="E3367" s="474"/>
      <c r="F3367" s="474"/>
      <c r="G3367" s="696"/>
      <c r="H3367" s="474"/>
      <c r="I3367" s="696"/>
    </row>
    <row r="3368" spans="1:9" ht="12.75">
      <c r="A3368" s="998"/>
      <c r="B3368" s="999"/>
      <c r="C3368" s="474"/>
      <c r="D3368" s="474"/>
      <c r="E3368" s="474"/>
      <c r="F3368" s="474"/>
      <c r="G3368" s="696"/>
      <c r="H3368" s="474"/>
      <c r="I3368" s="696"/>
    </row>
    <row r="3369" spans="1:9" ht="12.75">
      <c r="A3369" s="998"/>
      <c r="B3369" s="999"/>
      <c r="C3369" s="474"/>
      <c r="D3369" s="474"/>
      <c r="E3369" s="474"/>
      <c r="F3369" s="474"/>
      <c r="G3369" s="696"/>
      <c r="H3369" s="474"/>
      <c r="I3369" s="696"/>
    </row>
    <row r="3370" spans="1:9" ht="12.75">
      <c r="A3370" s="998"/>
      <c r="B3370" s="999"/>
      <c r="C3370" s="474"/>
      <c r="D3370" s="474"/>
      <c r="E3370" s="474"/>
      <c r="F3370" s="474"/>
      <c r="G3370" s="696"/>
      <c r="H3370" s="474"/>
      <c r="I3370" s="696"/>
    </row>
    <row r="3371" spans="1:9" ht="12.75">
      <c r="A3371" s="998"/>
      <c r="B3371" s="999"/>
      <c r="C3371" s="474"/>
      <c r="D3371" s="474"/>
      <c r="E3371" s="474"/>
      <c r="F3371" s="474"/>
      <c r="G3371" s="696"/>
      <c r="H3371" s="474"/>
      <c r="I3371" s="696"/>
    </row>
    <row r="3372" spans="1:9" ht="12.75">
      <c r="A3372" s="998"/>
      <c r="B3372" s="999"/>
      <c r="C3372" s="474"/>
      <c r="D3372" s="474"/>
      <c r="E3372" s="474"/>
      <c r="F3372" s="474"/>
      <c r="G3372" s="696"/>
      <c r="H3372" s="474"/>
      <c r="I3372" s="696"/>
    </row>
    <row r="3373" spans="1:9" ht="12.75">
      <c r="A3373" s="998"/>
      <c r="B3373" s="999"/>
      <c r="C3373" s="474"/>
      <c r="D3373" s="474"/>
      <c r="E3373" s="474"/>
      <c r="F3373" s="474"/>
      <c r="G3373" s="696"/>
      <c r="H3373" s="474"/>
      <c r="I3373" s="696"/>
    </row>
    <row r="3374" spans="1:9" ht="12.75">
      <c r="A3374" s="998"/>
      <c r="B3374" s="999"/>
      <c r="C3374" s="474"/>
      <c r="D3374" s="474"/>
      <c r="E3374" s="474"/>
      <c r="F3374" s="474"/>
      <c r="G3374" s="696"/>
      <c r="H3374" s="474"/>
      <c r="I3374" s="696"/>
    </row>
    <row r="3375" spans="1:9" ht="12.75">
      <c r="A3375" s="998"/>
      <c r="B3375" s="999"/>
      <c r="C3375" s="474"/>
      <c r="D3375" s="474"/>
      <c r="E3375" s="474"/>
      <c r="F3375" s="474"/>
      <c r="G3375" s="696"/>
      <c r="H3375" s="474"/>
      <c r="I3375" s="696"/>
    </row>
    <row r="3376" spans="1:9" ht="12.75">
      <c r="A3376" s="998"/>
      <c r="B3376" s="999"/>
      <c r="C3376" s="474"/>
      <c r="D3376" s="474"/>
      <c r="E3376" s="474"/>
      <c r="F3376" s="474"/>
      <c r="G3376" s="696"/>
      <c r="H3376" s="474"/>
      <c r="I3376" s="696"/>
    </row>
    <row r="3377" spans="1:9" ht="12.75">
      <c r="A3377" s="998"/>
      <c r="B3377" s="999"/>
      <c r="C3377" s="474"/>
      <c r="D3377" s="474"/>
      <c r="E3377" s="474"/>
      <c r="F3377" s="474"/>
      <c r="G3377" s="696"/>
      <c r="H3377" s="474"/>
      <c r="I3377" s="696"/>
    </row>
    <row r="3378" spans="1:9" ht="12.75">
      <c r="A3378" s="998"/>
      <c r="B3378" s="999"/>
      <c r="C3378" s="474"/>
      <c r="D3378" s="474"/>
      <c r="E3378" s="474"/>
      <c r="F3378" s="474"/>
      <c r="G3378" s="696"/>
      <c r="H3378" s="474"/>
      <c r="I3378" s="696"/>
    </row>
    <row r="3379" spans="1:9" ht="12.75">
      <c r="A3379" s="998"/>
      <c r="B3379" s="999"/>
      <c r="C3379" s="474"/>
      <c r="D3379" s="474"/>
      <c r="E3379" s="474"/>
      <c r="F3379" s="474"/>
      <c r="G3379" s="696"/>
      <c r="H3379" s="474"/>
      <c r="I3379" s="696"/>
    </row>
    <row r="3380" spans="1:9" ht="12.75">
      <c r="A3380" s="998"/>
      <c r="B3380" s="999"/>
      <c r="C3380" s="474"/>
      <c r="D3380" s="474"/>
      <c r="E3380" s="474"/>
      <c r="F3380" s="474"/>
      <c r="G3380" s="696"/>
      <c r="H3380" s="474"/>
      <c r="I3380" s="696"/>
    </row>
    <row r="3381" spans="1:9" ht="12.75">
      <c r="A3381" s="998"/>
      <c r="B3381" s="999"/>
      <c r="C3381" s="474"/>
      <c r="D3381" s="474"/>
      <c r="E3381" s="474"/>
      <c r="F3381" s="474"/>
      <c r="G3381" s="696"/>
      <c r="H3381" s="474"/>
      <c r="I3381" s="696"/>
    </row>
    <row r="3382" spans="1:9" ht="12.75">
      <c r="A3382" s="998"/>
      <c r="B3382" s="999"/>
      <c r="C3382" s="474"/>
      <c r="D3382" s="474"/>
      <c r="E3382" s="474"/>
      <c r="F3382" s="474"/>
      <c r="G3382" s="696"/>
      <c r="H3382" s="474"/>
      <c r="I3382" s="696"/>
    </row>
    <row r="3383" spans="1:9" ht="12.75">
      <c r="A3383" s="998"/>
      <c r="B3383" s="999"/>
      <c r="C3383" s="474"/>
      <c r="D3383" s="474"/>
      <c r="E3383" s="474"/>
      <c r="F3383" s="474"/>
      <c r="G3383" s="696"/>
      <c r="H3383" s="474"/>
      <c r="I3383" s="696"/>
    </row>
    <row r="3384" spans="1:9" ht="12.75">
      <c r="A3384" s="998"/>
      <c r="B3384" s="999"/>
      <c r="C3384" s="474"/>
      <c r="D3384" s="474"/>
      <c r="E3384" s="474"/>
      <c r="F3384" s="474"/>
      <c r="G3384" s="696"/>
      <c r="H3384" s="474"/>
      <c r="I3384" s="696"/>
    </row>
    <row r="3385" spans="1:9" ht="12.75">
      <c r="A3385" s="998"/>
      <c r="B3385" s="999"/>
      <c r="C3385" s="474"/>
      <c r="D3385" s="474"/>
      <c r="E3385" s="474"/>
      <c r="F3385" s="474"/>
      <c r="G3385" s="696"/>
      <c r="H3385" s="474"/>
      <c r="I3385" s="696"/>
    </row>
    <row r="3386" spans="1:9" ht="12.75">
      <c r="A3386" s="998"/>
      <c r="B3386" s="999"/>
      <c r="C3386" s="474"/>
      <c r="D3386" s="474"/>
      <c r="E3386" s="474"/>
      <c r="F3386" s="474"/>
      <c r="G3386" s="696"/>
      <c r="H3386" s="474"/>
      <c r="I3386" s="696"/>
    </row>
    <row r="3387" spans="1:9" ht="12.75">
      <c r="A3387" s="998"/>
      <c r="B3387" s="999"/>
      <c r="C3387" s="474"/>
      <c r="D3387" s="474"/>
      <c r="E3387" s="474"/>
      <c r="F3387" s="474"/>
      <c r="G3387" s="696"/>
      <c r="H3387" s="474"/>
      <c r="I3387" s="696"/>
    </row>
    <row r="3388" spans="1:9" ht="12.75">
      <c r="A3388" s="998"/>
      <c r="B3388" s="999"/>
      <c r="C3388" s="474"/>
      <c r="D3388" s="474"/>
      <c r="E3388" s="474"/>
      <c r="F3388" s="474"/>
      <c r="G3388" s="696"/>
      <c r="H3388" s="474"/>
      <c r="I3388" s="696"/>
    </row>
    <row r="3389" spans="1:9" ht="12.75">
      <c r="A3389" s="998"/>
      <c r="B3389" s="999"/>
      <c r="C3389" s="474"/>
      <c r="D3389" s="474"/>
      <c r="E3389" s="474"/>
      <c r="F3389" s="474"/>
      <c r="G3389" s="696"/>
      <c r="H3389" s="474"/>
      <c r="I3389" s="696"/>
    </row>
    <row r="3390" spans="1:9" ht="12.75">
      <c r="A3390" s="998"/>
      <c r="B3390" s="999"/>
      <c r="C3390" s="474"/>
      <c r="D3390" s="474"/>
      <c r="E3390" s="474"/>
      <c r="F3390" s="474"/>
      <c r="G3390" s="696"/>
      <c r="H3390" s="474"/>
      <c r="I3390" s="696"/>
    </row>
    <row r="3391" spans="1:9" ht="12.75">
      <c r="A3391" s="998"/>
      <c r="B3391" s="999"/>
      <c r="C3391" s="474"/>
      <c r="D3391" s="474"/>
      <c r="E3391" s="474"/>
      <c r="F3391" s="474"/>
      <c r="G3391" s="696"/>
      <c r="H3391" s="474"/>
      <c r="I3391" s="696"/>
    </row>
    <row r="3392" spans="1:9" ht="12.75">
      <c r="A3392" s="998"/>
      <c r="B3392" s="999"/>
      <c r="C3392" s="474"/>
      <c r="D3392" s="474"/>
      <c r="E3392" s="474"/>
      <c r="F3392" s="474"/>
      <c r="G3392" s="696"/>
      <c r="H3392" s="474"/>
      <c r="I3392" s="696"/>
    </row>
    <row r="3393" spans="1:9" ht="12.75">
      <c r="A3393" s="998"/>
      <c r="B3393" s="999"/>
      <c r="C3393" s="474"/>
      <c r="D3393" s="474"/>
      <c r="E3393" s="474"/>
      <c r="F3393" s="474"/>
      <c r="G3393" s="696"/>
      <c r="H3393" s="474"/>
      <c r="I3393" s="696"/>
    </row>
    <row r="3394" spans="1:9" ht="12.75">
      <c r="A3394" s="998"/>
      <c r="B3394" s="999"/>
      <c r="C3394" s="474"/>
      <c r="D3394" s="474"/>
      <c r="E3394" s="474"/>
      <c r="F3394" s="474"/>
      <c r="G3394" s="696"/>
      <c r="H3394" s="474"/>
      <c r="I3394" s="696"/>
    </row>
    <row r="3395" spans="1:9" ht="12.75">
      <c r="A3395" s="998"/>
      <c r="B3395" s="999"/>
      <c r="C3395" s="474"/>
      <c r="D3395" s="474"/>
      <c r="E3395" s="474"/>
      <c r="F3395" s="474"/>
      <c r="G3395" s="696"/>
      <c r="H3395" s="474"/>
      <c r="I3395" s="696"/>
    </row>
    <row r="3396" spans="1:9" ht="12.75">
      <c r="A3396" s="998"/>
      <c r="B3396" s="999"/>
      <c r="C3396" s="474"/>
      <c r="D3396" s="474"/>
      <c r="E3396" s="474"/>
      <c r="F3396" s="474"/>
      <c r="G3396" s="696"/>
      <c r="H3396" s="474"/>
      <c r="I3396" s="696"/>
    </row>
    <row r="3397" spans="1:9" ht="12.75">
      <c r="A3397" s="998"/>
      <c r="B3397" s="999"/>
      <c r="C3397" s="474"/>
      <c r="D3397" s="474"/>
      <c r="E3397" s="474"/>
      <c r="F3397" s="474"/>
      <c r="G3397" s="696"/>
      <c r="H3397" s="474"/>
      <c r="I3397" s="696"/>
    </row>
    <row r="3398" spans="1:9" ht="12.75">
      <c r="A3398" s="998"/>
      <c r="B3398" s="999"/>
      <c r="C3398" s="474"/>
      <c r="D3398" s="474"/>
      <c r="E3398" s="474"/>
      <c r="F3398" s="474"/>
      <c r="G3398" s="696"/>
      <c r="H3398" s="474"/>
      <c r="I3398" s="696"/>
    </row>
    <row r="3399" spans="1:9" ht="12.75">
      <c r="A3399" s="998"/>
      <c r="B3399" s="999"/>
      <c r="C3399" s="474"/>
      <c r="D3399" s="474"/>
      <c r="E3399" s="474"/>
      <c r="F3399" s="474"/>
      <c r="G3399" s="696"/>
      <c r="H3399" s="474"/>
      <c r="I3399" s="696"/>
    </row>
    <row r="3400" spans="1:9" ht="12.75">
      <c r="A3400" s="998"/>
      <c r="B3400" s="999"/>
      <c r="C3400" s="474"/>
      <c r="D3400" s="474"/>
      <c r="E3400" s="474"/>
      <c r="F3400" s="474"/>
      <c r="G3400" s="696"/>
      <c r="H3400" s="474"/>
      <c r="I3400" s="696"/>
    </row>
    <row r="3401" spans="1:9" ht="12.75">
      <c r="A3401" s="998"/>
      <c r="B3401" s="999"/>
      <c r="C3401" s="474"/>
      <c r="D3401" s="474"/>
      <c r="E3401" s="474"/>
      <c r="F3401" s="474"/>
      <c r="G3401" s="696"/>
      <c r="H3401" s="474"/>
      <c r="I3401" s="696"/>
    </row>
    <row r="3402" spans="1:9" ht="12.75">
      <c r="A3402" s="998"/>
      <c r="B3402" s="999"/>
      <c r="C3402" s="474"/>
      <c r="D3402" s="474"/>
      <c r="E3402" s="474"/>
      <c r="F3402" s="474"/>
      <c r="G3402" s="696"/>
      <c r="H3402" s="474"/>
      <c r="I3402" s="696"/>
    </row>
    <row r="3403" spans="1:9" ht="12.75">
      <c r="A3403" s="998"/>
      <c r="B3403" s="999"/>
      <c r="C3403" s="474"/>
      <c r="D3403" s="474"/>
      <c r="E3403" s="474"/>
      <c r="F3403" s="474"/>
      <c r="G3403" s="696"/>
      <c r="H3403" s="474"/>
      <c r="I3403" s="696"/>
    </row>
    <row r="3404" spans="1:9" ht="12.75">
      <c r="A3404" s="998"/>
      <c r="B3404" s="999"/>
      <c r="C3404" s="474"/>
      <c r="D3404" s="474"/>
      <c r="E3404" s="474"/>
      <c r="F3404" s="474"/>
      <c r="G3404" s="696"/>
      <c r="H3404" s="474"/>
      <c r="I3404" s="696"/>
    </row>
    <row r="3405" spans="1:9" ht="12.75">
      <c r="A3405" s="998"/>
      <c r="B3405" s="999"/>
      <c r="C3405" s="474"/>
      <c r="D3405" s="474"/>
      <c r="E3405" s="474"/>
      <c r="F3405" s="474"/>
      <c r="G3405" s="696"/>
      <c r="H3405" s="474"/>
      <c r="I3405" s="696"/>
    </row>
    <row r="3406" spans="1:9" ht="12.75">
      <c r="A3406" s="998"/>
      <c r="B3406" s="999"/>
      <c r="C3406" s="474"/>
      <c r="D3406" s="474"/>
      <c r="E3406" s="474"/>
      <c r="F3406" s="474"/>
      <c r="G3406" s="696"/>
      <c r="H3406" s="474"/>
      <c r="I3406" s="696"/>
    </row>
    <row r="3407" spans="1:9" ht="12.75">
      <c r="A3407" s="998"/>
      <c r="B3407" s="999"/>
      <c r="C3407" s="474"/>
      <c r="D3407" s="474"/>
      <c r="E3407" s="474"/>
      <c r="F3407" s="474"/>
      <c r="G3407" s="696"/>
      <c r="H3407" s="474"/>
      <c r="I3407" s="696"/>
    </row>
    <row r="3408" spans="1:9" ht="12.75">
      <c r="A3408" s="998"/>
      <c r="B3408" s="999"/>
      <c r="C3408" s="474"/>
      <c r="D3408" s="474"/>
      <c r="E3408" s="474"/>
      <c r="F3408" s="474"/>
      <c r="G3408" s="696"/>
      <c r="H3408" s="474"/>
      <c r="I3408" s="696"/>
    </row>
    <row r="3409" spans="1:9" ht="12.75">
      <c r="A3409" s="998"/>
      <c r="B3409" s="999"/>
      <c r="C3409" s="474"/>
      <c r="D3409" s="474"/>
      <c r="E3409" s="474"/>
      <c r="F3409" s="474"/>
      <c r="G3409" s="696"/>
      <c r="H3409" s="474"/>
      <c r="I3409" s="696"/>
    </row>
    <row r="3410" spans="1:9" ht="12.75">
      <c r="A3410" s="998"/>
      <c r="B3410" s="999"/>
      <c r="C3410" s="474"/>
      <c r="D3410" s="474"/>
      <c r="E3410" s="474"/>
      <c r="F3410" s="474"/>
      <c r="G3410" s="696"/>
      <c r="H3410" s="474"/>
      <c r="I3410" s="696"/>
    </row>
    <row r="3411" spans="1:9" ht="12.75">
      <c r="A3411" s="998"/>
      <c r="B3411" s="999"/>
      <c r="C3411" s="474"/>
      <c r="D3411" s="474"/>
      <c r="E3411" s="474"/>
      <c r="F3411" s="474"/>
      <c r="G3411" s="696"/>
      <c r="H3411" s="474"/>
      <c r="I3411" s="696"/>
    </row>
    <row r="3412" spans="1:9" ht="12.75">
      <c r="A3412" s="998"/>
      <c r="B3412" s="999"/>
      <c r="C3412" s="474"/>
      <c r="D3412" s="474"/>
      <c r="E3412" s="474"/>
      <c r="F3412" s="474"/>
      <c r="G3412" s="696"/>
      <c r="H3412" s="474"/>
      <c r="I3412" s="696"/>
    </row>
    <row r="3413" spans="1:9" ht="12.75">
      <c r="A3413" s="998"/>
      <c r="B3413" s="999"/>
      <c r="C3413" s="474"/>
      <c r="D3413" s="474"/>
      <c r="E3413" s="474"/>
      <c r="F3413" s="474"/>
      <c r="G3413" s="696"/>
      <c r="H3413" s="474"/>
      <c r="I3413" s="696"/>
    </row>
    <row r="3414" spans="1:9" ht="12.75">
      <c r="A3414" s="998"/>
      <c r="B3414" s="999"/>
      <c r="C3414" s="474"/>
      <c r="D3414" s="474"/>
      <c r="E3414" s="474"/>
      <c r="F3414" s="474"/>
      <c r="G3414" s="696"/>
      <c r="H3414" s="474"/>
      <c r="I3414" s="696"/>
    </row>
    <row r="3415" spans="1:9" ht="12.75">
      <c r="A3415" s="998"/>
      <c r="B3415" s="999"/>
      <c r="C3415" s="474"/>
      <c r="D3415" s="474"/>
      <c r="E3415" s="474"/>
      <c r="F3415" s="474"/>
      <c r="G3415" s="696"/>
      <c r="H3415" s="474"/>
      <c r="I3415" s="696"/>
    </row>
    <row r="3416" spans="1:9" ht="12.75">
      <c r="A3416" s="998"/>
      <c r="B3416" s="999"/>
      <c r="C3416" s="474"/>
      <c r="D3416" s="474"/>
      <c r="E3416" s="474"/>
      <c r="F3416" s="474"/>
      <c r="G3416" s="696"/>
      <c r="H3416" s="474"/>
      <c r="I3416" s="696"/>
    </row>
    <row r="3417" spans="1:9" ht="12.75">
      <c r="A3417" s="998"/>
      <c r="B3417" s="999"/>
      <c r="C3417" s="474"/>
      <c r="D3417" s="474"/>
      <c r="E3417" s="474"/>
      <c r="F3417" s="474"/>
      <c r="G3417" s="696"/>
      <c r="H3417" s="474"/>
      <c r="I3417" s="696"/>
    </row>
    <row r="3418" spans="1:9" ht="12.75">
      <c r="A3418" s="998"/>
      <c r="B3418" s="999"/>
      <c r="C3418" s="474"/>
      <c r="D3418" s="474"/>
      <c r="E3418" s="474"/>
      <c r="F3418" s="474"/>
      <c r="G3418" s="696"/>
      <c r="H3418" s="474"/>
      <c r="I3418" s="696"/>
    </row>
    <row r="3419" spans="1:9" ht="12.75">
      <c r="A3419" s="998"/>
      <c r="B3419" s="999"/>
      <c r="C3419" s="474"/>
      <c r="D3419" s="474"/>
      <c r="E3419" s="474"/>
      <c r="F3419" s="474"/>
      <c r="G3419" s="696"/>
      <c r="H3419" s="474"/>
      <c r="I3419" s="696"/>
    </row>
    <row r="3420" spans="1:9" ht="12.75">
      <c r="A3420" s="998"/>
      <c r="B3420" s="999"/>
      <c r="C3420" s="474"/>
      <c r="D3420" s="474"/>
      <c r="E3420" s="474"/>
      <c r="F3420" s="474"/>
      <c r="G3420" s="696"/>
      <c r="H3420" s="474"/>
      <c r="I3420" s="696"/>
    </row>
    <row r="3421" spans="1:9" ht="12.75">
      <c r="A3421" s="998"/>
      <c r="B3421" s="999"/>
      <c r="C3421" s="474"/>
      <c r="D3421" s="474"/>
      <c r="E3421" s="474"/>
      <c r="F3421" s="474"/>
      <c r="G3421" s="696"/>
      <c r="H3421" s="474"/>
      <c r="I3421" s="696"/>
    </row>
    <row r="3422" spans="1:9" ht="12.75">
      <c r="A3422" s="998"/>
      <c r="B3422" s="999"/>
      <c r="C3422" s="474"/>
      <c r="D3422" s="474"/>
      <c r="E3422" s="474"/>
      <c r="F3422" s="474"/>
      <c r="G3422" s="696"/>
      <c r="H3422" s="474"/>
      <c r="I3422" s="696"/>
    </row>
    <row r="3423" spans="1:9" ht="12.75">
      <c r="A3423" s="998"/>
      <c r="B3423" s="999"/>
      <c r="C3423" s="474"/>
      <c r="D3423" s="474"/>
      <c r="E3423" s="474"/>
      <c r="F3423" s="474"/>
      <c r="G3423" s="696"/>
      <c r="H3423" s="474"/>
      <c r="I3423" s="696"/>
    </row>
    <row r="3424" spans="1:9" ht="12.75">
      <c r="A3424" s="998"/>
      <c r="B3424" s="999"/>
      <c r="C3424" s="474"/>
      <c r="D3424" s="474"/>
      <c r="E3424" s="474"/>
      <c r="F3424" s="474"/>
      <c r="G3424" s="696"/>
      <c r="H3424" s="474"/>
      <c r="I3424" s="696"/>
    </row>
    <row r="3425" spans="1:9" ht="12.75">
      <c r="A3425" s="998"/>
      <c r="B3425" s="999"/>
      <c r="C3425" s="474"/>
      <c r="D3425" s="474"/>
      <c r="E3425" s="474"/>
      <c r="F3425" s="474"/>
      <c r="G3425" s="696"/>
      <c r="H3425" s="474"/>
      <c r="I3425" s="696"/>
    </row>
    <row r="3426" spans="1:9" ht="12.75">
      <c r="A3426" s="998"/>
      <c r="B3426" s="999"/>
      <c r="C3426" s="474"/>
      <c r="D3426" s="474"/>
      <c r="E3426" s="474"/>
      <c r="F3426" s="474"/>
      <c r="G3426" s="696"/>
      <c r="H3426" s="474"/>
      <c r="I3426" s="696"/>
    </row>
    <row r="3427" spans="1:9" ht="12.75">
      <c r="A3427" s="998"/>
      <c r="B3427" s="999"/>
      <c r="C3427" s="474"/>
      <c r="D3427" s="474"/>
      <c r="E3427" s="474"/>
      <c r="F3427" s="474"/>
      <c r="G3427" s="696"/>
      <c r="H3427" s="474"/>
      <c r="I3427" s="696"/>
    </row>
    <row r="3428" spans="1:9" ht="12.75">
      <c r="A3428" s="998"/>
      <c r="B3428" s="999"/>
      <c r="C3428" s="474"/>
      <c r="D3428" s="474"/>
      <c r="E3428" s="474"/>
      <c r="F3428" s="474"/>
      <c r="G3428" s="696"/>
      <c r="H3428" s="474"/>
      <c r="I3428" s="696"/>
    </row>
    <row r="3429" spans="1:9" ht="12.75">
      <c r="A3429" s="998"/>
      <c r="B3429" s="999"/>
      <c r="C3429" s="474"/>
      <c r="D3429" s="474"/>
      <c r="E3429" s="474"/>
      <c r="F3429" s="474"/>
      <c r="G3429" s="696"/>
      <c r="H3429" s="474"/>
      <c r="I3429" s="696"/>
    </row>
    <row r="3430" spans="1:9" ht="12.75">
      <c r="A3430" s="998"/>
      <c r="B3430" s="999"/>
      <c r="C3430" s="474"/>
      <c r="D3430" s="474"/>
      <c r="E3430" s="474"/>
      <c r="F3430" s="474"/>
      <c r="G3430" s="696"/>
      <c r="H3430" s="474"/>
      <c r="I3430" s="696"/>
    </row>
    <row r="3431" spans="1:9" ht="12.75">
      <c r="A3431" s="998"/>
      <c r="B3431" s="999"/>
      <c r="C3431" s="474"/>
      <c r="D3431" s="474"/>
      <c r="E3431" s="474"/>
      <c r="F3431" s="474"/>
      <c r="G3431" s="696"/>
      <c r="H3431" s="474"/>
      <c r="I3431" s="696"/>
    </row>
    <row r="3432" spans="1:9" ht="12.75">
      <c r="A3432" s="998"/>
      <c r="B3432" s="999"/>
      <c r="C3432" s="474"/>
      <c r="D3432" s="474"/>
      <c r="E3432" s="474"/>
      <c r="F3432" s="474"/>
      <c r="G3432" s="696"/>
      <c r="H3432" s="474"/>
      <c r="I3432" s="696"/>
    </row>
    <row r="3433" spans="1:9" ht="12.75">
      <c r="A3433" s="998"/>
      <c r="B3433" s="999"/>
      <c r="C3433" s="474"/>
      <c r="D3433" s="474"/>
      <c r="E3433" s="474"/>
      <c r="F3433" s="474"/>
      <c r="G3433" s="696"/>
      <c r="H3433" s="474"/>
      <c r="I3433" s="696"/>
    </row>
    <row r="3434" spans="1:9" ht="12.75">
      <c r="A3434" s="998"/>
      <c r="B3434" s="999"/>
      <c r="C3434" s="474"/>
      <c r="D3434" s="474"/>
      <c r="E3434" s="474"/>
      <c r="F3434" s="474"/>
      <c r="G3434" s="696"/>
      <c r="H3434" s="474"/>
      <c r="I3434" s="696"/>
    </row>
    <row r="3435" spans="1:9" ht="12.75">
      <c r="A3435" s="998"/>
      <c r="B3435" s="999"/>
      <c r="C3435" s="474"/>
      <c r="D3435" s="474"/>
      <c r="E3435" s="474"/>
      <c r="F3435" s="474"/>
      <c r="G3435" s="696"/>
      <c r="H3435" s="474"/>
      <c r="I3435" s="696"/>
    </row>
    <row r="3436" spans="1:9" ht="12.75">
      <c r="A3436" s="998"/>
      <c r="B3436" s="999"/>
      <c r="C3436" s="474"/>
      <c r="D3436" s="474"/>
      <c r="E3436" s="474"/>
      <c r="F3436" s="474"/>
      <c r="G3436" s="696"/>
      <c r="H3436" s="474"/>
      <c r="I3436" s="696"/>
    </row>
    <row r="3437" spans="1:9" ht="12.75">
      <c r="A3437" s="998"/>
      <c r="B3437" s="999"/>
      <c r="C3437" s="474"/>
      <c r="D3437" s="474"/>
      <c r="E3437" s="474"/>
      <c r="F3437" s="474"/>
      <c r="G3437" s="696"/>
      <c r="H3437" s="474"/>
      <c r="I3437" s="696"/>
    </row>
    <row r="3438" spans="1:9" ht="12.75">
      <c r="A3438" s="998"/>
      <c r="B3438" s="999"/>
      <c r="C3438" s="474"/>
      <c r="D3438" s="474"/>
      <c r="E3438" s="474"/>
      <c r="F3438" s="474"/>
      <c r="G3438" s="696"/>
      <c r="H3438" s="474"/>
      <c r="I3438" s="696"/>
    </row>
    <row r="3439" spans="1:9" ht="12.75">
      <c r="A3439" s="998"/>
      <c r="B3439" s="999"/>
      <c r="C3439" s="474"/>
      <c r="D3439" s="474"/>
      <c r="E3439" s="474"/>
      <c r="F3439" s="474"/>
      <c r="G3439" s="696"/>
      <c r="H3439" s="474"/>
      <c r="I3439" s="696"/>
    </row>
    <row r="3440" spans="1:9" ht="12.75">
      <c r="A3440" s="998"/>
      <c r="B3440" s="999"/>
      <c r="C3440" s="474"/>
      <c r="D3440" s="474"/>
      <c r="E3440" s="474"/>
      <c r="F3440" s="474"/>
      <c r="G3440" s="696"/>
      <c r="H3440" s="474"/>
      <c r="I3440" s="696"/>
    </row>
    <row r="3441" spans="1:9" ht="12.75">
      <c r="A3441" s="998"/>
      <c r="B3441" s="999"/>
      <c r="C3441" s="474"/>
      <c r="D3441" s="474"/>
      <c r="E3441" s="474"/>
      <c r="F3441" s="474"/>
      <c r="G3441" s="696"/>
      <c r="H3441" s="474"/>
      <c r="I3441" s="696"/>
    </row>
    <row r="3442" spans="1:9" ht="12.75">
      <c r="A3442" s="998"/>
      <c r="B3442" s="999"/>
      <c r="C3442" s="474"/>
      <c r="D3442" s="474"/>
      <c r="E3442" s="474"/>
      <c r="F3442" s="474"/>
      <c r="G3442" s="696"/>
      <c r="H3442" s="474"/>
      <c r="I3442" s="696"/>
    </row>
    <row r="3443" spans="1:9" ht="12.75">
      <c r="A3443" s="998"/>
      <c r="B3443" s="999"/>
      <c r="C3443" s="474"/>
      <c r="D3443" s="474"/>
      <c r="E3443" s="474"/>
      <c r="F3443" s="474"/>
      <c r="G3443" s="696"/>
      <c r="H3443" s="474"/>
      <c r="I3443" s="696"/>
    </row>
    <row r="3444" spans="1:9" ht="12.75">
      <c r="A3444" s="998"/>
      <c r="B3444" s="999"/>
      <c r="C3444" s="474"/>
      <c r="D3444" s="474"/>
      <c r="E3444" s="474"/>
      <c r="F3444" s="474"/>
      <c r="G3444" s="696"/>
      <c r="H3444" s="474"/>
      <c r="I3444" s="696"/>
    </row>
    <row r="3445" spans="1:9" ht="12.75">
      <c r="A3445" s="998"/>
      <c r="B3445" s="999"/>
      <c r="C3445" s="474"/>
      <c r="D3445" s="474"/>
      <c r="E3445" s="474"/>
      <c r="F3445" s="474"/>
      <c r="G3445" s="696"/>
      <c r="H3445" s="474"/>
      <c r="I3445" s="696"/>
    </row>
    <row r="3446" spans="1:9" ht="12.75">
      <c r="A3446" s="998"/>
      <c r="B3446" s="999"/>
      <c r="C3446" s="474"/>
      <c r="D3446" s="474"/>
      <c r="E3446" s="474"/>
      <c r="F3446" s="474"/>
      <c r="G3446" s="696"/>
      <c r="H3446" s="474"/>
      <c r="I3446" s="696"/>
    </row>
    <row r="3447" spans="1:9" ht="12.75">
      <c r="A3447" s="998"/>
      <c r="B3447" s="999"/>
      <c r="C3447" s="474"/>
      <c r="D3447" s="474"/>
      <c r="E3447" s="474"/>
      <c r="F3447" s="474"/>
      <c r="G3447" s="696"/>
      <c r="H3447" s="474"/>
      <c r="I3447" s="696"/>
    </row>
    <row r="3448" spans="1:9" ht="12.75">
      <c r="A3448" s="998"/>
      <c r="B3448" s="999"/>
      <c r="C3448" s="474"/>
      <c r="D3448" s="474"/>
      <c r="E3448" s="474"/>
      <c r="F3448" s="474"/>
      <c r="G3448" s="696"/>
      <c r="H3448" s="474"/>
      <c r="I3448" s="696"/>
    </row>
    <row r="3449" spans="1:9" ht="12.75">
      <c r="A3449" s="998"/>
      <c r="B3449" s="999"/>
      <c r="C3449" s="474"/>
      <c r="D3449" s="474"/>
      <c r="E3449" s="474"/>
      <c r="F3449" s="474"/>
      <c r="G3449" s="696"/>
      <c r="H3449" s="474"/>
      <c r="I3449" s="696"/>
    </row>
    <row r="3450" spans="1:9" ht="12.75">
      <c r="A3450" s="998"/>
      <c r="B3450" s="999"/>
      <c r="C3450" s="474"/>
      <c r="D3450" s="474"/>
      <c r="E3450" s="474"/>
      <c r="F3450" s="474"/>
      <c r="G3450" s="696"/>
      <c r="H3450" s="474"/>
      <c r="I3450" s="696"/>
    </row>
    <row r="3451" spans="1:9" ht="12.75">
      <c r="A3451" s="998"/>
      <c r="B3451" s="999"/>
      <c r="C3451" s="474"/>
      <c r="D3451" s="474"/>
      <c r="E3451" s="474"/>
      <c r="F3451" s="474"/>
      <c r="G3451" s="696"/>
      <c r="H3451" s="474"/>
      <c r="I3451" s="696"/>
    </row>
    <row r="3452" spans="1:9" ht="12.75">
      <c r="A3452" s="998"/>
      <c r="B3452" s="999"/>
      <c r="C3452" s="474"/>
      <c r="D3452" s="474"/>
      <c r="E3452" s="474"/>
      <c r="F3452" s="474"/>
      <c r="G3452" s="696"/>
      <c r="H3452" s="474"/>
      <c r="I3452" s="696"/>
    </row>
    <row r="3453" spans="1:9" ht="12.75">
      <c r="A3453" s="998"/>
      <c r="B3453" s="999"/>
      <c r="C3453" s="474"/>
      <c r="D3453" s="474"/>
      <c r="E3453" s="474"/>
      <c r="F3453" s="474"/>
      <c r="G3453" s="696"/>
      <c r="H3453" s="474"/>
      <c r="I3453" s="696"/>
    </row>
    <row r="3454" spans="1:9" ht="12.75">
      <c r="A3454" s="998"/>
      <c r="B3454" s="999"/>
      <c r="C3454" s="474"/>
      <c r="D3454" s="474"/>
      <c r="E3454" s="474"/>
      <c r="F3454" s="474"/>
      <c r="G3454" s="696"/>
      <c r="H3454" s="474"/>
      <c r="I3454" s="696"/>
    </row>
    <row r="3455" spans="1:9" ht="12.75">
      <c r="A3455" s="998"/>
      <c r="B3455" s="999"/>
      <c r="C3455" s="474"/>
      <c r="D3455" s="474"/>
      <c r="E3455" s="474"/>
      <c r="F3455" s="474"/>
      <c r="G3455" s="696"/>
      <c r="H3455" s="474"/>
      <c r="I3455" s="696"/>
    </row>
    <row r="3456" spans="1:9" ht="12.75">
      <c r="A3456" s="998"/>
      <c r="B3456" s="999"/>
      <c r="C3456" s="474"/>
      <c r="D3456" s="474"/>
      <c r="E3456" s="474"/>
      <c r="F3456" s="474"/>
      <c r="G3456" s="696"/>
      <c r="H3456" s="474"/>
      <c r="I3456" s="696"/>
    </row>
    <row r="3457" spans="1:9" ht="12.75">
      <c r="A3457" s="998"/>
      <c r="B3457" s="999"/>
      <c r="C3457" s="474"/>
      <c r="D3457" s="474"/>
      <c r="E3457" s="474"/>
      <c r="F3457" s="474"/>
      <c r="G3457" s="696"/>
      <c r="H3457" s="474"/>
      <c r="I3457" s="696"/>
    </row>
    <row r="3458" spans="1:9" ht="12.75">
      <c r="A3458" s="998"/>
      <c r="B3458" s="999"/>
      <c r="C3458" s="474"/>
      <c r="D3458" s="474"/>
      <c r="E3458" s="474"/>
      <c r="F3458" s="474"/>
      <c r="G3458" s="696"/>
      <c r="H3458" s="474"/>
      <c r="I3458" s="696"/>
    </row>
    <row r="3459" spans="1:9" ht="12.75">
      <c r="A3459" s="998"/>
      <c r="B3459" s="999"/>
      <c r="C3459" s="474"/>
      <c r="D3459" s="474"/>
      <c r="E3459" s="474"/>
      <c r="F3459" s="474"/>
      <c r="G3459" s="696"/>
      <c r="H3459" s="474"/>
      <c r="I3459" s="696"/>
    </row>
    <row r="3460" spans="1:9" ht="12.75">
      <c r="A3460" s="998"/>
      <c r="B3460" s="999"/>
      <c r="C3460" s="474"/>
      <c r="D3460" s="474"/>
      <c r="E3460" s="474"/>
      <c r="F3460" s="474"/>
      <c r="G3460" s="696"/>
      <c r="H3460" s="474"/>
      <c r="I3460" s="696"/>
    </row>
    <row r="3461" spans="1:9" ht="12.75">
      <c r="A3461" s="998"/>
      <c r="B3461" s="999"/>
      <c r="C3461" s="474"/>
      <c r="D3461" s="474"/>
      <c r="E3461" s="474"/>
      <c r="F3461" s="474"/>
      <c r="G3461" s="696"/>
      <c r="H3461" s="474"/>
      <c r="I3461" s="696"/>
    </row>
    <row r="3462" spans="1:9" ht="12.75">
      <c r="A3462" s="998"/>
      <c r="B3462" s="999"/>
      <c r="C3462" s="474"/>
      <c r="D3462" s="474"/>
      <c r="E3462" s="474"/>
      <c r="F3462" s="474"/>
      <c r="G3462" s="696"/>
      <c r="H3462" s="474"/>
      <c r="I3462" s="696"/>
    </row>
    <row r="3463" spans="1:9" ht="12.75">
      <c r="A3463" s="998"/>
      <c r="B3463" s="999"/>
      <c r="C3463" s="474"/>
      <c r="D3463" s="474"/>
      <c r="E3463" s="474"/>
      <c r="F3463" s="474"/>
      <c r="G3463" s="696"/>
      <c r="H3463" s="474"/>
      <c r="I3463" s="696"/>
    </row>
    <row r="3464" spans="1:9" ht="12.75">
      <c r="A3464" s="998"/>
      <c r="B3464" s="999"/>
      <c r="C3464" s="474"/>
      <c r="D3464" s="474"/>
      <c r="E3464" s="474"/>
      <c r="F3464" s="474"/>
      <c r="G3464" s="696"/>
      <c r="H3464" s="474"/>
      <c r="I3464" s="696"/>
    </row>
    <row r="3465" spans="1:9" ht="12.75">
      <c r="A3465" s="998"/>
      <c r="B3465" s="999"/>
      <c r="C3465" s="474"/>
      <c r="D3465" s="474"/>
      <c r="E3465" s="474"/>
      <c r="F3465" s="474"/>
      <c r="G3465" s="696"/>
      <c r="H3465" s="474"/>
      <c r="I3465" s="696"/>
    </row>
    <row r="3466" spans="1:9" ht="12.75">
      <c r="A3466" s="998"/>
      <c r="B3466" s="999"/>
      <c r="C3466" s="474"/>
      <c r="D3466" s="474"/>
      <c r="E3466" s="474"/>
      <c r="F3466" s="474"/>
      <c r="G3466" s="696"/>
      <c r="H3466" s="474"/>
      <c r="I3466" s="696"/>
    </row>
    <row r="3467" spans="1:9" ht="12.75">
      <c r="A3467" s="998"/>
      <c r="B3467" s="999"/>
      <c r="C3467" s="474"/>
      <c r="D3467" s="474"/>
      <c r="E3467" s="474"/>
      <c r="F3467" s="474"/>
      <c r="G3467" s="696"/>
      <c r="H3467" s="474"/>
      <c r="I3467" s="696"/>
    </row>
    <row r="3468" spans="1:9" ht="12.75">
      <c r="A3468" s="998"/>
      <c r="B3468" s="999"/>
      <c r="C3468" s="474"/>
      <c r="D3468" s="474"/>
      <c r="E3468" s="474"/>
      <c r="F3468" s="474"/>
      <c r="G3468" s="696"/>
      <c r="H3468" s="474"/>
      <c r="I3468" s="696"/>
    </row>
    <row r="3469" spans="1:9" ht="12.75">
      <c r="A3469" s="998"/>
      <c r="B3469" s="999"/>
      <c r="C3469" s="474"/>
      <c r="D3469" s="474"/>
      <c r="E3469" s="474"/>
      <c r="F3469" s="474"/>
      <c r="G3469" s="696"/>
      <c r="H3469" s="474"/>
      <c r="I3469" s="696"/>
    </row>
    <row r="3470" spans="1:9" ht="12.75">
      <c r="A3470" s="998"/>
      <c r="B3470" s="999"/>
      <c r="C3470" s="474"/>
      <c r="D3470" s="474"/>
      <c r="E3470" s="474"/>
      <c r="F3470" s="474"/>
      <c r="G3470" s="696"/>
      <c r="H3470" s="474"/>
      <c r="I3470" s="696"/>
    </row>
    <row r="3471" spans="1:9" ht="12.75">
      <c r="A3471" s="998"/>
      <c r="B3471" s="999"/>
      <c r="C3471" s="474"/>
      <c r="D3471" s="474"/>
      <c r="E3471" s="474"/>
      <c r="F3471" s="474"/>
      <c r="G3471" s="696"/>
      <c r="H3471" s="474"/>
      <c r="I3471" s="696"/>
    </row>
    <row r="3472" spans="1:9" ht="12.75">
      <c r="A3472" s="998"/>
      <c r="B3472" s="999"/>
      <c r="C3472" s="474"/>
      <c r="D3472" s="474"/>
      <c r="E3472" s="474"/>
      <c r="F3472" s="474"/>
      <c r="G3472" s="696"/>
      <c r="H3472" s="474"/>
      <c r="I3472" s="696"/>
    </row>
    <row r="3473" spans="1:9" ht="12.75">
      <c r="A3473" s="998"/>
      <c r="B3473" s="999"/>
      <c r="C3473" s="474"/>
      <c r="D3473" s="474"/>
      <c r="E3473" s="474"/>
      <c r="F3473" s="474"/>
      <c r="G3473" s="696"/>
      <c r="H3473" s="474"/>
      <c r="I3473" s="696"/>
    </row>
    <row r="3474" spans="1:9" ht="12.75">
      <c r="A3474" s="998"/>
      <c r="B3474" s="999"/>
      <c r="C3474" s="474"/>
      <c r="D3474" s="474"/>
      <c r="E3474" s="474"/>
      <c r="F3474" s="474"/>
      <c r="G3474" s="696"/>
      <c r="H3474" s="474"/>
      <c r="I3474" s="696"/>
    </row>
    <row r="3475" spans="1:9" ht="12.75">
      <c r="A3475" s="998"/>
      <c r="B3475" s="999"/>
      <c r="C3475" s="474"/>
      <c r="D3475" s="474"/>
      <c r="E3475" s="474"/>
      <c r="F3475" s="474"/>
      <c r="G3475" s="696"/>
      <c r="H3475" s="474"/>
      <c r="I3475" s="696"/>
    </row>
    <row r="3476" spans="1:9" ht="12.75">
      <c r="A3476" s="998"/>
      <c r="B3476" s="999"/>
      <c r="C3476" s="474"/>
      <c r="D3476" s="474"/>
      <c r="E3476" s="474"/>
      <c r="F3476" s="474"/>
      <c r="G3476" s="696"/>
      <c r="H3476" s="474"/>
      <c r="I3476" s="696"/>
    </row>
    <row r="3477" spans="1:9" ht="12.75">
      <c r="A3477" s="998"/>
      <c r="B3477" s="999"/>
      <c r="C3477" s="474"/>
      <c r="D3477" s="474"/>
      <c r="E3477" s="474"/>
      <c r="F3477" s="474"/>
      <c r="G3477" s="696"/>
      <c r="H3477" s="474"/>
      <c r="I3477" s="696"/>
    </row>
    <row r="3478" spans="1:9" ht="12.75">
      <c r="A3478" s="998"/>
      <c r="B3478" s="999"/>
      <c r="C3478" s="474"/>
      <c r="D3478" s="474"/>
      <c r="E3478" s="474"/>
      <c r="F3478" s="474"/>
      <c r="G3478" s="696"/>
      <c r="H3478" s="474"/>
      <c r="I3478" s="696"/>
    </row>
    <row r="3479" spans="1:9" ht="12.75">
      <c r="A3479" s="998"/>
      <c r="B3479" s="999"/>
      <c r="C3479" s="474"/>
      <c r="D3479" s="474"/>
      <c r="E3479" s="474"/>
      <c r="F3479" s="474"/>
      <c r="G3479" s="696"/>
      <c r="H3479" s="474"/>
      <c r="I3479" s="696"/>
    </row>
    <row r="3480" spans="1:9" ht="12.75">
      <c r="A3480" s="998"/>
      <c r="B3480" s="999"/>
      <c r="C3480" s="474"/>
      <c r="D3480" s="474"/>
      <c r="E3480" s="474"/>
      <c r="F3480" s="474"/>
      <c r="G3480" s="696"/>
      <c r="H3480" s="474"/>
      <c r="I3480" s="696"/>
    </row>
    <row r="3481" spans="1:9" ht="12.75">
      <c r="A3481" s="998"/>
      <c r="B3481" s="999"/>
      <c r="C3481" s="474"/>
      <c r="D3481" s="474"/>
      <c r="E3481" s="474"/>
      <c r="F3481" s="474"/>
      <c r="G3481" s="696"/>
      <c r="H3481" s="474"/>
      <c r="I3481" s="696"/>
    </row>
    <row r="3482" spans="1:9" ht="12.75">
      <c r="A3482" s="998"/>
      <c r="B3482" s="999"/>
      <c r="C3482" s="474"/>
      <c r="D3482" s="474"/>
      <c r="E3482" s="474"/>
      <c r="F3482" s="474"/>
      <c r="G3482" s="696"/>
      <c r="H3482" s="474"/>
      <c r="I3482" s="696"/>
    </row>
    <row r="3483" spans="1:9" ht="12.75">
      <c r="A3483" s="998"/>
      <c r="B3483" s="999"/>
      <c r="C3483" s="474"/>
      <c r="D3483" s="474"/>
      <c r="E3483" s="474"/>
      <c r="F3483" s="474"/>
      <c r="G3483" s="696"/>
      <c r="H3483" s="474"/>
      <c r="I3483" s="696"/>
    </row>
    <row r="3484" spans="1:9" ht="12.75">
      <c r="A3484" s="998"/>
      <c r="B3484" s="999"/>
      <c r="C3484" s="474"/>
      <c r="D3484" s="474"/>
      <c r="E3484" s="474"/>
      <c r="F3484" s="474"/>
      <c r="G3484" s="696"/>
      <c r="H3484" s="474"/>
      <c r="I3484" s="696"/>
    </row>
    <row r="3485" spans="1:9" ht="12.75">
      <c r="A3485" s="998"/>
      <c r="B3485" s="999"/>
      <c r="C3485" s="474"/>
      <c r="D3485" s="474"/>
      <c r="E3485" s="474"/>
      <c r="F3485" s="474"/>
      <c r="G3485" s="696"/>
      <c r="H3485" s="474"/>
      <c r="I3485" s="696"/>
    </row>
    <row r="3486" spans="1:9" ht="12.75">
      <c r="A3486" s="998"/>
      <c r="B3486" s="999"/>
      <c r="C3486" s="474"/>
      <c r="D3486" s="474"/>
      <c r="E3486" s="474"/>
      <c r="F3486" s="474"/>
      <c r="G3486" s="696"/>
      <c r="H3486" s="474"/>
      <c r="I3486" s="696"/>
    </row>
    <row r="3487" spans="1:9" ht="12.75">
      <c r="A3487" s="998"/>
      <c r="B3487" s="999"/>
      <c r="C3487" s="474"/>
      <c r="D3487" s="474"/>
      <c r="E3487" s="474"/>
      <c r="F3487" s="474"/>
      <c r="G3487" s="696"/>
      <c r="H3487" s="474"/>
      <c r="I3487" s="696"/>
    </row>
    <row r="3488" spans="1:9" ht="12.75">
      <c r="A3488" s="998"/>
      <c r="B3488" s="999"/>
      <c r="C3488" s="474"/>
      <c r="D3488" s="474"/>
      <c r="E3488" s="474"/>
      <c r="F3488" s="474"/>
      <c r="G3488" s="696"/>
      <c r="H3488" s="474"/>
      <c r="I3488" s="696"/>
    </row>
    <row r="3489" spans="1:9" ht="12.75">
      <c r="A3489" s="998"/>
      <c r="B3489" s="999"/>
      <c r="C3489" s="474"/>
      <c r="D3489" s="474"/>
      <c r="E3489" s="474"/>
      <c r="F3489" s="474"/>
      <c r="G3489" s="696"/>
      <c r="H3489" s="474"/>
      <c r="I3489" s="696"/>
    </row>
    <row r="3490" spans="1:9" ht="12.75">
      <c r="A3490" s="998"/>
      <c r="B3490" s="999"/>
      <c r="C3490" s="474"/>
      <c r="D3490" s="474"/>
      <c r="E3490" s="474"/>
      <c r="F3490" s="474"/>
      <c r="G3490" s="696"/>
      <c r="H3490" s="474"/>
      <c r="I3490" s="696"/>
    </row>
    <row r="3491" spans="1:9" ht="12.75">
      <c r="A3491" s="998"/>
      <c r="B3491" s="999"/>
      <c r="C3491" s="474"/>
      <c r="D3491" s="474"/>
      <c r="E3491" s="474"/>
      <c r="F3491" s="474"/>
      <c r="G3491" s="696"/>
      <c r="H3491" s="474"/>
      <c r="I3491" s="696"/>
    </row>
    <row r="3492" spans="1:9" ht="12.75">
      <c r="A3492" s="998"/>
      <c r="B3492" s="999"/>
      <c r="C3492" s="474"/>
      <c r="D3492" s="474"/>
      <c r="E3492" s="474"/>
      <c r="F3492" s="474"/>
      <c r="G3492" s="696"/>
      <c r="H3492" s="474"/>
      <c r="I3492" s="696"/>
    </row>
    <row r="3493" spans="1:9" ht="12.75">
      <c r="A3493" s="998"/>
      <c r="B3493" s="999"/>
      <c r="C3493" s="474"/>
      <c r="D3493" s="474"/>
      <c r="E3493" s="474"/>
      <c r="F3493" s="474"/>
      <c r="G3493" s="696"/>
      <c r="H3493" s="474"/>
      <c r="I3493" s="696"/>
    </row>
    <row r="3494" spans="1:9" ht="12.75">
      <c r="A3494" s="998"/>
      <c r="B3494" s="999"/>
      <c r="C3494" s="474"/>
      <c r="D3494" s="474"/>
      <c r="E3494" s="474"/>
      <c r="F3494" s="474"/>
      <c r="G3494" s="696"/>
      <c r="H3494" s="474"/>
      <c r="I3494" s="696"/>
    </row>
    <row r="3495" spans="1:9" ht="12.75">
      <c r="A3495" s="998"/>
      <c r="B3495" s="999"/>
      <c r="C3495" s="474"/>
      <c r="D3495" s="474"/>
      <c r="E3495" s="474"/>
      <c r="F3495" s="474"/>
      <c r="G3495" s="696"/>
      <c r="H3495" s="474"/>
      <c r="I3495" s="696"/>
    </row>
    <row r="3496" spans="1:9" ht="12.75">
      <c r="A3496" s="998"/>
      <c r="B3496" s="999"/>
      <c r="C3496" s="474"/>
      <c r="D3496" s="474"/>
      <c r="E3496" s="474"/>
      <c r="F3496" s="474"/>
      <c r="G3496" s="696"/>
      <c r="H3496" s="474"/>
      <c r="I3496" s="696"/>
    </row>
    <row r="3497" spans="1:9" ht="12.75">
      <c r="A3497" s="998"/>
      <c r="B3497" s="999"/>
      <c r="C3497" s="474"/>
      <c r="D3497" s="474"/>
      <c r="E3497" s="474"/>
      <c r="F3497" s="474"/>
      <c r="G3497" s="696"/>
      <c r="H3497" s="474"/>
      <c r="I3497" s="696"/>
    </row>
    <row r="3498" spans="1:9" ht="12.75">
      <c r="A3498" s="998"/>
      <c r="B3498" s="999"/>
      <c r="C3498" s="474"/>
      <c r="D3498" s="474"/>
      <c r="E3498" s="474"/>
      <c r="F3498" s="474"/>
      <c r="G3498" s="696"/>
      <c r="H3498" s="474"/>
      <c r="I3498" s="696"/>
    </row>
    <row r="3499" spans="1:9" ht="12.75">
      <c r="A3499" s="998"/>
      <c r="B3499" s="999"/>
      <c r="C3499" s="474"/>
      <c r="D3499" s="474"/>
      <c r="E3499" s="474"/>
      <c r="F3499" s="474"/>
      <c r="G3499" s="696"/>
      <c r="H3499" s="474"/>
      <c r="I3499" s="696"/>
    </row>
    <row r="3500" spans="1:9" ht="12.75">
      <c r="A3500" s="998"/>
      <c r="B3500" s="999"/>
      <c r="C3500" s="474"/>
      <c r="D3500" s="474"/>
      <c r="E3500" s="474"/>
      <c r="F3500" s="474"/>
      <c r="G3500" s="696"/>
      <c r="H3500" s="474"/>
      <c r="I3500" s="696"/>
    </row>
    <row r="3501" spans="1:9" ht="12.75">
      <c r="A3501" s="998"/>
      <c r="B3501" s="999"/>
      <c r="C3501" s="474"/>
      <c r="D3501" s="474"/>
      <c r="E3501" s="474"/>
      <c r="F3501" s="474"/>
      <c r="G3501" s="696"/>
      <c r="H3501" s="474"/>
      <c r="I3501" s="696"/>
    </row>
    <row r="3502" spans="1:9" ht="12.75">
      <c r="A3502" s="998"/>
      <c r="B3502" s="999"/>
      <c r="C3502" s="474"/>
      <c r="D3502" s="474"/>
      <c r="E3502" s="474"/>
      <c r="F3502" s="474"/>
      <c r="G3502" s="696"/>
      <c r="H3502" s="474"/>
      <c r="I3502" s="696"/>
    </row>
    <row r="3503" spans="1:9" ht="12.75">
      <c r="A3503" s="998"/>
      <c r="B3503" s="999"/>
      <c r="C3503" s="474"/>
      <c r="D3503" s="474"/>
      <c r="E3503" s="474"/>
      <c r="F3503" s="474"/>
      <c r="G3503" s="696"/>
      <c r="H3503" s="474"/>
      <c r="I3503" s="696"/>
    </row>
    <row r="3504" spans="1:9" ht="12.75">
      <c r="A3504" s="998"/>
      <c r="B3504" s="999"/>
      <c r="C3504" s="474"/>
      <c r="D3504" s="474"/>
      <c r="E3504" s="474"/>
      <c r="F3504" s="474"/>
      <c r="G3504" s="696"/>
      <c r="H3504" s="474"/>
      <c r="I3504" s="696"/>
    </row>
    <row r="3505" spans="1:9" ht="12.75">
      <c r="A3505" s="998"/>
      <c r="B3505" s="999"/>
      <c r="C3505" s="474"/>
      <c r="D3505" s="474"/>
      <c r="E3505" s="474"/>
      <c r="F3505" s="474"/>
      <c r="G3505" s="696"/>
      <c r="H3505" s="474"/>
      <c r="I3505" s="696"/>
    </row>
    <row r="3506" spans="1:9" ht="12.75">
      <c r="A3506" s="998"/>
      <c r="B3506" s="999"/>
      <c r="C3506" s="474"/>
      <c r="D3506" s="474"/>
      <c r="E3506" s="474"/>
      <c r="F3506" s="474"/>
      <c r="G3506" s="696"/>
      <c r="H3506" s="474"/>
      <c r="I3506" s="696"/>
    </row>
    <row r="3507" spans="1:9" ht="12.75">
      <c r="A3507" s="998"/>
      <c r="B3507" s="999"/>
      <c r="C3507" s="474"/>
      <c r="D3507" s="474"/>
      <c r="E3507" s="474"/>
      <c r="F3507" s="474"/>
      <c r="G3507" s="696"/>
      <c r="H3507" s="474"/>
      <c r="I3507" s="696"/>
    </row>
    <row r="3508" spans="1:9" ht="12.75">
      <c r="A3508" s="998"/>
      <c r="B3508" s="999"/>
      <c r="C3508" s="474"/>
      <c r="D3508" s="474"/>
      <c r="E3508" s="474"/>
      <c r="F3508" s="474"/>
      <c r="G3508" s="696"/>
      <c r="H3508" s="474"/>
      <c r="I3508" s="696"/>
    </row>
    <row r="3509" spans="1:9" ht="12.75">
      <c r="A3509" s="998"/>
      <c r="B3509" s="999"/>
      <c r="C3509" s="474"/>
      <c r="D3509" s="474"/>
      <c r="E3509" s="474"/>
      <c r="F3509" s="474"/>
      <c r="G3509" s="696"/>
      <c r="H3509" s="474"/>
      <c r="I3509" s="696"/>
    </row>
    <row r="3510" spans="1:9" ht="12.75">
      <c r="A3510" s="998"/>
      <c r="B3510" s="999"/>
      <c r="C3510" s="474"/>
      <c r="D3510" s="474"/>
      <c r="E3510" s="474"/>
      <c r="F3510" s="474"/>
      <c r="G3510" s="696"/>
      <c r="H3510" s="474"/>
      <c r="I3510" s="696"/>
    </row>
    <row r="3511" spans="1:9" ht="12.75">
      <c r="A3511" s="998"/>
      <c r="B3511" s="999"/>
      <c r="C3511" s="474"/>
      <c r="D3511" s="474"/>
      <c r="E3511" s="474"/>
      <c r="F3511" s="474"/>
      <c r="G3511" s="696"/>
      <c r="H3511" s="474"/>
      <c r="I3511" s="696"/>
    </row>
    <row r="3512" spans="1:9" ht="12.75">
      <c r="A3512" s="998"/>
      <c r="B3512" s="999"/>
      <c r="C3512" s="474"/>
      <c r="D3512" s="474"/>
      <c r="E3512" s="474"/>
      <c r="F3512" s="474"/>
      <c r="G3512" s="696"/>
      <c r="H3512" s="474"/>
      <c r="I3512" s="696"/>
    </row>
    <row r="3513" spans="1:9" ht="12.75">
      <c r="A3513" s="998"/>
      <c r="B3513" s="999"/>
      <c r="C3513" s="474"/>
      <c r="D3513" s="474"/>
      <c r="E3513" s="474"/>
      <c r="F3513" s="474"/>
      <c r="G3513" s="696"/>
      <c r="H3513" s="474"/>
      <c r="I3513" s="696"/>
    </row>
    <row r="3514" spans="1:9" ht="12.75">
      <c r="A3514" s="998"/>
      <c r="B3514" s="999"/>
      <c r="C3514" s="474"/>
      <c r="D3514" s="474"/>
      <c r="E3514" s="474"/>
      <c r="F3514" s="474"/>
      <c r="G3514" s="696"/>
      <c r="H3514" s="474"/>
      <c r="I3514" s="696"/>
    </row>
    <row r="3515" spans="1:9" ht="12.75">
      <c r="A3515" s="998"/>
      <c r="B3515" s="999"/>
      <c r="C3515" s="474"/>
      <c r="D3515" s="474"/>
      <c r="E3515" s="474"/>
      <c r="F3515" s="474"/>
      <c r="G3515" s="696"/>
      <c r="H3515" s="474"/>
      <c r="I3515" s="696"/>
    </row>
    <row r="3516" spans="1:9" ht="12.75">
      <c r="A3516" s="998"/>
      <c r="B3516" s="999"/>
      <c r="C3516" s="474"/>
      <c r="D3516" s="474"/>
      <c r="E3516" s="474"/>
      <c r="F3516" s="474"/>
      <c r="G3516" s="696"/>
      <c r="H3516" s="474"/>
      <c r="I3516" s="696"/>
    </row>
    <row r="3517" spans="1:9" ht="12.75">
      <c r="A3517" s="998"/>
      <c r="B3517" s="999"/>
      <c r="C3517" s="474"/>
      <c r="D3517" s="474"/>
      <c r="E3517" s="474"/>
      <c r="F3517" s="474"/>
      <c r="G3517" s="696"/>
      <c r="H3517" s="474"/>
      <c r="I3517" s="696"/>
    </row>
    <row r="3518" spans="1:9" ht="12.75">
      <c r="A3518" s="998"/>
      <c r="B3518" s="999"/>
      <c r="C3518" s="474"/>
      <c r="D3518" s="474"/>
      <c r="E3518" s="474"/>
      <c r="F3518" s="474"/>
      <c r="G3518" s="696"/>
      <c r="H3518" s="474"/>
      <c r="I3518" s="696"/>
    </row>
    <row r="3519" spans="1:9" ht="12.75">
      <c r="A3519" s="998"/>
      <c r="B3519" s="999"/>
      <c r="C3519" s="474"/>
      <c r="D3519" s="474"/>
      <c r="E3519" s="474"/>
      <c r="F3519" s="474"/>
      <c r="G3519" s="696"/>
      <c r="H3519" s="474"/>
      <c r="I3519" s="696"/>
    </row>
    <row r="3520" spans="1:9" ht="12.75">
      <c r="A3520" s="998"/>
      <c r="B3520" s="999"/>
      <c r="C3520" s="474"/>
      <c r="D3520" s="474"/>
      <c r="E3520" s="474"/>
      <c r="F3520" s="474"/>
      <c r="G3520" s="696"/>
      <c r="H3520" s="474"/>
      <c r="I3520" s="696"/>
    </row>
    <row r="3521" spans="1:9" ht="12.75">
      <c r="A3521" s="998"/>
      <c r="B3521" s="999"/>
      <c r="C3521" s="474"/>
      <c r="D3521" s="474"/>
      <c r="E3521" s="474"/>
      <c r="F3521" s="474"/>
      <c r="G3521" s="696"/>
      <c r="H3521" s="474"/>
      <c r="I3521" s="696"/>
    </row>
    <row r="3522" spans="1:9" ht="12.75">
      <c r="A3522" s="998"/>
      <c r="B3522" s="999"/>
      <c r="C3522" s="474"/>
      <c r="D3522" s="474"/>
      <c r="E3522" s="474"/>
      <c r="F3522" s="474"/>
      <c r="G3522" s="696"/>
      <c r="H3522" s="474"/>
      <c r="I3522" s="696"/>
    </row>
    <row r="3523" spans="1:9" ht="12.75">
      <c r="A3523" s="998"/>
      <c r="B3523" s="999"/>
      <c r="C3523" s="474"/>
      <c r="D3523" s="474"/>
      <c r="E3523" s="474"/>
      <c r="F3523" s="474"/>
      <c r="G3523" s="696"/>
      <c r="H3523" s="474"/>
      <c r="I3523" s="696"/>
    </row>
    <row r="3524" spans="1:9" ht="12.75">
      <c r="A3524" s="998"/>
      <c r="B3524" s="999"/>
      <c r="C3524" s="474"/>
      <c r="D3524" s="474"/>
      <c r="E3524" s="474"/>
      <c r="F3524" s="474"/>
      <c r="G3524" s="696"/>
      <c r="H3524" s="474"/>
      <c r="I3524" s="696"/>
    </row>
    <row r="3525" spans="1:9" ht="12.75">
      <c r="A3525" s="998"/>
      <c r="B3525" s="999"/>
      <c r="C3525" s="474"/>
      <c r="D3525" s="474"/>
      <c r="E3525" s="474"/>
      <c r="F3525" s="474"/>
      <c r="G3525" s="696"/>
      <c r="H3525" s="474"/>
      <c r="I3525" s="696"/>
    </row>
    <row r="3526" spans="1:9" ht="12.75">
      <c r="A3526" s="998"/>
      <c r="B3526" s="999"/>
      <c r="C3526" s="474"/>
      <c r="D3526" s="474"/>
      <c r="E3526" s="474"/>
      <c r="F3526" s="474"/>
      <c r="G3526" s="696"/>
      <c r="H3526" s="474"/>
      <c r="I3526" s="696"/>
    </row>
    <row r="3527" spans="1:9" ht="12.75">
      <c r="A3527" s="998"/>
      <c r="B3527" s="999"/>
      <c r="C3527" s="474"/>
      <c r="D3527" s="474"/>
      <c r="E3527" s="474"/>
      <c r="F3527" s="474"/>
      <c r="G3527" s="696"/>
      <c r="H3527" s="474"/>
      <c r="I3527" s="696"/>
    </row>
    <row r="3528" spans="1:9" ht="12.75">
      <c r="A3528" s="998"/>
      <c r="B3528" s="999"/>
      <c r="C3528" s="474"/>
      <c r="D3528" s="474"/>
      <c r="E3528" s="474"/>
      <c r="F3528" s="474"/>
      <c r="G3528" s="696"/>
      <c r="H3528" s="474"/>
      <c r="I3528" s="696"/>
    </row>
    <row r="3529" spans="1:9" ht="12.75">
      <c r="A3529" s="998"/>
      <c r="B3529" s="999"/>
      <c r="C3529" s="474"/>
      <c r="D3529" s="474"/>
      <c r="E3529" s="474"/>
      <c r="F3529" s="474"/>
      <c r="G3529" s="696"/>
      <c r="H3529" s="474"/>
      <c r="I3529" s="696"/>
    </row>
    <row r="3530" spans="1:9" ht="12.75">
      <c r="A3530" s="998"/>
      <c r="B3530" s="999"/>
      <c r="C3530" s="474"/>
      <c r="D3530" s="474"/>
      <c r="E3530" s="474"/>
      <c r="F3530" s="474"/>
      <c r="G3530" s="696"/>
      <c r="H3530" s="474"/>
      <c r="I3530" s="696"/>
    </row>
    <row r="3531" spans="1:9" ht="12.75">
      <c r="A3531" s="998"/>
      <c r="B3531" s="999"/>
      <c r="C3531" s="474"/>
      <c r="D3531" s="474"/>
      <c r="E3531" s="474"/>
      <c r="F3531" s="474"/>
      <c r="G3531" s="696"/>
      <c r="H3531" s="474"/>
      <c r="I3531" s="696"/>
    </row>
    <row r="3532" spans="1:9" ht="12.75">
      <c r="A3532" s="998"/>
      <c r="B3532" s="999"/>
      <c r="C3532" s="474"/>
      <c r="D3532" s="474"/>
      <c r="E3532" s="474"/>
      <c r="F3532" s="474"/>
      <c r="G3532" s="696"/>
      <c r="H3532" s="474"/>
      <c r="I3532" s="696"/>
    </row>
    <row r="3533" spans="1:9" ht="12.75">
      <c r="A3533" s="998"/>
      <c r="B3533" s="999"/>
      <c r="C3533" s="474"/>
      <c r="D3533" s="474"/>
      <c r="E3533" s="474"/>
      <c r="F3533" s="474"/>
      <c r="G3533" s="696"/>
      <c r="H3533" s="474"/>
      <c r="I3533" s="696"/>
    </row>
    <row r="3534" spans="1:9" ht="12.75">
      <c r="A3534" s="998"/>
      <c r="B3534" s="999"/>
      <c r="C3534" s="474"/>
      <c r="D3534" s="474"/>
      <c r="E3534" s="474"/>
      <c r="F3534" s="474"/>
      <c r="G3534" s="696"/>
      <c r="H3534" s="474"/>
      <c r="I3534" s="696"/>
    </row>
    <row r="3535" spans="1:9" ht="12.75">
      <c r="A3535" s="998"/>
      <c r="B3535" s="999"/>
      <c r="C3535" s="474"/>
      <c r="D3535" s="474"/>
      <c r="E3535" s="474"/>
      <c r="F3535" s="474"/>
      <c r="G3535" s="696"/>
      <c r="H3535" s="474"/>
      <c r="I3535" s="696"/>
    </row>
    <row r="3536" spans="1:9" ht="12.75">
      <c r="A3536" s="998"/>
      <c r="B3536" s="999"/>
      <c r="C3536" s="474"/>
      <c r="D3536" s="474"/>
      <c r="E3536" s="474"/>
      <c r="F3536" s="474"/>
      <c r="G3536" s="696"/>
      <c r="H3536" s="474"/>
      <c r="I3536" s="696"/>
    </row>
    <row r="3537" spans="1:9" ht="12.75">
      <c r="A3537" s="998"/>
      <c r="B3537" s="999"/>
      <c r="C3537" s="474"/>
      <c r="D3537" s="474"/>
      <c r="E3537" s="474"/>
      <c r="F3537" s="474"/>
      <c r="G3537" s="696"/>
      <c r="H3537" s="474"/>
      <c r="I3537" s="696"/>
    </row>
    <row r="3538" spans="1:9" ht="12.75">
      <c r="A3538" s="998"/>
      <c r="B3538" s="999"/>
      <c r="C3538" s="474"/>
      <c r="D3538" s="474"/>
      <c r="E3538" s="474"/>
      <c r="F3538" s="474"/>
      <c r="G3538" s="696"/>
      <c r="H3538" s="474"/>
      <c r="I3538" s="696"/>
    </row>
    <row r="3539" spans="1:9" ht="12.75">
      <c r="A3539" s="998"/>
      <c r="B3539" s="999"/>
      <c r="C3539" s="474"/>
      <c r="D3539" s="474"/>
      <c r="E3539" s="474"/>
      <c r="F3539" s="474"/>
      <c r="G3539" s="696"/>
      <c r="H3539" s="474"/>
      <c r="I3539" s="696"/>
    </row>
    <row r="3540" spans="1:9" ht="12.75">
      <c r="A3540" s="998"/>
      <c r="B3540" s="999"/>
      <c r="C3540" s="474"/>
      <c r="D3540" s="474"/>
      <c r="E3540" s="474"/>
      <c r="F3540" s="474"/>
      <c r="G3540" s="696"/>
      <c r="H3540" s="474"/>
      <c r="I3540" s="696"/>
    </row>
    <row r="3541" spans="1:9" ht="12.75">
      <c r="A3541" s="998"/>
      <c r="B3541" s="999"/>
      <c r="C3541" s="474"/>
      <c r="D3541" s="474"/>
      <c r="E3541" s="474"/>
      <c r="F3541" s="474"/>
      <c r="G3541" s="696"/>
      <c r="H3541" s="474"/>
      <c r="I3541" s="696"/>
    </row>
    <row r="3542" spans="1:9" ht="12.75">
      <c r="A3542" s="998"/>
      <c r="B3542" s="999"/>
      <c r="C3542" s="474"/>
      <c r="D3542" s="474"/>
      <c r="E3542" s="474"/>
      <c r="F3542" s="474"/>
      <c r="G3542" s="696"/>
      <c r="H3542" s="474"/>
      <c r="I3542" s="696"/>
    </row>
    <row r="3543" spans="1:9" ht="12.75">
      <c r="A3543" s="998"/>
      <c r="B3543" s="999"/>
      <c r="C3543" s="474"/>
      <c r="D3543" s="474"/>
      <c r="E3543" s="474"/>
      <c r="F3543" s="474"/>
      <c r="G3543" s="696"/>
      <c r="H3543" s="474"/>
      <c r="I3543" s="696"/>
    </row>
    <row r="3544" spans="1:9" ht="12.75">
      <c r="A3544" s="998"/>
      <c r="B3544" s="999"/>
      <c r="C3544" s="474"/>
      <c r="D3544" s="474"/>
      <c r="E3544" s="474"/>
      <c r="F3544" s="474"/>
      <c r="G3544" s="696"/>
      <c r="H3544" s="474"/>
      <c r="I3544" s="696"/>
    </row>
    <row r="3545" spans="1:9" ht="12.75">
      <c r="A3545" s="998"/>
      <c r="B3545" s="999"/>
      <c r="C3545" s="474"/>
      <c r="D3545" s="474"/>
      <c r="E3545" s="474"/>
      <c r="F3545" s="474"/>
      <c r="G3545" s="696"/>
      <c r="H3545" s="474"/>
      <c r="I3545" s="696"/>
    </row>
    <row r="3546" spans="1:9" ht="12.75">
      <c r="A3546" s="998"/>
      <c r="B3546" s="999"/>
      <c r="C3546" s="474"/>
      <c r="D3546" s="474"/>
      <c r="E3546" s="474"/>
      <c r="F3546" s="474"/>
      <c r="G3546" s="696"/>
      <c r="H3546" s="474"/>
      <c r="I3546" s="696"/>
    </row>
    <row r="3547" spans="1:9" ht="12.75">
      <c r="A3547" s="998"/>
      <c r="B3547" s="999"/>
      <c r="C3547" s="474"/>
      <c r="D3547" s="474"/>
      <c r="E3547" s="474"/>
      <c r="F3547" s="474"/>
      <c r="G3547" s="696"/>
      <c r="H3547" s="474"/>
      <c r="I3547" s="696"/>
    </row>
    <row r="3548" spans="1:9" ht="12.75">
      <c r="A3548" s="998"/>
      <c r="B3548" s="999"/>
      <c r="C3548" s="474"/>
      <c r="D3548" s="474"/>
      <c r="E3548" s="474"/>
      <c r="F3548" s="474"/>
      <c r="G3548" s="696"/>
      <c r="H3548" s="474"/>
      <c r="I3548" s="696"/>
    </row>
    <row r="3549" spans="1:9" ht="12.75">
      <c r="A3549" s="998"/>
      <c r="B3549" s="999"/>
      <c r="C3549" s="474"/>
      <c r="D3549" s="474"/>
      <c r="E3549" s="474"/>
      <c r="F3549" s="474"/>
      <c r="G3549" s="696"/>
      <c r="H3549" s="474"/>
      <c r="I3549" s="696"/>
    </row>
    <row r="3550" spans="1:9" ht="12.75">
      <c r="A3550" s="998"/>
      <c r="B3550" s="999"/>
      <c r="C3550" s="474"/>
      <c r="D3550" s="474"/>
      <c r="E3550" s="474"/>
      <c r="F3550" s="474"/>
      <c r="G3550" s="696"/>
      <c r="H3550" s="474"/>
      <c r="I3550" s="696"/>
    </row>
    <row r="3551" spans="1:9" ht="12.75">
      <c r="A3551" s="998"/>
      <c r="B3551" s="999"/>
      <c r="C3551" s="474"/>
      <c r="D3551" s="474"/>
      <c r="E3551" s="474"/>
      <c r="F3551" s="474"/>
      <c r="G3551" s="696"/>
      <c r="H3551" s="474"/>
      <c r="I3551" s="696"/>
    </row>
    <row r="3552" spans="1:9" ht="12.75">
      <c r="A3552" s="998"/>
      <c r="B3552" s="999"/>
      <c r="C3552" s="474"/>
      <c r="D3552" s="474"/>
      <c r="E3552" s="474"/>
      <c r="F3552" s="474"/>
      <c r="G3552" s="696"/>
      <c r="H3552" s="474"/>
      <c r="I3552" s="696"/>
    </row>
    <row r="3553" spans="1:9" ht="12.75">
      <c r="A3553" s="998"/>
      <c r="B3553" s="999"/>
      <c r="C3553" s="474"/>
      <c r="D3553" s="474"/>
      <c r="E3553" s="474"/>
      <c r="F3553" s="474"/>
      <c r="G3553" s="696"/>
      <c r="H3553" s="474"/>
      <c r="I3553" s="696"/>
    </row>
    <row r="3554" spans="1:9" ht="12.75">
      <c r="A3554" s="998"/>
      <c r="B3554" s="999"/>
      <c r="C3554" s="474"/>
      <c r="D3554" s="474"/>
      <c r="E3554" s="474"/>
      <c r="F3554" s="474"/>
      <c r="G3554" s="696"/>
      <c r="H3554" s="474"/>
      <c r="I3554" s="696"/>
    </row>
    <row r="3555" spans="1:9" ht="12.75">
      <c r="A3555" s="998"/>
      <c r="B3555" s="999"/>
      <c r="C3555" s="474"/>
      <c r="D3555" s="474"/>
      <c r="E3555" s="474"/>
      <c r="F3555" s="474"/>
      <c r="G3555" s="696"/>
      <c r="H3555" s="474"/>
      <c r="I3555" s="696"/>
    </row>
    <row r="3556" spans="1:9" ht="12.75">
      <c r="A3556" s="998"/>
      <c r="B3556" s="999"/>
      <c r="C3556" s="474"/>
      <c r="D3556" s="474"/>
      <c r="E3556" s="474"/>
      <c r="F3556" s="474"/>
      <c r="G3556" s="696"/>
      <c r="H3556" s="474"/>
      <c r="I3556" s="696"/>
    </row>
    <row r="3557" spans="1:9" ht="12.75">
      <c r="A3557" s="998"/>
      <c r="B3557" s="999"/>
      <c r="C3557" s="474"/>
      <c r="D3557" s="474"/>
      <c r="E3557" s="474"/>
      <c r="F3557" s="474"/>
      <c r="G3557" s="696"/>
      <c r="H3557" s="474"/>
      <c r="I3557" s="696"/>
    </row>
    <row r="3558" spans="1:9" ht="12.75">
      <c r="A3558" s="998"/>
      <c r="B3558" s="999"/>
      <c r="C3558" s="474"/>
      <c r="D3558" s="474"/>
      <c r="E3558" s="474"/>
      <c r="F3558" s="474"/>
      <c r="G3558" s="696"/>
      <c r="H3558" s="474"/>
      <c r="I3558" s="696"/>
    </row>
    <row r="3559" spans="1:9" ht="12.75">
      <c r="A3559" s="998"/>
      <c r="B3559" s="999"/>
      <c r="C3559" s="474"/>
      <c r="D3559" s="474"/>
      <c r="E3559" s="474"/>
      <c r="F3559" s="474"/>
      <c r="G3559" s="696"/>
      <c r="H3559" s="474"/>
      <c r="I3559" s="696"/>
    </row>
    <row r="3560" spans="1:9" ht="12.75">
      <c r="A3560" s="998"/>
      <c r="B3560" s="999"/>
      <c r="C3560" s="474"/>
      <c r="D3560" s="474"/>
      <c r="E3560" s="474"/>
      <c r="F3560" s="474"/>
      <c r="G3560" s="696"/>
      <c r="H3560" s="474"/>
      <c r="I3560" s="696"/>
    </row>
    <row r="3561" spans="1:9" ht="12.75">
      <c r="A3561" s="998"/>
      <c r="B3561" s="999"/>
      <c r="C3561" s="474"/>
      <c r="D3561" s="474"/>
      <c r="E3561" s="474"/>
      <c r="F3561" s="474"/>
      <c r="G3561" s="696"/>
      <c r="H3561" s="474"/>
      <c r="I3561" s="696"/>
    </row>
    <row r="3562" spans="1:9" ht="12.75">
      <c r="A3562" s="998"/>
      <c r="B3562" s="999"/>
      <c r="C3562" s="474"/>
      <c r="D3562" s="474"/>
      <c r="E3562" s="474"/>
      <c r="F3562" s="474"/>
      <c r="G3562" s="696"/>
      <c r="H3562" s="474"/>
      <c r="I3562" s="696"/>
    </row>
    <row r="3563" spans="1:9" ht="12.75">
      <c r="A3563" s="998"/>
      <c r="B3563" s="999"/>
      <c r="C3563" s="474"/>
      <c r="D3563" s="474"/>
      <c r="E3563" s="474"/>
      <c r="F3563" s="474"/>
      <c r="G3563" s="696"/>
      <c r="H3563" s="474"/>
      <c r="I3563" s="696"/>
    </row>
    <row r="3564" spans="1:9" ht="12.75">
      <c r="A3564" s="998"/>
      <c r="B3564" s="999"/>
      <c r="C3564" s="474"/>
      <c r="D3564" s="474"/>
      <c r="E3564" s="474"/>
      <c r="F3564" s="474"/>
      <c r="G3564" s="696"/>
      <c r="H3564" s="474"/>
      <c r="I3564" s="696"/>
    </row>
    <row r="3565" spans="1:9" ht="12.75">
      <c r="A3565" s="998"/>
      <c r="B3565" s="999"/>
      <c r="C3565" s="474"/>
      <c r="D3565" s="474"/>
      <c r="E3565" s="474"/>
      <c r="F3565" s="474"/>
      <c r="G3565" s="696"/>
      <c r="H3565" s="474"/>
      <c r="I3565" s="696"/>
    </row>
    <row r="3566" spans="1:9" ht="12.75">
      <c r="A3566" s="998"/>
      <c r="B3566" s="999"/>
      <c r="C3566" s="474"/>
      <c r="D3566" s="474"/>
      <c r="E3566" s="474"/>
      <c r="F3566" s="474"/>
      <c r="G3566" s="696"/>
      <c r="H3566" s="474"/>
      <c r="I3566" s="696"/>
    </row>
    <row r="3567" spans="1:9" ht="12.75">
      <c r="A3567" s="998"/>
      <c r="B3567" s="999"/>
      <c r="C3567" s="474"/>
      <c r="D3567" s="474"/>
      <c r="E3567" s="474"/>
      <c r="F3567" s="474"/>
      <c r="G3567" s="696"/>
      <c r="H3567" s="474"/>
      <c r="I3567" s="696"/>
    </row>
    <row r="3568" spans="1:9" ht="12.75">
      <c r="A3568" s="998"/>
      <c r="B3568" s="999"/>
      <c r="C3568" s="474"/>
      <c r="D3568" s="474"/>
      <c r="E3568" s="474"/>
      <c r="F3568" s="474"/>
      <c r="G3568" s="696"/>
      <c r="H3568" s="474"/>
      <c r="I3568" s="696"/>
    </row>
    <row r="3569" spans="1:9" ht="12.75">
      <c r="A3569" s="998"/>
      <c r="B3569" s="999"/>
      <c r="C3569" s="474"/>
      <c r="D3569" s="474"/>
      <c r="E3569" s="474"/>
      <c r="F3569" s="474"/>
      <c r="G3569" s="696"/>
      <c r="H3569" s="474"/>
      <c r="I3569" s="696"/>
    </row>
    <row r="3570" spans="1:9" ht="12.75">
      <c r="A3570" s="998"/>
      <c r="B3570" s="999"/>
      <c r="C3570" s="474"/>
      <c r="D3570" s="474"/>
      <c r="E3570" s="474"/>
      <c r="F3570" s="474"/>
      <c r="G3570" s="696"/>
      <c r="H3570" s="474"/>
      <c r="I3570" s="696"/>
    </row>
    <row r="3571" spans="1:9" ht="12.75">
      <c r="A3571" s="998"/>
      <c r="B3571" s="999"/>
      <c r="C3571" s="474"/>
      <c r="D3571" s="474"/>
      <c r="E3571" s="474"/>
      <c r="F3571" s="474"/>
      <c r="G3571" s="696"/>
      <c r="H3571" s="474"/>
      <c r="I3571" s="696"/>
    </row>
    <row r="3572" spans="1:9" ht="12.75">
      <c r="A3572" s="998"/>
      <c r="B3572" s="999"/>
      <c r="C3572" s="474"/>
      <c r="D3572" s="474"/>
      <c r="E3572" s="474"/>
      <c r="F3572" s="474"/>
      <c r="G3572" s="696"/>
      <c r="H3572" s="474"/>
      <c r="I3572" s="696"/>
    </row>
    <row r="3573" spans="1:9" ht="12.75">
      <c r="A3573" s="998"/>
      <c r="B3573" s="999"/>
      <c r="C3573" s="474"/>
      <c r="D3573" s="474"/>
      <c r="E3573" s="474"/>
      <c r="F3573" s="474"/>
      <c r="G3573" s="696"/>
      <c r="H3573" s="474"/>
      <c r="I3573" s="696"/>
    </row>
    <row r="3574" spans="1:9" ht="12.75">
      <c r="A3574" s="998"/>
      <c r="B3574" s="999"/>
      <c r="C3574" s="474"/>
      <c r="D3574" s="474"/>
      <c r="E3574" s="474"/>
      <c r="F3574" s="474"/>
      <c r="G3574" s="696"/>
      <c r="H3574" s="474"/>
      <c r="I3574" s="696"/>
    </row>
    <row r="3575" spans="1:9" ht="12.75">
      <c r="A3575" s="998"/>
      <c r="B3575" s="999"/>
      <c r="C3575" s="474"/>
      <c r="D3575" s="474"/>
      <c r="E3575" s="474"/>
      <c r="F3575" s="474"/>
      <c r="G3575" s="696"/>
      <c r="H3575" s="474"/>
      <c r="I3575" s="696"/>
    </row>
    <row r="3576" spans="1:9" ht="12.75">
      <c r="A3576" s="998"/>
      <c r="B3576" s="999"/>
      <c r="C3576" s="474"/>
      <c r="D3576" s="474"/>
      <c r="E3576" s="474"/>
      <c r="F3576" s="474"/>
      <c r="G3576" s="696"/>
      <c r="H3576" s="474"/>
      <c r="I3576" s="696"/>
    </row>
    <row r="3577" spans="1:9" ht="12.75">
      <c r="A3577" s="998"/>
      <c r="B3577" s="999"/>
      <c r="C3577" s="474"/>
      <c r="D3577" s="474"/>
      <c r="E3577" s="474"/>
      <c r="F3577" s="474"/>
      <c r="G3577" s="696"/>
      <c r="H3577" s="474"/>
      <c r="I3577" s="696"/>
    </row>
    <row r="3578" spans="1:9" ht="12.75">
      <c r="A3578" s="998"/>
      <c r="B3578" s="999"/>
      <c r="C3578" s="474"/>
      <c r="D3578" s="474"/>
      <c r="E3578" s="474"/>
      <c r="F3578" s="474"/>
      <c r="G3578" s="696"/>
      <c r="H3578" s="474"/>
      <c r="I3578" s="696"/>
    </row>
    <row r="3579" spans="1:9" ht="12.75">
      <c r="A3579" s="998"/>
      <c r="B3579" s="999"/>
      <c r="C3579" s="474"/>
      <c r="D3579" s="474"/>
      <c r="E3579" s="474"/>
      <c r="F3579" s="474"/>
      <c r="G3579" s="696"/>
      <c r="H3579" s="474"/>
      <c r="I3579" s="696"/>
    </row>
    <row r="3580" spans="1:9" ht="12.75">
      <c r="A3580" s="998"/>
      <c r="B3580" s="999"/>
      <c r="C3580" s="474"/>
      <c r="D3580" s="474"/>
      <c r="E3580" s="474"/>
      <c r="F3580" s="474"/>
      <c r="G3580" s="696"/>
      <c r="H3580" s="474"/>
      <c r="I3580" s="696"/>
    </row>
    <row r="3581" spans="1:9" ht="12.75">
      <c r="A3581" s="998"/>
      <c r="B3581" s="999"/>
      <c r="C3581" s="474"/>
      <c r="D3581" s="474"/>
      <c r="E3581" s="474"/>
      <c r="F3581" s="474"/>
      <c r="G3581" s="696"/>
      <c r="H3581" s="474"/>
      <c r="I3581" s="696"/>
    </row>
    <row r="3582" spans="1:9" ht="12.75">
      <c r="A3582" s="998"/>
      <c r="B3582" s="999"/>
      <c r="C3582" s="474"/>
      <c r="D3582" s="474"/>
      <c r="E3582" s="474"/>
      <c r="F3582" s="474"/>
      <c r="G3582" s="696"/>
      <c r="H3582" s="474"/>
      <c r="I3582" s="696"/>
    </row>
    <row r="3583" spans="1:9" ht="12.75">
      <c r="A3583" s="998"/>
      <c r="B3583" s="999"/>
      <c r="C3583" s="474"/>
      <c r="D3583" s="474"/>
      <c r="E3583" s="474"/>
      <c r="F3583" s="474"/>
      <c r="G3583" s="696"/>
      <c r="H3583" s="474"/>
      <c r="I3583" s="696"/>
    </row>
    <row r="3584" spans="1:9" ht="12.75">
      <c r="A3584" s="998"/>
      <c r="B3584" s="999"/>
      <c r="C3584" s="474"/>
      <c r="D3584" s="474"/>
      <c r="E3584" s="474"/>
      <c r="F3584" s="474"/>
      <c r="G3584" s="696"/>
      <c r="H3584" s="474"/>
      <c r="I3584" s="696"/>
    </row>
    <row r="3585" spans="1:9" ht="12.75">
      <c r="A3585" s="998"/>
      <c r="B3585" s="999"/>
      <c r="C3585" s="474"/>
      <c r="D3585" s="474"/>
      <c r="E3585" s="474"/>
      <c r="F3585" s="474"/>
      <c r="G3585" s="696"/>
      <c r="H3585" s="474"/>
      <c r="I3585" s="696"/>
    </row>
    <row r="3586" spans="1:9" ht="12.75">
      <c r="A3586" s="998"/>
      <c r="B3586" s="999"/>
      <c r="C3586" s="474"/>
      <c r="D3586" s="474"/>
      <c r="E3586" s="474"/>
      <c r="F3586" s="474"/>
      <c r="G3586" s="696"/>
      <c r="H3586" s="474"/>
      <c r="I3586" s="696"/>
    </row>
    <row r="3587" spans="1:9" ht="12.75">
      <c r="A3587" s="998"/>
      <c r="B3587" s="999"/>
      <c r="C3587" s="474"/>
      <c r="D3587" s="474"/>
      <c r="E3587" s="474"/>
      <c r="F3587" s="474"/>
      <c r="G3587" s="696"/>
      <c r="H3587" s="474"/>
      <c r="I3587" s="696"/>
    </row>
    <row r="3588" spans="1:9" ht="12.75">
      <c r="A3588" s="998"/>
      <c r="B3588" s="999"/>
      <c r="C3588" s="474"/>
      <c r="D3588" s="474"/>
      <c r="E3588" s="474"/>
      <c r="F3588" s="474"/>
      <c r="G3588" s="696"/>
      <c r="H3588" s="474"/>
      <c r="I3588" s="696"/>
    </row>
    <row r="3589" spans="1:9" ht="12.75">
      <c r="A3589" s="998"/>
      <c r="B3589" s="999"/>
      <c r="C3589" s="474"/>
      <c r="D3589" s="474"/>
      <c r="E3589" s="474"/>
      <c r="F3589" s="474"/>
      <c r="G3589" s="696"/>
      <c r="H3589" s="474"/>
      <c r="I3589" s="696"/>
    </row>
    <row r="3590" spans="1:9" ht="12.75">
      <c r="A3590" s="998"/>
      <c r="B3590" s="999"/>
      <c r="C3590" s="474"/>
      <c r="D3590" s="474"/>
      <c r="E3590" s="474"/>
      <c r="F3590" s="474"/>
      <c r="G3590" s="696"/>
      <c r="H3590" s="474"/>
      <c r="I3590" s="696"/>
    </row>
    <row r="3591" spans="1:9" ht="12.75">
      <c r="A3591" s="998"/>
      <c r="B3591" s="999"/>
      <c r="C3591" s="474"/>
      <c r="D3591" s="474"/>
      <c r="E3591" s="474"/>
      <c r="F3591" s="474"/>
      <c r="G3591" s="696"/>
      <c r="H3591" s="474"/>
      <c r="I3591" s="696"/>
    </row>
    <row r="3592" spans="1:9" ht="12.75">
      <c r="A3592" s="998"/>
      <c r="B3592" s="999"/>
      <c r="C3592" s="474"/>
      <c r="D3592" s="474"/>
      <c r="E3592" s="474"/>
      <c r="F3592" s="474"/>
      <c r="G3592" s="696"/>
      <c r="H3592" s="474"/>
      <c r="I3592" s="696"/>
    </row>
    <row r="3593" spans="1:9" ht="12.75">
      <c r="A3593" s="998"/>
      <c r="B3593" s="999"/>
      <c r="C3593" s="474"/>
      <c r="D3593" s="474"/>
      <c r="E3593" s="474"/>
      <c r="F3593" s="474"/>
      <c r="G3593" s="696"/>
      <c r="H3593" s="474"/>
      <c r="I3593" s="696"/>
    </row>
    <row r="3594" spans="1:9" ht="12.75">
      <c r="A3594" s="998"/>
      <c r="B3594" s="999"/>
      <c r="C3594" s="474"/>
      <c r="D3594" s="474"/>
      <c r="E3594" s="474"/>
      <c r="F3594" s="474"/>
      <c r="G3594" s="696"/>
      <c r="H3594" s="474"/>
      <c r="I3594" s="696"/>
    </row>
    <row r="3595" spans="1:9" ht="12.75">
      <c r="A3595" s="998"/>
      <c r="B3595" s="999"/>
      <c r="C3595" s="474"/>
      <c r="D3595" s="474"/>
      <c r="E3595" s="474"/>
      <c r="F3595" s="474"/>
      <c r="G3595" s="696"/>
      <c r="H3595" s="474"/>
      <c r="I3595" s="696"/>
    </row>
    <row r="3596" spans="1:9" ht="12.75">
      <c r="A3596" s="998"/>
      <c r="B3596" s="999"/>
      <c r="C3596" s="474"/>
      <c r="D3596" s="474"/>
      <c r="E3596" s="474"/>
      <c r="F3596" s="474"/>
      <c r="G3596" s="696"/>
      <c r="H3596" s="474"/>
      <c r="I3596" s="696"/>
    </row>
    <row r="3597" spans="1:9" ht="12.75">
      <c r="A3597" s="998"/>
      <c r="B3597" s="999"/>
      <c r="C3597" s="474"/>
      <c r="D3597" s="474"/>
      <c r="E3597" s="474"/>
      <c r="F3597" s="474"/>
      <c r="G3597" s="696"/>
      <c r="H3597" s="474"/>
      <c r="I3597" s="696"/>
    </row>
    <row r="3598" spans="1:9" ht="12.75">
      <c r="A3598" s="998"/>
      <c r="B3598" s="999"/>
      <c r="C3598" s="474"/>
      <c r="D3598" s="474"/>
      <c r="E3598" s="474"/>
      <c r="F3598" s="474"/>
      <c r="G3598" s="696"/>
      <c r="H3598" s="474"/>
      <c r="I3598" s="696"/>
    </row>
    <row r="3599" spans="1:9" ht="12.75">
      <c r="A3599" s="998"/>
      <c r="B3599" s="999"/>
      <c r="C3599" s="474"/>
      <c r="D3599" s="474"/>
      <c r="E3599" s="474"/>
      <c r="F3599" s="474"/>
      <c r="G3599" s="696"/>
      <c r="H3599" s="474"/>
      <c r="I3599" s="696"/>
    </row>
    <row r="3600" spans="1:9" ht="12.75">
      <c r="A3600" s="998"/>
      <c r="B3600" s="999"/>
      <c r="C3600" s="474"/>
      <c r="D3600" s="474"/>
      <c r="E3600" s="474"/>
      <c r="F3600" s="474"/>
      <c r="G3600" s="696"/>
      <c r="H3600" s="474"/>
      <c r="I3600" s="696"/>
    </row>
    <row r="3601" spans="1:9" ht="12.75">
      <c r="A3601" s="998"/>
      <c r="B3601" s="999"/>
      <c r="C3601" s="474"/>
      <c r="D3601" s="474"/>
      <c r="E3601" s="474"/>
      <c r="F3601" s="474"/>
      <c r="G3601" s="696"/>
      <c r="H3601" s="474"/>
      <c r="I3601" s="696"/>
    </row>
    <row r="3602" spans="1:9" ht="12.75">
      <c r="A3602" s="998"/>
      <c r="B3602" s="999"/>
      <c r="C3602" s="474"/>
      <c r="D3602" s="474"/>
      <c r="E3602" s="474"/>
      <c r="F3602" s="474"/>
      <c r="G3602" s="696"/>
      <c r="H3602" s="474"/>
      <c r="I3602" s="696"/>
    </row>
    <row r="3603" spans="1:9" ht="12.75">
      <c r="A3603" s="998"/>
      <c r="B3603" s="999"/>
      <c r="C3603" s="474"/>
      <c r="D3603" s="474"/>
      <c r="E3603" s="474"/>
      <c r="F3603" s="474"/>
      <c r="G3603" s="696"/>
      <c r="H3603" s="474"/>
      <c r="I3603" s="696"/>
    </row>
    <row r="3604" spans="1:9" ht="12.75">
      <c r="A3604" s="998"/>
      <c r="B3604" s="999"/>
      <c r="C3604" s="474"/>
      <c r="D3604" s="474"/>
      <c r="E3604" s="474"/>
      <c r="F3604" s="474"/>
      <c r="G3604" s="696"/>
      <c r="H3604" s="474"/>
      <c r="I3604" s="696"/>
    </row>
    <row r="3605" spans="1:9" ht="12.75">
      <c r="A3605" s="998"/>
      <c r="B3605" s="999"/>
      <c r="C3605" s="474"/>
      <c r="D3605" s="474"/>
      <c r="E3605" s="474"/>
      <c r="F3605" s="474"/>
      <c r="G3605" s="696"/>
      <c r="H3605" s="474"/>
      <c r="I3605" s="696"/>
    </row>
    <row r="3606" spans="1:9" ht="12.75">
      <c r="A3606" s="998"/>
      <c r="B3606" s="999"/>
      <c r="C3606" s="474"/>
      <c r="D3606" s="474"/>
      <c r="E3606" s="474"/>
      <c r="F3606" s="474"/>
      <c r="G3606" s="696"/>
      <c r="H3606" s="474"/>
      <c r="I3606" s="696"/>
    </row>
    <row r="3607" spans="1:9" ht="12.75">
      <c r="A3607" s="998"/>
      <c r="B3607" s="999"/>
      <c r="C3607" s="474"/>
      <c r="D3607" s="474"/>
      <c r="E3607" s="474"/>
      <c r="F3607" s="474"/>
      <c r="G3607" s="696"/>
      <c r="H3607" s="474"/>
      <c r="I3607" s="696"/>
    </row>
    <row r="3608" spans="1:9" ht="12.75">
      <c r="A3608" s="998"/>
      <c r="B3608" s="999"/>
      <c r="C3608" s="474"/>
      <c r="D3608" s="474"/>
      <c r="E3608" s="474"/>
      <c r="F3608" s="474"/>
      <c r="G3608" s="696"/>
      <c r="H3608" s="474"/>
      <c r="I3608" s="696"/>
    </row>
    <row r="3609" spans="1:9" ht="12.75">
      <c r="A3609" s="998"/>
      <c r="B3609" s="999"/>
      <c r="C3609" s="474"/>
      <c r="D3609" s="474"/>
      <c r="E3609" s="474"/>
      <c r="F3609" s="474"/>
      <c r="G3609" s="696"/>
      <c r="H3609" s="474"/>
      <c r="I3609" s="696"/>
    </row>
    <row r="3610" spans="1:9" ht="12.75">
      <c r="A3610" s="998"/>
      <c r="B3610" s="999"/>
      <c r="C3610" s="474"/>
      <c r="D3610" s="474"/>
      <c r="E3610" s="474"/>
      <c r="F3610" s="474"/>
      <c r="G3610" s="696"/>
      <c r="H3610" s="474"/>
      <c r="I3610" s="696"/>
    </row>
    <row r="3611" spans="1:9" ht="12.75">
      <c r="A3611" s="998"/>
      <c r="B3611" s="999"/>
      <c r="C3611" s="474"/>
      <c r="D3611" s="474"/>
      <c r="E3611" s="474"/>
      <c r="F3611" s="474"/>
      <c r="G3611" s="696"/>
      <c r="H3611" s="474"/>
      <c r="I3611" s="696"/>
    </row>
    <row r="3612" spans="1:9" ht="12.75">
      <c r="A3612" s="998"/>
      <c r="B3612" s="999"/>
      <c r="C3612" s="474"/>
      <c r="D3612" s="474"/>
      <c r="E3612" s="474"/>
      <c r="F3612" s="474"/>
      <c r="G3612" s="696"/>
      <c r="H3612" s="474"/>
      <c r="I3612" s="696"/>
    </row>
    <row r="3613" spans="1:9" ht="12.75">
      <c r="A3613" s="998"/>
      <c r="B3613" s="999"/>
      <c r="C3613" s="474"/>
      <c r="D3613" s="474"/>
      <c r="E3613" s="474"/>
      <c r="F3613" s="474"/>
      <c r="G3613" s="696"/>
      <c r="H3613" s="474"/>
      <c r="I3613" s="696"/>
    </row>
    <row r="3614" spans="1:9" ht="12.75">
      <c r="A3614" s="998"/>
      <c r="B3614" s="999"/>
      <c r="C3614" s="474"/>
      <c r="D3614" s="474"/>
      <c r="E3614" s="474"/>
      <c r="F3614" s="474"/>
      <c r="G3614" s="696"/>
      <c r="H3614" s="474"/>
      <c r="I3614" s="696"/>
    </row>
    <row r="3615" spans="1:9" ht="12.75">
      <c r="A3615" s="998"/>
      <c r="B3615" s="999"/>
      <c r="C3615" s="474"/>
      <c r="D3615" s="474"/>
      <c r="E3615" s="474"/>
      <c r="F3615" s="474"/>
      <c r="G3615" s="696"/>
      <c r="H3615" s="474"/>
      <c r="I3615" s="696"/>
    </row>
    <row r="3616" spans="1:9" ht="12.75">
      <c r="A3616" s="998"/>
      <c r="B3616" s="999"/>
      <c r="C3616" s="474"/>
      <c r="D3616" s="474"/>
      <c r="E3616" s="474"/>
      <c r="F3616" s="474"/>
      <c r="G3616" s="696"/>
      <c r="H3616" s="474"/>
      <c r="I3616" s="696"/>
    </row>
    <row r="3617" spans="1:9" ht="12.75">
      <c r="A3617" s="998"/>
      <c r="B3617" s="999"/>
      <c r="C3617" s="474"/>
      <c r="D3617" s="474"/>
      <c r="E3617" s="474"/>
      <c r="F3617" s="474"/>
      <c r="G3617" s="696"/>
      <c r="H3617" s="474"/>
      <c r="I3617" s="696"/>
    </row>
    <row r="3618" spans="1:9" ht="12.75">
      <c r="A3618" s="998"/>
      <c r="B3618" s="999"/>
      <c r="C3618" s="474"/>
      <c r="D3618" s="474"/>
      <c r="E3618" s="474"/>
      <c r="F3618" s="474"/>
      <c r="G3618" s="696"/>
      <c r="H3618" s="474"/>
      <c r="I3618" s="696"/>
    </row>
    <row r="3619" spans="1:9" ht="12.75">
      <c r="A3619" s="998"/>
      <c r="B3619" s="999"/>
      <c r="C3619" s="474"/>
      <c r="D3619" s="474"/>
      <c r="E3619" s="474"/>
      <c r="F3619" s="474"/>
      <c r="G3619" s="696"/>
      <c r="H3619" s="474"/>
      <c r="I3619" s="696"/>
    </row>
    <row r="3620" spans="1:9" ht="12.75">
      <c r="A3620" s="998"/>
      <c r="B3620" s="999"/>
      <c r="C3620" s="474"/>
      <c r="D3620" s="474"/>
      <c r="E3620" s="474"/>
      <c r="F3620" s="474"/>
      <c r="G3620" s="696"/>
      <c r="H3620" s="474"/>
      <c r="I3620" s="696"/>
    </row>
    <row r="3621" spans="1:9" ht="12.75">
      <c r="A3621" s="998"/>
      <c r="B3621" s="999"/>
      <c r="C3621" s="474"/>
      <c r="D3621" s="474"/>
      <c r="E3621" s="474"/>
      <c r="F3621" s="474"/>
      <c r="G3621" s="696"/>
      <c r="H3621" s="474"/>
      <c r="I3621" s="696"/>
    </row>
    <row r="3622" spans="1:9" ht="12.75">
      <c r="A3622" s="998"/>
      <c r="B3622" s="999"/>
      <c r="C3622" s="474"/>
      <c r="D3622" s="474"/>
      <c r="E3622" s="474"/>
      <c r="F3622" s="474"/>
      <c r="G3622" s="696"/>
      <c r="H3622" s="474"/>
      <c r="I3622" s="696"/>
    </row>
    <row r="3623" spans="1:9" ht="12.75">
      <c r="A3623" s="998"/>
      <c r="B3623" s="999"/>
      <c r="C3623" s="474"/>
      <c r="D3623" s="474"/>
      <c r="E3623" s="474"/>
      <c r="F3623" s="474"/>
      <c r="G3623" s="696"/>
      <c r="H3623" s="474"/>
      <c r="I3623" s="696"/>
    </row>
    <row r="3624" spans="1:9" ht="12.75">
      <c r="A3624" s="998"/>
      <c r="B3624" s="999"/>
      <c r="C3624" s="474"/>
      <c r="D3624" s="474"/>
      <c r="E3624" s="474"/>
      <c r="F3624" s="474"/>
      <c r="G3624" s="696"/>
      <c r="H3624" s="474"/>
      <c r="I3624" s="696"/>
    </row>
    <row r="3625" spans="1:9" ht="12.75">
      <c r="A3625" s="998"/>
      <c r="B3625" s="999"/>
      <c r="C3625" s="474"/>
      <c r="D3625" s="474"/>
      <c r="E3625" s="474"/>
      <c r="F3625" s="474"/>
      <c r="G3625" s="696"/>
      <c r="H3625" s="474"/>
      <c r="I3625" s="696"/>
    </row>
    <row r="3626" spans="1:9" ht="12.75">
      <c r="A3626" s="998"/>
      <c r="B3626" s="999"/>
      <c r="C3626" s="474"/>
      <c r="D3626" s="474"/>
      <c r="E3626" s="474"/>
      <c r="F3626" s="474"/>
      <c r="G3626" s="696"/>
      <c r="H3626" s="474"/>
      <c r="I3626" s="696"/>
    </row>
    <row r="3627" spans="1:9" ht="12.75">
      <c r="A3627" s="998"/>
      <c r="B3627" s="999"/>
      <c r="C3627" s="474"/>
      <c r="D3627" s="474"/>
      <c r="E3627" s="474"/>
      <c r="F3627" s="474"/>
      <c r="G3627" s="696"/>
      <c r="H3627" s="474"/>
      <c r="I3627" s="696"/>
    </row>
    <row r="3628" spans="1:9" ht="12.75">
      <c r="A3628" s="998"/>
      <c r="B3628" s="999"/>
      <c r="C3628" s="474"/>
      <c r="D3628" s="474"/>
      <c r="E3628" s="474"/>
      <c r="F3628" s="474"/>
      <c r="G3628" s="696"/>
      <c r="H3628" s="474"/>
      <c r="I3628" s="696"/>
    </row>
    <row r="3629" spans="1:9" ht="12.75">
      <c r="A3629" s="998"/>
      <c r="B3629" s="999"/>
      <c r="C3629" s="474"/>
      <c r="D3629" s="474"/>
      <c r="E3629" s="474"/>
      <c r="F3629" s="474"/>
      <c r="G3629" s="696"/>
      <c r="H3629" s="474"/>
      <c r="I3629" s="696"/>
    </row>
    <row r="3630" spans="1:9" ht="12.75">
      <c r="A3630" s="998"/>
      <c r="B3630" s="999"/>
      <c r="C3630" s="474"/>
      <c r="D3630" s="474"/>
      <c r="E3630" s="474"/>
      <c r="F3630" s="474"/>
      <c r="G3630" s="696"/>
      <c r="H3630" s="474"/>
      <c r="I3630" s="696"/>
    </row>
    <row r="3631" spans="1:9" ht="12.75">
      <c r="A3631" s="998"/>
      <c r="B3631" s="999"/>
      <c r="C3631" s="474"/>
      <c r="D3631" s="474"/>
      <c r="E3631" s="474"/>
      <c r="F3631" s="474"/>
      <c r="G3631" s="696"/>
      <c r="H3631" s="474"/>
      <c r="I3631" s="696"/>
    </row>
    <row r="3632" spans="1:9" ht="12.75">
      <c r="A3632" s="998"/>
      <c r="B3632" s="999"/>
      <c r="C3632" s="474"/>
      <c r="D3632" s="474"/>
      <c r="E3632" s="474"/>
      <c r="F3632" s="474"/>
      <c r="G3632" s="696"/>
      <c r="H3632" s="474"/>
      <c r="I3632" s="696"/>
    </row>
    <row r="3633" spans="1:9" ht="12.75">
      <c r="A3633" s="998"/>
      <c r="B3633" s="999"/>
      <c r="C3633" s="474"/>
      <c r="D3633" s="474"/>
      <c r="E3633" s="474"/>
      <c r="F3633" s="474"/>
      <c r="G3633" s="696"/>
      <c r="H3633" s="474"/>
      <c r="I3633" s="696"/>
    </row>
    <row r="3634" spans="1:9" ht="12.75">
      <c r="A3634" s="998"/>
      <c r="B3634" s="999"/>
      <c r="C3634" s="474"/>
      <c r="D3634" s="474"/>
      <c r="E3634" s="474"/>
      <c r="F3634" s="474"/>
      <c r="G3634" s="696"/>
      <c r="H3634" s="474"/>
      <c r="I3634" s="696"/>
    </row>
    <row r="3635" spans="1:9" ht="12.75">
      <c r="A3635" s="998"/>
      <c r="B3635" s="999"/>
      <c r="C3635" s="474"/>
      <c r="D3635" s="474"/>
      <c r="E3635" s="474"/>
      <c r="F3635" s="474"/>
      <c r="G3635" s="696"/>
      <c r="H3635" s="474"/>
      <c r="I3635" s="696"/>
    </row>
    <row r="3636" spans="1:9" ht="12.75">
      <c r="A3636" s="998"/>
      <c r="B3636" s="999"/>
      <c r="C3636" s="474"/>
      <c r="D3636" s="474"/>
      <c r="E3636" s="474"/>
      <c r="F3636" s="474"/>
      <c r="G3636" s="696"/>
      <c r="H3636" s="474"/>
      <c r="I3636" s="696"/>
    </row>
    <row r="3637" spans="1:9" ht="12.75">
      <c r="A3637" s="998"/>
      <c r="B3637" s="999"/>
      <c r="C3637" s="474"/>
      <c r="D3637" s="474"/>
      <c r="E3637" s="474"/>
      <c r="F3637" s="474"/>
      <c r="G3637" s="696"/>
      <c r="H3637" s="474"/>
      <c r="I3637" s="696"/>
    </row>
    <row r="3638" spans="1:9" ht="12.75">
      <c r="A3638" s="998"/>
      <c r="B3638" s="999"/>
      <c r="C3638" s="474"/>
      <c r="D3638" s="474"/>
      <c r="E3638" s="474"/>
      <c r="F3638" s="474"/>
      <c r="G3638" s="696"/>
      <c r="H3638" s="474"/>
      <c r="I3638" s="696"/>
    </row>
    <row r="3639" spans="1:9" ht="12.75">
      <c r="A3639" s="998"/>
      <c r="B3639" s="999"/>
      <c r="C3639" s="474"/>
      <c r="D3639" s="474"/>
      <c r="E3639" s="474"/>
      <c r="F3639" s="474"/>
      <c r="G3639" s="696"/>
      <c r="H3639" s="474"/>
      <c r="I3639" s="696"/>
    </row>
    <row r="3640" spans="1:9" ht="12.75">
      <c r="A3640" s="998"/>
      <c r="B3640" s="999"/>
      <c r="C3640" s="474"/>
      <c r="D3640" s="474"/>
      <c r="E3640" s="474"/>
      <c r="F3640" s="474"/>
      <c r="G3640" s="696"/>
      <c r="H3640" s="474"/>
      <c r="I3640" s="696"/>
    </row>
    <row r="3641" spans="1:9" ht="12.75">
      <c r="A3641" s="998"/>
      <c r="B3641" s="999"/>
      <c r="C3641" s="474"/>
      <c r="D3641" s="474"/>
      <c r="E3641" s="474"/>
      <c r="F3641" s="474"/>
      <c r="G3641" s="696"/>
      <c r="H3641" s="474"/>
      <c r="I3641" s="696"/>
    </row>
    <row r="3642" spans="1:9" ht="12.75">
      <c r="A3642" s="998"/>
      <c r="B3642" s="999"/>
      <c r="C3642" s="474"/>
      <c r="D3642" s="474"/>
      <c r="E3642" s="474"/>
      <c r="F3642" s="474"/>
      <c r="G3642" s="696"/>
      <c r="H3642" s="474"/>
      <c r="I3642" s="696"/>
    </row>
    <row r="3643" spans="1:9" ht="12.75">
      <c r="A3643" s="998"/>
      <c r="B3643" s="999"/>
      <c r="C3643" s="474"/>
      <c r="D3643" s="474"/>
      <c r="E3643" s="474"/>
      <c r="F3643" s="474"/>
      <c r="G3643" s="696"/>
      <c r="H3643" s="474"/>
      <c r="I3643" s="696"/>
    </row>
    <row r="3644" spans="1:9" ht="12.75">
      <c r="A3644" s="998"/>
      <c r="B3644" s="999"/>
      <c r="C3644" s="474"/>
      <c r="D3644" s="474"/>
      <c r="E3644" s="474"/>
      <c r="F3644" s="474"/>
      <c r="G3644" s="696"/>
      <c r="H3644" s="474"/>
      <c r="I3644" s="696"/>
    </row>
    <row r="3645" spans="1:9" ht="12.75">
      <c r="A3645" s="998"/>
      <c r="B3645" s="999"/>
      <c r="C3645" s="474"/>
      <c r="D3645" s="474"/>
      <c r="E3645" s="474"/>
      <c r="F3645" s="474"/>
      <c r="G3645" s="696"/>
      <c r="H3645" s="474"/>
      <c r="I3645" s="696"/>
    </row>
    <row r="3646" spans="1:9" ht="12.75">
      <c r="A3646" s="998"/>
      <c r="B3646" s="999"/>
      <c r="C3646" s="474"/>
      <c r="D3646" s="474"/>
      <c r="E3646" s="474"/>
      <c r="F3646" s="474"/>
      <c r="G3646" s="696"/>
      <c r="H3646" s="474"/>
      <c r="I3646" s="696"/>
    </row>
    <row r="3647" spans="1:9" ht="12.75">
      <c r="A3647" s="998"/>
      <c r="B3647" s="999"/>
      <c r="C3647" s="474"/>
      <c r="D3647" s="474"/>
      <c r="E3647" s="474"/>
      <c r="F3647" s="474"/>
      <c r="G3647" s="696"/>
      <c r="H3647" s="474"/>
      <c r="I3647" s="696"/>
    </row>
    <row r="3648" spans="1:9" ht="12.75">
      <c r="A3648" s="998"/>
      <c r="B3648" s="999"/>
      <c r="C3648" s="474"/>
      <c r="D3648" s="474"/>
      <c r="E3648" s="474"/>
      <c r="F3648" s="474"/>
      <c r="G3648" s="696"/>
      <c r="H3648" s="474"/>
      <c r="I3648" s="696"/>
    </row>
    <row r="3649" spans="1:9" ht="12.75">
      <c r="A3649" s="998"/>
      <c r="B3649" s="999"/>
      <c r="C3649" s="474"/>
      <c r="D3649" s="474"/>
      <c r="E3649" s="474"/>
      <c r="F3649" s="474"/>
      <c r="G3649" s="696"/>
      <c r="H3649" s="474"/>
      <c r="I3649" s="696"/>
    </row>
    <row r="3650" spans="1:9" ht="12.75">
      <c r="A3650" s="998"/>
      <c r="B3650" s="999"/>
      <c r="C3650" s="474"/>
      <c r="D3650" s="474"/>
      <c r="E3650" s="474"/>
      <c r="F3650" s="474"/>
      <c r="G3650" s="696"/>
      <c r="H3650" s="474"/>
      <c r="I3650" s="696"/>
    </row>
    <row r="3651" spans="1:9" ht="12.75">
      <c r="A3651" s="998"/>
      <c r="B3651" s="999"/>
      <c r="C3651" s="474"/>
      <c r="D3651" s="474"/>
      <c r="E3651" s="474"/>
      <c r="F3651" s="474"/>
      <c r="G3651" s="696"/>
      <c r="H3651" s="474"/>
      <c r="I3651" s="696"/>
    </row>
    <row r="3652" spans="1:9" ht="12.75">
      <c r="A3652" s="998"/>
      <c r="B3652" s="999"/>
      <c r="C3652" s="474"/>
      <c r="D3652" s="474"/>
      <c r="E3652" s="474"/>
      <c r="F3652" s="474"/>
      <c r="G3652" s="696"/>
      <c r="H3652" s="474"/>
      <c r="I3652" s="696"/>
    </row>
    <row r="3653" spans="1:9" ht="12.75">
      <c r="A3653" s="998"/>
      <c r="B3653" s="999"/>
      <c r="C3653" s="474"/>
      <c r="D3653" s="474"/>
      <c r="E3653" s="474"/>
      <c r="F3653" s="474"/>
      <c r="G3653" s="696"/>
      <c r="H3653" s="474"/>
      <c r="I3653" s="696"/>
    </row>
    <row r="3654" spans="1:9" ht="12.75">
      <c r="A3654" s="998"/>
      <c r="B3654" s="999"/>
      <c r="C3654" s="474"/>
      <c r="D3654" s="474"/>
      <c r="E3654" s="474"/>
      <c r="F3654" s="474"/>
      <c r="G3654" s="696"/>
      <c r="H3654" s="474"/>
      <c r="I3654" s="696"/>
    </row>
    <row r="3655" spans="1:9" ht="12.75">
      <c r="A3655" s="998"/>
      <c r="B3655" s="999"/>
      <c r="C3655" s="474"/>
      <c r="D3655" s="474"/>
      <c r="E3655" s="474"/>
      <c r="F3655" s="474"/>
      <c r="G3655" s="696"/>
      <c r="H3655" s="474"/>
      <c r="I3655" s="696"/>
    </row>
    <row r="3656" spans="1:9" ht="12.75">
      <c r="A3656" s="998"/>
      <c r="B3656" s="999"/>
      <c r="C3656" s="474"/>
      <c r="D3656" s="474"/>
      <c r="E3656" s="474"/>
      <c r="F3656" s="474"/>
      <c r="G3656" s="696"/>
      <c r="H3656" s="474"/>
      <c r="I3656" s="696"/>
    </row>
    <row r="3657" spans="1:9" ht="12.75">
      <c r="A3657" s="998"/>
      <c r="B3657" s="999"/>
      <c r="C3657" s="474"/>
      <c r="D3657" s="474"/>
      <c r="E3657" s="474"/>
      <c r="F3657" s="474"/>
      <c r="G3657" s="696"/>
      <c r="H3657" s="474"/>
      <c r="I3657" s="696"/>
    </row>
    <row r="3658" spans="1:9" ht="12.75">
      <c r="A3658" s="998"/>
      <c r="B3658" s="999"/>
      <c r="C3658" s="474"/>
      <c r="D3658" s="474"/>
      <c r="E3658" s="474"/>
      <c r="F3658" s="474"/>
      <c r="G3658" s="696"/>
      <c r="H3658" s="474"/>
      <c r="I3658" s="696"/>
    </row>
    <row r="3659" spans="1:9" ht="12.75">
      <c r="A3659" s="998"/>
      <c r="B3659" s="999"/>
      <c r="C3659" s="474"/>
      <c r="D3659" s="474"/>
      <c r="E3659" s="474"/>
      <c r="F3659" s="474"/>
      <c r="G3659" s="696"/>
      <c r="H3659" s="474"/>
      <c r="I3659" s="696"/>
    </row>
    <row r="3660" spans="1:9" ht="12.75">
      <c r="A3660" s="998"/>
      <c r="B3660" s="999"/>
      <c r="C3660" s="474"/>
      <c r="D3660" s="474"/>
      <c r="E3660" s="474"/>
      <c r="F3660" s="474"/>
      <c r="G3660" s="696"/>
      <c r="H3660" s="474"/>
      <c r="I3660" s="696"/>
    </row>
    <row r="3661" spans="1:9" ht="12.75">
      <c r="A3661" s="998"/>
      <c r="B3661" s="999"/>
      <c r="C3661" s="474"/>
      <c r="D3661" s="474"/>
      <c r="E3661" s="474"/>
      <c r="F3661" s="474"/>
      <c r="G3661" s="696"/>
      <c r="H3661" s="474"/>
      <c r="I3661" s="696"/>
    </row>
    <row r="3662" spans="1:9" ht="12.75">
      <c r="A3662" s="998"/>
      <c r="B3662" s="999"/>
      <c r="C3662" s="474"/>
      <c r="D3662" s="474"/>
      <c r="E3662" s="474"/>
      <c r="F3662" s="474"/>
      <c r="G3662" s="696"/>
      <c r="H3662" s="474"/>
      <c r="I3662" s="696"/>
    </row>
    <row r="3663" spans="1:9" ht="12.75">
      <c r="A3663" s="998"/>
      <c r="B3663" s="999"/>
      <c r="C3663" s="474"/>
      <c r="D3663" s="474"/>
      <c r="E3663" s="474"/>
      <c r="F3663" s="474"/>
      <c r="G3663" s="696"/>
      <c r="H3663" s="474"/>
      <c r="I3663" s="696"/>
    </row>
    <row r="3664" spans="1:9" ht="12.75">
      <c r="A3664" s="998"/>
      <c r="B3664" s="999"/>
      <c r="C3664" s="474"/>
      <c r="D3664" s="474"/>
      <c r="E3664" s="474"/>
      <c r="F3664" s="474"/>
      <c r="G3664" s="696"/>
      <c r="H3664" s="474"/>
      <c r="I3664" s="696"/>
    </row>
    <row r="3665" spans="1:9" ht="12.75">
      <c r="A3665" s="998"/>
      <c r="B3665" s="999"/>
      <c r="C3665" s="474"/>
      <c r="D3665" s="474"/>
      <c r="E3665" s="474"/>
      <c r="F3665" s="474"/>
      <c r="G3665" s="696"/>
      <c r="H3665" s="474"/>
      <c r="I3665" s="696"/>
    </row>
    <row r="3666" spans="1:9" ht="12.75">
      <c r="A3666" s="998"/>
      <c r="B3666" s="999"/>
      <c r="C3666" s="474"/>
      <c r="D3666" s="474"/>
      <c r="E3666" s="474"/>
      <c r="F3666" s="474"/>
      <c r="G3666" s="696"/>
      <c r="H3666" s="474"/>
      <c r="I3666" s="696"/>
    </row>
    <row r="3667" spans="1:9" ht="12.75">
      <c r="A3667" s="998"/>
      <c r="B3667" s="999"/>
      <c r="C3667" s="474"/>
      <c r="D3667" s="474"/>
      <c r="E3667" s="474"/>
      <c r="F3667" s="474"/>
      <c r="G3667" s="696"/>
      <c r="H3667" s="474"/>
      <c r="I3667" s="696"/>
    </row>
    <row r="3668" spans="1:9" ht="12.75">
      <c r="A3668" s="998"/>
      <c r="B3668" s="999"/>
      <c r="C3668" s="474"/>
      <c r="D3668" s="474"/>
      <c r="E3668" s="474"/>
      <c r="F3668" s="474"/>
      <c r="G3668" s="696"/>
      <c r="H3668" s="474"/>
      <c r="I3668" s="696"/>
    </row>
    <row r="3669" spans="1:9" ht="12.75">
      <c r="A3669" s="998"/>
      <c r="B3669" s="999"/>
      <c r="C3669" s="474"/>
      <c r="D3669" s="474"/>
      <c r="E3669" s="474"/>
      <c r="F3669" s="474"/>
      <c r="G3669" s="696"/>
      <c r="H3669" s="474"/>
      <c r="I3669" s="696"/>
    </row>
    <row r="3670" spans="1:9" ht="12.75">
      <c r="A3670" s="998"/>
      <c r="B3670" s="999"/>
      <c r="C3670" s="474"/>
      <c r="D3670" s="474"/>
      <c r="E3670" s="474"/>
      <c r="F3670" s="474"/>
      <c r="G3670" s="696"/>
      <c r="H3670" s="474"/>
      <c r="I3670" s="696"/>
    </row>
    <row r="3671" spans="1:9" ht="12.75">
      <c r="A3671" s="998"/>
      <c r="B3671" s="999"/>
      <c r="C3671" s="474"/>
      <c r="D3671" s="474"/>
      <c r="E3671" s="474"/>
      <c r="F3671" s="474"/>
      <c r="G3671" s="696"/>
      <c r="H3671" s="474"/>
      <c r="I3671" s="696"/>
    </row>
    <row r="3672" spans="1:9" ht="12.75">
      <c r="A3672" s="998"/>
      <c r="B3672" s="999"/>
      <c r="C3672" s="474"/>
      <c r="D3672" s="474"/>
      <c r="E3672" s="474"/>
      <c r="F3672" s="474"/>
      <c r="G3672" s="696"/>
      <c r="H3672" s="474"/>
      <c r="I3672" s="696"/>
    </row>
    <row r="3673" spans="1:9" ht="12.75">
      <c r="A3673" s="998"/>
      <c r="B3673" s="999"/>
      <c r="C3673" s="474"/>
      <c r="D3673" s="474"/>
      <c r="E3673" s="474"/>
      <c r="F3673" s="474"/>
      <c r="G3673" s="696"/>
      <c r="H3673" s="474"/>
      <c r="I3673" s="696"/>
    </row>
    <row r="3674" spans="1:9" ht="12.75">
      <c r="A3674" s="998"/>
      <c r="B3674" s="999"/>
      <c r="C3674" s="474"/>
      <c r="D3674" s="474"/>
      <c r="E3674" s="474"/>
      <c r="F3674" s="474"/>
      <c r="G3674" s="696"/>
      <c r="H3674" s="474"/>
      <c r="I3674" s="696"/>
    </row>
    <row r="3675" spans="1:9" ht="12.75">
      <c r="A3675" s="998"/>
      <c r="B3675" s="999"/>
      <c r="C3675" s="474"/>
      <c r="D3675" s="474"/>
      <c r="E3675" s="474"/>
      <c r="F3675" s="474"/>
      <c r="G3675" s="696"/>
      <c r="H3675" s="474"/>
      <c r="I3675" s="696"/>
    </row>
    <row r="3676" spans="1:9" ht="12.75">
      <c r="A3676" s="998"/>
      <c r="B3676" s="999"/>
      <c r="C3676" s="474"/>
      <c r="D3676" s="474"/>
      <c r="E3676" s="474"/>
      <c r="F3676" s="474"/>
      <c r="G3676" s="696"/>
      <c r="H3676" s="474"/>
      <c r="I3676" s="696"/>
    </row>
    <row r="3677" spans="1:9" ht="12.75">
      <c r="A3677" s="998"/>
      <c r="B3677" s="999"/>
      <c r="C3677" s="474"/>
      <c r="D3677" s="474"/>
      <c r="E3677" s="474"/>
      <c r="F3677" s="474"/>
      <c r="G3677" s="696"/>
      <c r="H3677" s="474"/>
      <c r="I3677" s="696"/>
    </row>
    <row r="3678" spans="1:9" ht="12.75">
      <c r="A3678" s="998"/>
      <c r="B3678" s="999"/>
      <c r="C3678" s="474"/>
      <c r="D3678" s="474"/>
      <c r="E3678" s="474"/>
      <c r="F3678" s="474"/>
      <c r="G3678" s="696"/>
      <c r="H3678" s="474"/>
      <c r="I3678" s="696"/>
    </row>
    <row r="3679" spans="1:9" ht="12.75">
      <c r="A3679" s="998"/>
      <c r="B3679" s="999"/>
      <c r="C3679" s="474"/>
      <c r="D3679" s="474"/>
      <c r="E3679" s="474"/>
      <c r="F3679" s="474"/>
      <c r="G3679" s="696"/>
      <c r="H3679" s="474"/>
      <c r="I3679" s="696"/>
    </row>
    <row r="3680" spans="1:9" ht="12.75">
      <c r="A3680" s="998"/>
      <c r="B3680" s="999"/>
      <c r="C3680" s="474"/>
      <c r="D3680" s="474"/>
      <c r="E3680" s="474"/>
      <c r="F3680" s="474"/>
      <c r="G3680" s="696"/>
      <c r="H3680" s="474"/>
      <c r="I3680" s="696"/>
    </row>
    <row r="3681" spans="1:9" ht="12.75">
      <c r="A3681" s="998"/>
      <c r="B3681" s="999"/>
      <c r="C3681" s="474"/>
      <c r="D3681" s="474"/>
      <c r="E3681" s="474"/>
      <c r="F3681" s="474"/>
      <c r="G3681" s="696"/>
      <c r="H3681" s="474"/>
      <c r="I3681" s="696"/>
    </row>
    <row r="3682" spans="1:9" ht="12.75">
      <c r="A3682" s="998"/>
      <c r="B3682" s="999"/>
      <c r="C3682" s="474"/>
      <c r="D3682" s="474"/>
      <c r="E3682" s="474"/>
      <c r="F3682" s="474"/>
      <c r="G3682" s="696"/>
      <c r="H3682" s="474"/>
      <c r="I3682" s="696"/>
    </row>
    <row r="3683" spans="1:9" ht="12.75">
      <c r="A3683" s="998"/>
      <c r="B3683" s="999"/>
      <c r="C3683" s="474"/>
      <c r="D3683" s="474"/>
      <c r="E3683" s="474"/>
      <c r="F3683" s="474"/>
      <c r="G3683" s="696"/>
      <c r="H3683" s="474"/>
      <c r="I3683" s="696"/>
    </row>
    <row r="3684" spans="1:9" ht="12.75">
      <c r="A3684" s="998"/>
      <c r="B3684" s="999"/>
      <c r="C3684" s="474"/>
      <c r="D3684" s="474"/>
      <c r="E3684" s="474"/>
      <c r="F3684" s="474"/>
      <c r="G3684" s="696"/>
      <c r="H3684" s="474"/>
      <c r="I3684" s="696"/>
    </row>
    <row r="3685" spans="1:9" ht="12.75">
      <c r="A3685" s="998"/>
      <c r="B3685" s="999"/>
      <c r="C3685" s="474"/>
      <c r="D3685" s="474"/>
      <c r="E3685" s="474"/>
      <c r="F3685" s="474"/>
      <c r="G3685" s="696"/>
      <c r="H3685" s="474"/>
      <c r="I3685" s="696"/>
    </row>
    <row r="3686" spans="1:9" ht="12.75">
      <c r="A3686" s="998"/>
      <c r="B3686" s="999"/>
      <c r="C3686" s="474"/>
      <c r="D3686" s="474"/>
      <c r="E3686" s="474"/>
      <c r="F3686" s="474"/>
      <c r="G3686" s="696"/>
      <c r="H3686" s="474"/>
      <c r="I3686" s="696"/>
    </row>
    <row r="3687" spans="1:9" ht="12.75">
      <c r="A3687" s="998"/>
      <c r="B3687" s="999"/>
      <c r="C3687" s="474"/>
      <c r="D3687" s="474"/>
      <c r="E3687" s="474"/>
      <c r="F3687" s="474"/>
      <c r="G3687" s="696"/>
      <c r="H3687" s="474"/>
      <c r="I3687" s="696"/>
    </row>
    <row r="3688" spans="1:9" ht="12.75">
      <c r="A3688" s="998"/>
      <c r="B3688" s="999"/>
      <c r="C3688" s="474"/>
      <c r="D3688" s="474"/>
      <c r="E3688" s="474"/>
      <c r="F3688" s="474"/>
      <c r="G3688" s="696"/>
      <c r="H3688" s="474"/>
      <c r="I3688" s="696"/>
    </row>
    <row r="3689" spans="1:9" ht="12.75">
      <c r="A3689" s="998"/>
      <c r="B3689" s="999"/>
      <c r="C3689" s="474"/>
      <c r="D3689" s="474"/>
      <c r="E3689" s="474"/>
      <c r="F3689" s="474"/>
      <c r="G3689" s="696"/>
      <c r="H3689" s="474"/>
      <c r="I3689" s="696"/>
    </row>
    <row r="3690" spans="1:9" ht="12.75">
      <c r="A3690" s="998"/>
      <c r="B3690" s="999"/>
      <c r="C3690" s="474"/>
      <c r="D3690" s="474"/>
      <c r="E3690" s="474"/>
      <c r="F3690" s="474"/>
      <c r="G3690" s="696"/>
      <c r="H3690" s="474"/>
      <c r="I3690" s="696"/>
    </row>
    <row r="3691" spans="1:9" ht="12.75">
      <c r="A3691" s="998"/>
      <c r="B3691" s="999"/>
      <c r="C3691" s="474"/>
      <c r="D3691" s="474"/>
      <c r="E3691" s="474"/>
      <c r="F3691" s="474"/>
      <c r="G3691" s="696"/>
      <c r="H3691" s="474"/>
      <c r="I3691" s="696"/>
    </row>
    <row r="3692" spans="1:9" ht="12.75">
      <c r="A3692" s="998"/>
      <c r="B3692" s="999"/>
      <c r="C3692" s="474"/>
      <c r="D3692" s="474"/>
      <c r="E3692" s="474"/>
      <c r="F3692" s="474"/>
      <c r="G3692" s="696"/>
      <c r="H3692" s="474"/>
      <c r="I3692" s="696"/>
    </row>
    <row r="3693" spans="1:9" ht="12.75">
      <c r="A3693" s="998"/>
      <c r="B3693" s="999"/>
      <c r="C3693" s="474"/>
      <c r="D3693" s="474"/>
      <c r="E3693" s="474"/>
      <c r="F3693" s="474"/>
      <c r="G3693" s="696"/>
      <c r="H3693" s="474"/>
      <c r="I3693" s="696"/>
    </row>
    <row r="3694" spans="1:9" ht="12.75">
      <c r="A3694" s="998"/>
      <c r="B3694" s="999"/>
      <c r="C3694" s="474"/>
      <c r="D3694" s="474"/>
      <c r="E3694" s="474"/>
      <c r="F3694" s="474"/>
      <c r="G3694" s="696"/>
      <c r="H3694" s="474"/>
      <c r="I3694" s="696"/>
    </row>
    <row r="3695" spans="1:9" ht="12.75">
      <c r="A3695" s="998"/>
      <c r="B3695" s="999"/>
      <c r="C3695" s="474"/>
      <c r="D3695" s="474"/>
      <c r="E3695" s="474"/>
      <c r="F3695" s="474"/>
      <c r="G3695" s="696"/>
      <c r="H3695" s="474"/>
      <c r="I3695" s="696"/>
    </row>
    <row r="3696" spans="1:9" ht="12.75">
      <c r="A3696" s="998"/>
      <c r="B3696" s="999"/>
      <c r="C3696" s="474"/>
      <c r="D3696" s="474"/>
      <c r="E3696" s="474"/>
      <c r="F3696" s="474"/>
      <c r="G3696" s="696"/>
      <c r="H3696" s="474"/>
      <c r="I3696" s="696"/>
    </row>
    <row r="3697" spans="1:9" ht="12.75">
      <c r="A3697" s="998"/>
      <c r="B3697" s="999"/>
      <c r="C3697" s="474"/>
      <c r="D3697" s="474"/>
      <c r="E3697" s="474"/>
      <c r="F3697" s="474"/>
      <c r="G3697" s="696"/>
      <c r="H3697" s="474"/>
      <c r="I3697" s="696"/>
    </row>
    <row r="3698" spans="1:9" ht="12.75">
      <c r="A3698" s="998"/>
      <c r="B3698" s="999"/>
      <c r="C3698" s="474"/>
      <c r="D3698" s="474"/>
      <c r="E3698" s="474"/>
      <c r="F3698" s="474"/>
      <c r="G3698" s="696"/>
      <c r="H3698" s="474"/>
      <c r="I3698" s="696"/>
    </row>
    <row r="3699" spans="1:9" ht="12.75">
      <c r="A3699" s="998"/>
      <c r="B3699" s="999"/>
      <c r="C3699" s="474"/>
      <c r="D3699" s="474"/>
      <c r="E3699" s="474"/>
      <c r="F3699" s="474"/>
      <c r="G3699" s="696"/>
      <c r="H3699" s="474"/>
      <c r="I3699" s="696"/>
    </row>
    <row r="3700" spans="1:9" ht="12.75">
      <c r="A3700" s="998"/>
      <c r="B3700" s="999"/>
      <c r="C3700" s="474"/>
      <c r="D3700" s="474"/>
      <c r="E3700" s="474"/>
      <c r="F3700" s="474"/>
      <c r="G3700" s="696"/>
      <c r="H3700" s="474"/>
      <c r="I3700" s="696"/>
    </row>
    <row r="3701" spans="1:9" ht="12.75">
      <c r="A3701" s="998"/>
      <c r="B3701" s="999"/>
      <c r="C3701" s="474"/>
      <c r="D3701" s="474"/>
      <c r="E3701" s="474"/>
      <c r="F3701" s="474"/>
      <c r="G3701" s="696"/>
      <c r="H3701" s="474"/>
      <c r="I3701" s="696"/>
    </row>
    <row r="3702" spans="1:9" ht="12.75">
      <c r="A3702" s="998"/>
      <c r="B3702" s="999"/>
      <c r="C3702" s="474"/>
      <c r="D3702" s="474"/>
      <c r="E3702" s="474"/>
      <c r="F3702" s="474"/>
      <c r="G3702" s="696"/>
      <c r="H3702" s="474"/>
      <c r="I3702" s="696"/>
    </row>
    <row r="3703" spans="1:9" ht="12.75">
      <c r="A3703" s="998"/>
      <c r="B3703" s="999"/>
      <c r="C3703" s="474"/>
      <c r="D3703" s="474"/>
      <c r="E3703" s="474"/>
      <c r="F3703" s="474"/>
      <c r="G3703" s="696"/>
      <c r="H3703" s="474"/>
      <c r="I3703" s="696"/>
    </row>
    <row r="3704" spans="1:9" ht="12.75">
      <c r="A3704" s="998"/>
      <c r="B3704" s="999"/>
      <c r="C3704" s="474"/>
      <c r="D3704" s="474"/>
      <c r="E3704" s="474"/>
      <c r="F3704" s="474"/>
      <c r="G3704" s="696"/>
      <c r="H3704" s="474"/>
      <c r="I3704" s="696"/>
    </row>
    <row r="3705" spans="1:9" ht="12.75">
      <c r="A3705" s="998"/>
      <c r="B3705" s="999"/>
      <c r="C3705" s="474"/>
      <c r="D3705" s="474"/>
      <c r="E3705" s="474"/>
      <c r="F3705" s="474"/>
      <c r="G3705" s="696"/>
      <c r="H3705" s="474"/>
      <c r="I3705" s="696"/>
    </row>
    <row r="3706" spans="1:9" ht="12.75">
      <c r="A3706" s="998"/>
      <c r="B3706" s="999"/>
      <c r="C3706" s="474"/>
      <c r="D3706" s="474"/>
      <c r="E3706" s="474"/>
      <c r="F3706" s="474"/>
      <c r="G3706" s="696"/>
      <c r="H3706" s="474"/>
      <c r="I3706" s="696"/>
    </row>
    <row r="3707" spans="1:9" ht="12.75">
      <c r="A3707" s="998"/>
      <c r="B3707" s="999"/>
      <c r="C3707" s="474"/>
      <c r="D3707" s="474"/>
      <c r="E3707" s="474"/>
      <c r="F3707" s="474"/>
      <c r="G3707" s="696"/>
      <c r="H3707" s="474"/>
      <c r="I3707" s="696"/>
    </row>
    <row r="3708" spans="1:9" ht="12.75">
      <c r="A3708" s="998"/>
      <c r="B3708" s="999"/>
      <c r="C3708" s="474"/>
      <c r="D3708" s="474"/>
      <c r="E3708" s="474"/>
      <c r="F3708" s="474"/>
      <c r="G3708" s="696"/>
      <c r="H3708" s="474"/>
      <c r="I3708" s="696"/>
    </row>
    <row r="3709" spans="1:9" ht="12.75">
      <c r="A3709" s="998"/>
      <c r="B3709" s="999"/>
      <c r="C3709" s="474"/>
      <c r="D3709" s="474"/>
      <c r="E3709" s="474"/>
      <c r="F3709" s="474"/>
      <c r="G3709" s="696"/>
      <c r="H3709" s="474"/>
      <c r="I3709" s="696"/>
    </row>
    <row r="3710" spans="1:9" ht="12.75">
      <c r="A3710" s="998"/>
      <c r="B3710" s="999"/>
      <c r="C3710" s="474"/>
      <c r="D3710" s="474"/>
      <c r="E3710" s="474"/>
      <c r="F3710" s="474"/>
      <c r="G3710" s="696"/>
      <c r="H3710" s="474"/>
      <c r="I3710" s="696"/>
    </row>
    <row r="3711" spans="1:9" ht="12.75">
      <c r="A3711" s="998"/>
      <c r="B3711" s="999"/>
      <c r="C3711" s="474"/>
      <c r="D3711" s="474"/>
      <c r="E3711" s="474"/>
      <c r="F3711" s="474"/>
      <c r="G3711" s="696"/>
      <c r="H3711" s="474"/>
      <c r="I3711" s="696"/>
    </row>
    <row r="3712" spans="1:9" ht="12.75">
      <c r="A3712" s="998"/>
      <c r="B3712" s="999"/>
      <c r="C3712" s="474"/>
      <c r="D3712" s="474"/>
      <c r="E3712" s="474"/>
      <c r="F3712" s="474"/>
      <c r="G3712" s="696"/>
      <c r="H3712" s="474"/>
      <c r="I3712" s="696"/>
    </row>
    <row r="3713" spans="1:9" ht="12.75">
      <c r="A3713" s="998"/>
      <c r="B3713" s="999"/>
      <c r="C3713" s="474"/>
      <c r="D3713" s="474"/>
      <c r="E3713" s="474"/>
      <c r="F3713" s="474"/>
      <c r="G3713" s="696"/>
      <c r="H3713" s="474"/>
      <c r="I3713" s="696"/>
    </row>
    <row r="3714" spans="1:9" ht="12.75">
      <c r="A3714" s="998"/>
      <c r="B3714" s="999"/>
      <c r="C3714" s="474"/>
      <c r="D3714" s="474"/>
      <c r="E3714" s="474"/>
      <c r="F3714" s="474"/>
      <c r="G3714" s="696"/>
      <c r="H3714" s="474"/>
      <c r="I3714" s="696"/>
    </row>
    <row r="3715" spans="1:9" ht="12.75">
      <c r="A3715" s="998"/>
      <c r="B3715" s="999"/>
      <c r="C3715" s="474"/>
      <c r="D3715" s="474"/>
      <c r="E3715" s="474"/>
      <c r="F3715" s="474"/>
      <c r="G3715" s="696"/>
      <c r="H3715" s="474"/>
      <c r="I3715" s="696"/>
    </row>
    <row r="3716" spans="1:9" ht="12.75">
      <c r="A3716" s="998"/>
      <c r="B3716" s="999"/>
      <c r="C3716" s="474"/>
      <c r="D3716" s="474"/>
      <c r="E3716" s="474"/>
      <c r="F3716" s="474"/>
      <c r="G3716" s="696"/>
      <c r="H3716" s="474"/>
      <c r="I3716" s="696"/>
    </row>
    <row r="3717" spans="1:9" ht="12.75">
      <c r="A3717" s="998"/>
      <c r="B3717" s="999"/>
      <c r="C3717" s="474"/>
      <c r="D3717" s="474"/>
      <c r="E3717" s="474"/>
      <c r="F3717" s="474"/>
      <c r="G3717" s="696"/>
      <c r="H3717" s="474"/>
      <c r="I3717" s="696"/>
    </row>
    <row r="3718" spans="1:9" ht="12.75">
      <c r="A3718" s="998"/>
      <c r="B3718" s="999"/>
      <c r="C3718" s="474"/>
      <c r="D3718" s="474"/>
      <c r="E3718" s="474"/>
      <c r="F3718" s="474"/>
      <c r="G3718" s="696"/>
      <c r="H3718" s="474"/>
      <c r="I3718" s="696"/>
    </row>
    <row r="3719" spans="1:9" ht="12.75">
      <c r="A3719" s="998"/>
      <c r="B3719" s="999"/>
      <c r="C3719" s="474"/>
      <c r="D3719" s="474"/>
      <c r="E3719" s="474"/>
      <c r="F3719" s="474"/>
      <c r="G3719" s="696"/>
      <c r="H3719" s="474"/>
      <c r="I3719" s="696"/>
    </row>
    <row r="3720" spans="1:9" ht="12.75">
      <c r="A3720" s="998"/>
      <c r="B3720" s="999"/>
      <c r="C3720" s="474"/>
      <c r="D3720" s="474"/>
      <c r="E3720" s="474"/>
      <c r="F3720" s="474"/>
      <c r="G3720" s="696"/>
      <c r="H3720" s="474"/>
      <c r="I3720" s="696"/>
    </row>
    <row r="3721" spans="1:9" ht="12.75">
      <c r="A3721" s="998"/>
      <c r="B3721" s="999"/>
      <c r="C3721" s="474"/>
      <c r="D3721" s="474"/>
      <c r="E3721" s="474"/>
      <c r="F3721" s="474"/>
      <c r="G3721" s="696"/>
      <c r="H3721" s="474"/>
      <c r="I3721" s="696"/>
    </row>
    <row r="3722" spans="1:9" ht="12.75">
      <c r="A3722" s="998"/>
      <c r="B3722" s="999"/>
      <c r="C3722" s="474"/>
      <c r="D3722" s="474"/>
      <c r="E3722" s="474"/>
      <c r="F3722" s="474"/>
      <c r="G3722" s="696"/>
      <c r="H3722" s="474"/>
      <c r="I3722" s="696"/>
    </row>
    <row r="3723" spans="1:9" ht="12.75">
      <c r="A3723" s="998"/>
      <c r="B3723" s="999"/>
      <c r="C3723" s="474"/>
      <c r="D3723" s="474"/>
      <c r="E3723" s="474"/>
      <c r="F3723" s="474"/>
      <c r="G3723" s="696"/>
      <c r="H3723" s="474"/>
      <c r="I3723" s="696"/>
    </row>
    <row r="3724" spans="1:9" ht="12.75">
      <c r="A3724" s="998"/>
      <c r="B3724" s="999"/>
      <c r="C3724" s="474"/>
      <c r="D3724" s="474"/>
      <c r="E3724" s="474"/>
      <c r="F3724" s="474"/>
      <c r="G3724" s="696"/>
      <c r="H3724" s="474"/>
      <c r="I3724" s="696"/>
    </row>
    <row r="3725" spans="1:9" ht="12.75">
      <c r="A3725" s="998"/>
      <c r="B3725" s="999"/>
      <c r="C3725" s="474"/>
      <c r="D3725" s="474"/>
      <c r="E3725" s="474"/>
      <c r="F3725" s="474"/>
      <c r="G3725" s="696"/>
      <c r="H3725" s="474"/>
      <c r="I3725" s="696"/>
    </row>
    <row r="3726" spans="1:9" ht="12.75">
      <c r="A3726" s="998"/>
      <c r="B3726" s="999"/>
      <c r="C3726" s="474"/>
      <c r="D3726" s="474"/>
      <c r="E3726" s="474"/>
      <c r="F3726" s="474"/>
      <c r="G3726" s="696"/>
      <c r="H3726" s="474"/>
      <c r="I3726" s="696"/>
    </row>
    <row r="3727" spans="1:9" ht="12.75">
      <c r="A3727" s="998"/>
      <c r="B3727" s="999"/>
      <c r="C3727" s="474"/>
      <c r="D3727" s="474"/>
      <c r="E3727" s="474"/>
      <c r="F3727" s="474"/>
      <c r="G3727" s="696"/>
      <c r="H3727" s="474"/>
      <c r="I3727" s="696"/>
    </row>
    <row r="3728" spans="1:9" ht="12.75">
      <c r="A3728" s="998"/>
      <c r="B3728" s="999"/>
      <c r="C3728" s="474"/>
      <c r="D3728" s="474"/>
      <c r="E3728" s="474"/>
      <c r="F3728" s="474"/>
      <c r="G3728" s="696"/>
      <c r="H3728" s="474"/>
      <c r="I3728" s="696"/>
    </row>
    <row r="3729" spans="1:9" ht="12.75">
      <c r="A3729" s="998"/>
      <c r="B3729" s="999"/>
      <c r="C3729" s="474"/>
      <c r="D3729" s="474"/>
      <c r="E3729" s="474"/>
      <c r="F3729" s="474"/>
      <c r="G3729" s="696"/>
      <c r="H3729" s="474"/>
      <c r="I3729" s="696"/>
    </row>
    <row r="3730" spans="1:9" ht="12.75">
      <c r="A3730" s="998"/>
      <c r="B3730" s="999"/>
      <c r="C3730" s="474"/>
      <c r="D3730" s="474"/>
      <c r="E3730" s="474"/>
      <c r="F3730" s="474"/>
      <c r="G3730" s="696"/>
      <c r="H3730" s="474"/>
      <c r="I3730" s="696"/>
    </row>
    <row r="3731" spans="1:9" ht="12.75">
      <c r="A3731" s="998"/>
      <c r="B3731" s="999"/>
      <c r="C3731" s="474"/>
      <c r="D3731" s="474"/>
      <c r="E3731" s="474"/>
      <c r="F3731" s="474"/>
      <c r="G3731" s="696"/>
      <c r="H3731" s="474"/>
      <c r="I3731" s="696"/>
    </row>
    <row r="3732" spans="1:9" ht="12.75">
      <c r="A3732" s="998"/>
      <c r="B3732" s="999"/>
      <c r="C3732" s="474"/>
      <c r="D3732" s="474"/>
      <c r="E3732" s="474"/>
      <c r="F3732" s="474"/>
      <c r="G3732" s="696"/>
      <c r="H3732" s="474"/>
      <c r="I3732" s="696"/>
    </row>
    <row r="3733" spans="1:9" ht="12.75">
      <c r="A3733" s="998"/>
      <c r="B3733" s="999"/>
      <c r="C3733" s="474"/>
      <c r="D3733" s="474"/>
      <c r="E3733" s="474"/>
      <c r="F3733" s="474"/>
      <c r="G3733" s="696"/>
      <c r="H3733" s="474"/>
      <c r="I3733" s="696"/>
    </row>
    <row r="3734" spans="1:9" ht="12.75">
      <c r="A3734" s="998"/>
      <c r="B3734" s="999"/>
      <c r="C3734" s="474"/>
      <c r="D3734" s="474"/>
      <c r="E3734" s="474"/>
      <c r="F3734" s="474"/>
      <c r="G3734" s="696"/>
      <c r="H3734" s="474"/>
      <c r="I3734" s="696"/>
    </row>
    <row r="3735" spans="1:9" ht="12.75">
      <c r="A3735" s="998"/>
      <c r="B3735" s="999"/>
      <c r="C3735" s="474"/>
      <c r="D3735" s="474"/>
      <c r="E3735" s="474"/>
      <c r="F3735" s="474"/>
      <c r="G3735" s="696"/>
      <c r="H3735" s="474"/>
      <c r="I3735" s="696"/>
    </row>
    <row r="3736" spans="1:9" ht="12.75">
      <c r="A3736" s="998"/>
      <c r="B3736" s="999"/>
      <c r="C3736" s="474"/>
      <c r="D3736" s="474"/>
      <c r="E3736" s="474"/>
      <c r="F3736" s="474"/>
      <c r="G3736" s="696"/>
      <c r="H3736" s="474"/>
      <c r="I3736" s="696"/>
    </row>
    <row r="3737" spans="1:9" ht="12.75">
      <c r="A3737" s="998"/>
      <c r="B3737" s="999"/>
      <c r="C3737" s="474"/>
      <c r="D3737" s="474"/>
      <c r="E3737" s="474"/>
      <c r="F3737" s="474"/>
      <c r="G3737" s="696"/>
      <c r="H3737" s="474"/>
      <c r="I3737" s="696"/>
    </row>
    <row r="3738" spans="1:9" ht="12.75">
      <c r="A3738" s="998"/>
      <c r="B3738" s="999"/>
      <c r="C3738" s="474"/>
      <c r="D3738" s="474"/>
      <c r="E3738" s="474"/>
      <c r="F3738" s="474"/>
      <c r="G3738" s="696"/>
      <c r="H3738" s="474"/>
      <c r="I3738" s="696"/>
    </row>
    <row r="3739" spans="1:9" ht="12.75">
      <c r="A3739" s="998"/>
      <c r="B3739" s="999"/>
      <c r="C3739" s="474"/>
      <c r="D3739" s="474"/>
      <c r="E3739" s="474"/>
      <c r="F3739" s="474"/>
      <c r="G3739" s="696"/>
      <c r="H3739" s="474"/>
      <c r="I3739" s="696"/>
    </row>
    <row r="3740" spans="1:9" ht="12.75">
      <c r="A3740" s="998"/>
      <c r="B3740" s="999"/>
      <c r="C3740" s="474"/>
      <c r="D3740" s="474"/>
      <c r="E3740" s="474"/>
      <c r="F3740" s="474"/>
      <c r="G3740" s="696"/>
      <c r="H3740" s="474"/>
      <c r="I3740" s="696"/>
    </row>
    <row r="3741" spans="1:9" ht="12.75">
      <c r="A3741" s="998"/>
      <c r="B3741" s="999"/>
      <c r="C3741" s="474"/>
      <c r="D3741" s="474"/>
      <c r="E3741" s="474"/>
      <c r="F3741" s="474"/>
      <c r="G3741" s="696"/>
      <c r="H3741" s="474"/>
      <c r="I3741" s="696"/>
    </row>
    <row r="3742" spans="1:9" ht="12.75">
      <c r="A3742" s="998"/>
      <c r="B3742" s="999"/>
      <c r="C3742" s="474"/>
      <c r="D3742" s="474"/>
      <c r="E3742" s="474"/>
      <c r="F3742" s="474"/>
      <c r="G3742" s="696"/>
      <c r="H3742" s="474"/>
      <c r="I3742" s="696"/>
    </row>
    <row r="3743" spans="1:9" ht="12.75">
      <c r="A3743" s="998"/>
      <c r="B3743" s="999"/>
      <c r="C3743" s="474"/>
      <c r="D3743" s="474"/>
      <c r="E3743" s="474"/>
      <c r="F3743" s="474"/>
      <c r="G3743" s="696"/>
      <c r="H3743" s="474"/>
      <c r="I3743" s="696"/>
    </row>
    <row r="3744" spans="1:9" ht="12.75">
      <c r="A3744" s="998"/>
      <c r="B3744" s="999"/>
      <c r="C3744" s="474"/>
      <c r="D3744" s="474"/>
      <c r="E3744" s="474"/>
      <c r="F3744" s="474"/>
      <c r="G3744" s="696"/>
      <c r="H3744" s="474"/>
      <c r="I3744" s="696"/>
    </row>
    <row r="3745" spans="1:9" ht="12.75">
      <c r="A3745" s="998"/>
      <c r="B3745" s="999"/>
      <c r="C3745" s="474"/>
      <c r="D3745" s="474"/>
      <c r="E3745" s="474"/>
      <c r="F3745" s="474"/>
      <c r="G3745" s="696"/>
      <c r="H3745" s="474"/>
      <c r="I3745" s="696"/>
    </row>
    <row r="3746" spans="1:9" ht="12.75">
      <c r="A3746" s="998"/>
      <c r="B3746" s="999"/>
      <c r="C3746" s="474"/>
      <c r="D3746" s="474"/>
      <c r="E3746" s="474"/>
      <c r="F3746" s="474"/>
      <c r="G3746" s="696"/>
      <c r="H3746" s="474"/>
      <c r="I3746" s="696"/>
    </row>
    <row r="3747" spans="1:9" ht="12.75">
      <c r="A3747" s="998"/>
      <c r="B3747" s="999"/>
      <c r="C3747" s="474"/>
      <c r="D3747" s="474"/>
      <c r="E3747" s="474"/>
      <c r="F3747" s="474"/>
      <c r="G3747" s="696"/>
      <c r="H3747" s="474"/>
      <c r="I3747" s="696"/>
    </row>
    <row r="3748" spans="1:9" ht="12.75">
      <c r="A3748" s="998"/>
      <c r="B3748" s="999"/>
      <c r="C3748" s="474"/>
      <c r="D3748" s="474"/>
      <c r="E3748" s="474"/>
      <c r="F3748" s="474"/>
      <c r="G3748" s="696"/>
      <c r="H3748" s="474"/>
      <c r="I3748" s="696"/>
    </row>
    <row r="3749" spans="1:9" ht="12.75">
      <c r="A3749" s="998"/>
      <c r="B3749" s="999"/>
      <c r="C3749" s="474"/>
      <c r="D3749" s="474"/>
      <c r="E3749" s="474"/>
      <c r="F3749" s="474"/>
      <c r="G3749" s="696"/>
      <c r="H3749" s="474"/>
      <c r="I3749" s="696"/>
    </row>
    <row r="3750" spans="1:9" ht="12.75">
      <c r="A3750" s="998"/>
      <c r="B3750" s="999"/>
      <c r="C3750" s="474"/>
      <c r="D3750" s="474"/>
      <c r="E3750" s="474"/>
      <c r="F3750" s="474"/>
      <c r="G3750" s="696"/>
      <c r="H3750" s="474"/>
      <c r="I3750" s="696"/>
    </row>
    <row r="3751" spans="1:9" ht="12.75">
      <c r="A3751" s="998"/>
      <c r="B3751" s="999"/>
      <c r="C3751" s="474"/>
      <c r="D3751" s="474"/>
      <c r="E3751" s="474"/>
      <c r="F3751" s="474"/>
      <c r="G3751" s="696"/>
      <c r="H3751" s="474"/>
      <c r="I3751" s="696"/>
    </row>
    <row r="3752" spans="1:9" ht="12.75">
      <c r="A3752" s="998"/>
      <c r="B3752" s="999"/>
      <c r="C3752" s="474"/>
      <c r="D3752" s="474"/>
      <c r="E3752" s="474"/>
      <c r="F3752" s="474"/>
      <c r="G3752" s="696"/>
      <c r="H3752" s="474"/>
      <c r="I3752" s="696"/>
    </row>
    <row r="3753" spans="1:9" ht="12.75">
      <c r="A3753" s="998"/>
      <c r="B3753" s="999"/>
      <c r="C3753" s="474"/>
      <c r="D3753" s="474"/>
      <c r="E3753" s="474"/>
      <c r="F3753" s="474"/>
      <c r="G3753" s="696"/>
      <c r="H3753" s="474"/>
      <c r="I3753" s="696"/>
    </row>
    <row r="3754" spans="1:9" ht="12.75">
      <c r="A3754" s="998"/>
      <c r="B3754" s="999"/>
      <c r="C3754" s="474"/>
      <c r="D3754" s="474"/>
      <c r="E3754" s="474"/>
      <c r="F3754" s="474"/>
      <c r="G3754" s="696"/>
      <c r="H3754" s="474"/>
      <c r="I3754" s="696"/>
    </row>
    <row r="3755" spans="1:9" ht="12.75">
      <c r="A3755" s="998"/>
      <c r="B3755" s="999"/>
      <c r="C3755" s="474"/>
      <c r="D3755" s="474"/>
      <c r="E3755" s="474"/>
      <c r="F3755" s="474"/>
      <c r="G3755" s="696"/>
      <c r="H3755" s="474"/>
      <c r="I3755" s="696"/>
    </row>
    <row r="3756" spans="1:9" ht="12.75">
      <c r="A3756" s="998"/>
      <c r="B3756" s="999"/>
      <c r="C3756" s="474"/>
      <c r="D3756" s="474"/>
      <c r="E3756" s="474"/>
      <c r="F3756" s="474"/>
      <c r="G3756" s="696"/>
      <c r="H3756" s="474"/>
      <c r="I3756" s="696"/>
    </row>
    <row r="3757" spans="1:9" ht="12.75">
      <c r="A3757" s="998"/>
      <c r="B3757" s="999"/>
      <c r="C3757" s="474"/>
      <c r="D3757" s="474"/>
      <c r="E3757" s="474"/>
      <c r="F3757" s="474"/>
      <c r="G3757" s="696"/>
      <c r="H3757" s="474"/>
      <c r="I3757" s="696"/>
    </row>
  </sheetData>
  <printOptions horizontalCentered="1"/>
  <pageMargins left="0.2362204724409449" right="0.2362204724409449" top="0.61" bottom="0.33" header="0.29" footer="0.28"/>
  <pageSetup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7"/>
  <sheetViews>
    <sheetView workbookViewId="0" topLeftCell="A10">
      <selection activeCell="A37" sqref="A37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7" width="8.875" style="1" customWidth="1"/>
    <col min="8" max="8" width="9.125" style="1" customWidth="1"/>
    <col min="9" max="9" width="10.625" style="1" customWidth="1"/>
    <col min="10" max="10" width="11.125" style="1" customWidth="1"/>
    <col min="11" max="11" width="10.375" style="1" customWidth="1"/>
    <col min="12" max="12" width="9.00390625" style="1" customWidth="1"/>
    <col min="13" max="13" width="8.375" style="1" customWidth="1"/>
    <col min="14" max="14" width="10.375" style="1" customWidth="1"/>
    <col min="15" max="16384" width="10.00390625" style="1" customWidth="1"/>
  </cols>
  <sheetData>
    <row r="1" spans="11:13" ht="11.25" customHeight="1">
      <c r="K1" s="103"/>
      <c r="L1" s="82" t="s">
        <v>530</v>
      </c>
      <c r="M1" s="1001"/>
    </row>
    <row r="2" spans="11:13" ht="11.25" customHeight="1">
      <c r="K2" s="4"/>
      <c r="L2" s="473" t="s">
        <v>15</v>
      </c>
      <c r="M2" s="1001"/>
    </row>
    <row r="3" spans="11:244" ht="11.25" customHeight="1">
      <c r="K3" s="4"/>
      <c r="L3" s="4" t="s">
        <v>16</v>
      </c>
      <c r="M3" s="100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1002" t="s">
        <v>531</v>
      </c>
      <c r="K4" s="4"/>
      <c r="L4" s="4"/>
      <c r="M4" s="1001"/>
      <c r="N4" s="16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1003" t="s">
        <v>532</v>
      </c>
      <c r="B5" s="1004"/>
      <c r="C5" s="1004"/>
      <c r="D5" s="1005"/>
      <c r="E5" s="1006"/>
      <c r="F5" s="1006"/>
      <c r="G5" s="1006"/>
      <c r="H5" s="1006"/>
      <c r="I5" s="1006"/>
      <c r="J5" s="1006"/>
      <c r="K5" s="1005"/>
      <c r="L5" s="1005"/>
      <c r="M5" s="1005"/>
      <c r="N5" s="16" t="s">
        <v>237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481" t="s">
        <v>777</v>
      </c>
      <c r="B6" s="1004"/>
      <c r="C6" s="1004"/>
      <c r="D6" s="1005"/>
      <c r="E6" s="1006"/>
      <c r="F6" s="1006"/>
      <c r="G6" s="1006"/>
      <c r="H6" s="1006"/>
      <c r="I6" s="1006"/>
      <c r="J6" s="1006"/>
      <c r="K6" s="1005"/>
      <c r="L6" s="1005"/>
      <c r="M6" s="1005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22" customFormat="1" ht="18" customHeight="1" thickBot="1" thickTop="1">
      <c r="A7" s="2400" t="s">
        <v>238</v>
      </c>
      <c r="B7" s="2412" t="s">
        <v>239</v>
      </c>
      <c r="C7" s="2415" t="s">
        <v>533</v>
      </c>
      <c r="D7" s="1007" t="s">
        <v>302</v>
      </c>
      <c r="E7" s="1007"/>
      <c r="F7" s="1008"/>
      <c r="G7" s="1008"/>
      <c r="H7" s="1008"/>
      <c r="I7" s="1009"/>
      <c r="J7" s="1010" t="s">
        <v>303</v>
      </c>
      <c r="K7" s="1008"/>
      <c r="L7" s="1008"/>
      <c r="M7" s="1008"/>
      <c r="N7" s="1011"/>
    </row>
    <row r="8" spans="1:14" s="22" customFormat="1" ht="12.75" customHeight="1" thickTop="1">
      <c r="A8" s="2410"/>
      <c r="B8" s="2413"/>
      <c r="C8" s="2381"/>
      <c r="D8" s="2406" t="s">
        <v>242</v>
      </c>
      <c r="E8" s="2392" t="s">
        <v>243</v>
      </c>
      <c r="F8" s="1012"/>
      <c r="G8" s="1013" t="s">
        <v>244</v>
      </c>
      <c r="H8" s="2392" t="s">
        <v>245</v>
      </c>
      <c r="I8" s="2390" t="s">
        <v>246</v>
      </c>
      <c r="J8" s="2406" t="s">
        <v>242</v>
      </c>
      <c r="K8" s="2392" t="s">
        <v>243</v>
      </c>
      <c r="L8" s="1014" t="s">
        <v>244</v>
      </c>
      <c r="M8" s="2392" t="s">
        <v>245</v>
      </c>
      <c r="N8" s="2390" t="s">
        <v>246</v>
      </c>
    </row>
    <row r="9" spans="1:14" s="22" customFormat="1" ht="42.75" customHeight="1" thickBot="1">
      <c r="A9" s="2411"/>
      <c r="B9" s="2414"/>
      <c r="C9" s="2382"/>
      <c r="D9" s="2407"/>
      <c r="E9" s="2393"/>
      <c r="F9" s="1015" t="s">
        <v>247</v>
      </c>
      <c r="G9" s="30" t="s">
        <v>247</v>
      </c>
      <c r="H9" s="2405"/>
      <c r="I9" s="2391"/>
      <c r="J9" s="2407"/>
      <c r="K9" s="2393"/>
      <c r="L9" s="1016" t="s">
        <v>247</v>
      </c>
      <c r="M9" s="2405"/>
      <c r="N9" s="2391"/>
    </row>
    <row r="10" spans="1:14" s="39" customFormat="1" ht="11.25" customHeight="1" thickBot="1" thickTop="1">
      <c r="A10" s="1017">
        <v>1</v>
      </c>
      <c r="B10" s="1018">
        <v>2</v>
      </c>
      <c r="C10" s="1019">
        <v>3</v>
      </c>
      <c r="D10" s="1018">
        <v>4</v>
      </c>
      <c r="E10" s="1020">
        <v>5</v>
      </c>
      <c r="F10" s="1021">
        <v>6</v>
      </c>
      <c r="G10" s="1022">
        <v>6</v>
      </c>
      <c r="H10" s="1023">
        <v>7</v>
      </c>
      <c r="I10" s="1024">
        <v>8</v>
      </c>
      <c r="J10" s="1018">
        <v>9</v>
      </c>
      <c r="K10" s="1020">
        <v>10</v>
      </c>
      <c r="L10" s="1025">
        <v>11</v>
      </c>
      <c r="M10" s="1018">
        <v>12</v>
      </c>
      <c r="N10" s="1026">
        <v>13</v>
      </c>
    </row>
    <row r="11" spans="1:14" s="58" customFormat="1" ht="13.5" customHeight="1" thickTop="1">
      <c r="A11" s="1027" t="s">
        <v>248</v>
      </c>
      <c r="B11" s="1028" t="s">
        <v>249</v>
      </c>
      <c r="C11" s="1029">
        <f>D11+J11</f>
        <v>3000</v>
      </c>
      <c r="D11" s="1030">
        <f aca="true" t="shared" si="0" ref="D11:D18">E11+H11+I11</f>
        <v>3000</v>
      </c>
      <c r="E11" s="1031">
        <v>3000</v>
      </c>
      <c r="F11" s="1032"/>
      <c r="G11" s="1033"/>
      <c r="H11" s="1034"/>
      <c r="I11" s="1035"/>
      <c r="J11" s="1030"/>
      <c r="K11" s="1031"/>
      <c r="L11" s="1036"/>
      <c r="M11" s="1037"/>
      <c r="N11" s="1035"/>
    </row>
    <row r="12" spans="1:14" s="58" customFormat="1" ht="15" hidden="1">
      <c r="A12" s="1027" t="s">
        <v>390</v>
      </c>
      <c r="B12" s="1028" t="s">
        <v>391</v>
      </c>
      <c r="C12" s="1029">
        <f>D12+J12</f>
        <v>0</v>
      </c>
      <c r="D12" s="1030">
        <f t="shared" si="0"/>
        <v>0</v>
      </c>
      <c r="E12" s="1031"/>
      <c r="F12" s="1032"/>
      <c r="G12" s="1033"/>
      <c r="H12" s="1034"/>
      <c r="I12" s="1035"/>
      <c r="J12" s="1030">
        <f aca="true" t="shared" si="1" ref="J12:J32">K12+M12+N12</f>
        <v>0</v>
      </c>
      <c r="K12" s="1031"/>
      <c r="L12" s="1036"/>
      <c r="M12" s="1037"/>
      <c r="N12" s="1035"/>
    </row>
    <row r="13" spans="1:14" s="58" customFormat="1" ht="12.75" customHeight="1">
      <c r="A13" s="1027">
        <v>500</v>
      </c>
      <c r="B13" s="1028" t="s">
        <v>250</v>
      </c>
      <c r="C13" s="1029">
        <f aca="true" t="shared" si="2" ref="C13:C33">D13+J13</f>
        <v>194000</v>
      </c>
      <c r="D13" s="1030">
        <f t="shared" si="0"/>
        <v>194000</v>
      </c>
      <c r="E13" s="1031">
        <v>194000</v>
      </c>
      <c r="F13" s="1032"/>
      <c r="G13" s="1033"/>
      <c r="H13" s="1034"/>
      <c r="I13" s="1035"/>
      <c r="J13" s="1030"/>
      <c r="K13" s="1031"/>
      <c r="L13" s="1036"/>
      <c r="M13" s="1037"/>
      <c r="N13" s="1035"/>
    </row>
    <row r="14" spans="1:14" s="58" customFormat="1" ht="12.75" customHeight="1">
      <c r="A14" s="1027" t="s">
        <v>251</v>
      </c>
      <c r="B14" s="1028" t="s">
        <v>252</v>
      </c>
      <c r="C14" s="1029">
        <f t="shared" si="2"/>
        <v>59035504</v>
      </c>
      <c r="D14" s="1030">
        <f t="shared" si="0"/>
        <v>30263504</v>
      </c>
      <c r="E14" s="1031">
        <v>30263504</v>
      </c>
      <c r="F14" s="1038"/>
      <c r="G14" s="1033">
        <v>100000</v>
      </c>
      <c r="H14" s="1034"/>
      <c r="I14" s="1035"/>
      <c r="J14" s="1030">
        <f t="shared" si="1"/>
        <v>28772000</v>
      </c>
      <c r="K14" s="1031">
        <v>28772000</v>
      </c>
      <c r="L14" s="1036"/>
      <c r="M14" s="1037"/>
      <c r="N14" s="1035"/>
    </row>
    <row r="15" spans="1:244" ht="12.75" customHeight="1">
      <c r="A15" s="1027" t="s">
        <v>253</v>
      </c>
      <c r="B15" s="1028" t="s">
        <v>254</v>
      </c>
      <c r="C15" s="1029">
        <f t="shared" si="2"/>
        <v>64000</v>
      </c>
      <c r="D15" s="1030">
        <f t="shared" si="0"/>
        <v>64000</v>
      </c>
      <c r="E15" s="1031">
        <v>64000</v>
      </c>
      <c r="F15" s="1038"/>
      <c r="G15" s="1033"/>
      <c r="H15" s="1034"/>
      <c r="I15" s="1035"/>
      <c r="J15" s="1030"/>
      <c r="K15" s="1031"/>
      <c r="L15" s="1036"/>
      <c r="M15" s="1037"/>
      <c r="N15" s="10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8" customFormat="1" ht="12.75" customHeight="1">
      <c r="A16" s="1027" t="s">
        <v>255</v>
      </c>
      <c r="B16" s="1028" t="s">
        <v>256</v>
      </c>
      <c r="C16" s="1029">
        <f t="shared" si="2"/>
        <v>23542100</v>
      </c>
      <c r="D16" s="1030">
        <f t="shared" si="0"/>
        <v>23498600</v>
      </c>
      <c r="E16" s="1031">
        <v>23498600</v>
      </c>
      <c r="F16" s="1038"/>
      <c r="G16" s="1033"/>
      <c r="H16" s="1034"/>
      <c r="I16" s="1035"/>
      <c r="J16" s="1030">
        <f t="shared" si="1"/>
        <v>43500</v>
      </c>
      <c r="K16" s="1031"/>
      <c r="L16" s="1036"/>
      <c r="M16" s="1037">
        <v>43500</v>
      </c>
      <c r="N16" s="1035"/>
    </row>
    <row r="17" spans="1:14" s="58" customFormat="1" ht="12.75" customHeight="1">
      <c r="A17" s="1027" t="s">
        <v>257</v>
      </c>
      <c r="B17" s="1028" t="s">
        <v>258</v>
      </c>
      <c r="C17" s="1029">
        <f>D17+J17</f>
        <v>3818400</v>
      </c>
      <c r="D17" s="1030">
        <f t="shared" si="0"/>
        <v>3180300</v>
      </c>
      <c r="E17" s="1031">
        <v>3163700</v>
      </c>
      <c r="F17" s="1038"/>
      <c r="G17" s="1033"/>
      <c r="H17" s="1034"/>
      <c r="I17" s="1035">
        <v>16600</v>
      </c>
      <c r="J17" s="1030">
        <f t="shared" si="1"/>
        <v>638100</v>
      </c>
      <c r="K17" s="1031">
        <v>200000</v>
      </c>
      <c r="L17" s="1036"/>
      <c r="M17" s="1037">
        <v>438100</v>
      </c>
      <c r="N17" s="1035"/>
    </row>
    <row r="18" spans="1:14" s="58" customFormat="1" ht="12.75" customHeight="1">
      <c r="A18" s="1027" t="s">
        <v>259</v>
      </c>
      <c r="B18" s="1028" t="s">
        <v>260</v>
      </c>
      <c r="C18" s="1029">
        <f>D18+J18</f>
        <v>35920735</v>
      </c>
      <c r="D18" s="1030">
        <f t="shared" si="0"/>
        <v>30667455</v>
      </c>
      <c r="E18" s="1031">
        <v>29909555</v>
      </c>
      <c r="F18" s="1038"/>
      <c r="G18" s="1033"/>
      <c r="H18" s="1034">
        <v>757900</v>
      </c>
      <c r="I18" s="1035"/>
      <c r="J18" s="1030">
        <f t="shared" si="1"/>
        <v>5253280</v>
      </c>
      <c r="K18" s="1031">
        <v>4972580</v>
      </c>
      <c r="L18" s="1036">
        <v>1977180</v>
      </c>
      <c r="M18" s="1037">
        <v>275200</v>
      </c>
      <c r="N18" s="1035">
        <v>5500</v>
      </c>
    </row>
    <row r="19" spans="1:14" s="58" customFormat="1" ht="22.5" customHeight="1">
      <c r="A19" s="1027" t="s">
        <v>261</v>
      </c>
      <c r="B19" s="1039" t="s">
        <v>262</v>
      </c>
      <c r="C19" s="1029">
        <f>D19+J19</f>
        <v>17577</v>
      </c>
      <c r="D19" s="1030">
        <f>E19+H19+I19</f>
        <v>17577</v>
      </c>
      <c r="E19" s="1031"/>
      <c r="F19" s="1038"/>
      <c r="G19" s="1033"/>
      <c r="H19" s="1034">
        <v>17577</v>
      </c>
      <c r="I19" s="1035"/>
      <c r="J19" s="1030"/>
      <c r="K19" s="1031"/>
      <c r="L19" s="1036"/>
      <c r="M19" s="1037"/>
      <c r="N19" s="1035"/>
    </row>
    <row r="20" spans="1:14" s="58" customFormat="1" ht="15" hidden="1">
      <c r="A20" s="1027" t="s">
        <v>534</v>
      </c>
      <c r="B20" s="1039" t="s">
        <v>438</v>
      </c>
      <c r="C20" s="1029">
        <f t="shared" si="2"/>
        <v>0</v>
      </c>
      <c r="D20" s="1030"/>
      <c r="E20" s="1031"/>
      <c r="F20" s="1038"/>
      <c r="G20" s="1033"/>
      <c r="H20" s="1034"/>
      <c r="I20" s="1035"/>
      <c r="J20" s="1030">
        <f t="shared" si="1"/>
        <v>0</v>
      </c>
      <c r="K20" s="1031"/>
      <c r="L20" s="1036"/>
      <c r="M20" s="1037"/>
      <c r="N20" s="1035"/>
    </row>
    <row r="21" spans="1:14" s="58" customFormat="1" ht="19.5" customHeight="1">
      <c r="A21" s="1040" t="s">
        <v>263</v>
      </c>
      <c r="B21" s="1041" t="s">
        <v>264</v>
      </c>
      <c r="C21" s="1042">
        <f t="shared" si="2"/>
        <v>7599500</v>
      </c>
      <c r="D21" s="1030">
        <f aca="true" t="shared" si="3" ref="D21:D33">E21+H21+I21</f>
        <v>189500</v>
      </c>
      <c r="E21" s="1043">
        <v>179500</v>
      </c>
      <c r="F21" s="1044"/>
      <c r="G21" s="79"/>
      <c r="H21" s="1045">
        <v>10000</v>
      </c>
      <c r="I21" s="1046"/>
      <c r="J21" s="1030">
        <f t="shared" si="1"/>
        <v>7410000</v>
      </c>
      <c r="K21" s="1043">
        <v>40000</v>
      </c>
      <c r="L21" s="1047"/>
      <c r="M21" s="1048">
        <v>7370000</v>
      </c>
      <c r="N21" s="1046"/>
    </row>
    <row r="22" spans="1:14" s="58" customFormat="1" ht="32.25" customHeight="1">
      <c r="A22" s="1027" t="s">
        <v>265</v>
      </c>
      <c r="B22" s="1049" t="s">
        <v>266</v>
      </c>
      <c r="C22" s="1050">
        <f t="shared" si="2"/>
        <v>624700</v>
      </c>
      <c r="D22" s="1030">
        <f t="shared" si="3"/>
        <v>624700</v>
      </c>
      <c r="E22" s="1031">
        <v>624700</v>
      </c>
      <c r="F22" s="1038"/>
      <c r="G22" s="1033"/>
      <c r="H22" s="1034"/>
      <c r="I22" s="1035"/>
      <c r="J22" s="1030"/>
      <c r="K22" s="1031"/>
      <c r="L22" s="1036"/>
      <c r="M22" s="1037"/>
      <c r="N22" s="1035"/>
    </row>
    <row r="23" spans="1:14" s="58" customFormat="1" ht="12.75" customHeight="1">
      <c r="A23" s="1027" t="s">
        <v>267</v>
      </c>
      <c r="B23" s="1028" t="s">
        <v>268</v>
      </c>
      <c r="C23" s="1029">
        <f t="shared" si="2"/>
        <v>3200000</v>
      </c>
      <c r="D23" s="1030">
        <f t="shared" si="3"/>
        <v>3200000</v>
      </c>
      <c r="E23" s="1031">
        <v>3200000</v>
      </c>
      <c r="F23" s="1038"/>
      <c r="G23" s="1033"/>
      <c r="H23" s="1034"/>
      <c r="I23" s="1035"/>
      <c r="J23" s="1030"/>
      <c r="K23" s="1031"/>
      <c r="L23" s="1036"/>
      <c r="M23" s="1037"/>
      <c r="N23" s="1035"/>
    </row>
    <row r="24" spans="1:14" s="58" customFormat="1" ht="12.75" customHeight="1">
      <c r="A24" s="1027" t="s">
        <v>269</v>
      </c>
      <c r="B24" s="1028" t="s">
        <v>270</v>
      </c>
      <c r="C24" s="1029">
        <f>D24+J24</f>
        <v>9394542</v>
      </c>
      <c r="D24" s="1030">
        <f t="shared" si="3"/>
        <v>4996096</v>
      </c>
      <c r="E24" s="1031">
        <v>4996096</v>
      </c>
      <c r="F24" s="1038"/>
      <c r="G24" s="1033"/>
      <c r="H24" s="1034"/>
      <c r="I24" s="1035"/>
      <c r="J24" s="1030">
        <f t="shared" si="1"/>
        <v>4398446</v>
      </c>
      <c r="K24" s="1031">
        <v>4398446</v>
      </c>
      <c r="L24" s="1036"/>
      <c r="M24" s="1037"/>
      <c r="N24" s="1035"/>
    </row>
    <row r="25" spans="1:14" s="58" customFormat="1" ht="12.75" customHeight="1">
      <c r="A25" s="1027" t="s">
        <v>271</v>
      </c>
      <c r="B25" s="1028" t="s">
        <v>272</v>
      </c>
      <c r="C25" s="1029">
        <f t="shared" si="2"/>
        <v>135195903</v>
      </c>
      <c r="D25" s="1030">
        <f t="shared" si="3"/>
        <v>79384543</v>
      </c>
      <c r="E25" s="1031">
        <v>79384543</v>
      </c>
      <c r="F25" s="1038"/>
      <c r="G25" s="1033"/>
      <c r="H25" s="1034"/>
      <c r="I25" s="1035"/>
      <c r="J25" s="1030">
        <f t="shared" si="1"/>
        <v>55811360</v>
      </c>
      <c r="K25" s="1031">
        <v>55811360</v>
      </c>
      <c r="L25" s="1036"/>
      <c r="M25" s="1037"/>
      <c r="N25" s="1035"/>
    </row>
    <row r="26" spans="1:14" s="58" customFormat="1" ht="12.75" customHeight="1">
      <c r="A26" s="1027" t="s">
        <v>273</v>
      </c>
      <c r="B26" s="1028" t="s">
        <v>274</v>
      </c>
      <c r="C26" s="1029">
        <f t="shared" si="2"/>
        <v>23000</v>
      </c>
      <c r="D26" s="1030">
        <f t="shared" si="3"/>
        <v>23000</v>
      </c>
      <c r="E26" s="1031">
        <v>23000</v>
      </c>
      <c r="F26" s="1038"/>
      <c r="G26" s="1033"/>
      <c r="H26" s="1034"/>
      <c r="I26" s="1035"/>
      <c r="J26" s="1030"/>
      <c r="K26" s="1031"/>
      <c r="L26" s="1036"/>
      <c r="M26" s="1037"/>
      <c r="N26" s="1035"/>
    </row>
    <row r="27" spans="1:14" s="58" customFormat="1" ht="12.75" customHeight="1">
      <c r="A27" s="1027" t="s">
        <v>275</v>
      </c>
      <c r="B27" s="1028" t="s">
        <v>276</v>
      </c>
      <c r="C27" s="1029">
        <f t="shared" si="2"/>
        <v>3279600</v>
      </c>
      <c r="D27" s="1030">
        <f t="shared" si="3"/>
        <v>3264600</v>
      </c>
      <c r="E27" s="1031">
        <v>3264600</v>
      </c>
      <c r="F27" s="1038"/>
      <c r="G27" s="1033"/>
      <c r="H27" s="1034"/>
      <c r="I27" s="1035"/>
      <c r="J27" s="1030">
        <f t="shared" si="1"/>
        <v>15000</v>
      </c>
      <c r="K27" s="1031"/>
      <c r="L27" s="1036"/>
      <c r="M27" s="1037">
        <v>15000</v>
      </c>
      <c r="N27" s="1035"/>
    </row>
    <row r="28" spans="1:14" s="58" customFormat="1" ht="12.75" customHeight="1">
      <c r="A28" s="1027" t="s">
        <v>277</v>
      </c>
      <c r="B28" s="1028" t="s">
        <v>278</v>
      </c>
      <c r="C28" s="1029">
        <f t="shared" si="2"/>
        <v>47352168</v>
      </c>
      <c r="D28" s="1030">
        <f t="shared" si="3"/>
        <v>41408340</v>
      </c>
      <c r="E28" s="1031">
        <v>18774340</v>
      </c>
      <c r="F28" s="1038"/>
      <c r="G28" s="1033"/>
      <c r="H28" s="1034">
        <v>22634000</v>
      </c>
      <c r="I28" s="1035"/>
      <c r="J28" s="1030">
        <f t="shared" si="1"/>
        <v>5943828</v>
      </c>
      <c r="K28" s="1031">
        <v>5927828</v>
      </c>
      <c r="L28" s="1036">
        <v>535500</v>
      </c>
      <c r="M28" s="1037">
        <v>16000</v>
      </c>
      <c r="N28" s="1035"/>
    </row>
    <row r="29" spans="1:14" s="58" customFormat="1" ht="12.75" customHeight="1">
      <c r="A29" s="1027" t="s">
        <v>279</v>
      </c>
      <c r="B29" s="1039" t="s">
        <v>280</v>
      </c>
      <c r="C29" s="1029">
        <f t="shared" si="2"/>
        <v>5295003</v>
      </c>
      <c r="D29" s="1030">
        <f t="shared" si="3"/>
        <v>4287784</v>
      </c>
      <c r="E29" s="1031">
        <v>4287784</v>
      </c>
      <c r="F29" s="1038"/>
      <c r="G29" s="1033"/>
      <c r="H29" s="1034"/>
      <c r="I29" s="1035"/>
      <c r="J29" s="1030">
        <f t="shared" si="1"/>
        <v>1007219</v>
      </c>
      <c r="K29" s="1031">
        <v>891219</v>
      </c>
      <c r="L29" s="1036">
        <f>82852+13208</f>
        <v>96060</v>
      </c>
      <c r="M29" s="1037">
        <v>116000</v>
      </c>
      <c r="N29" s="1035"/>
    </row>
    <row r="30" spans="1:14" s="58" customFormat="1" ht="12.75" customHeight="1">
      <c r="A30" s="1027" t="s">
        <v>281</v>
      </c>
      <c r="B30" s="1039" t="s">
        <v>282</v>
      </c>
      <c r="C30" s="1029">
        <f t="shared" si="2"/>
        <v>11204227</v>
      </c>
      <c r="D30" s="1030">
        <f t="shared" si="3"/>
        <v>2157127</v>
      </c>
      <c r="E30" s="1031">
        <v>2157127</v>
      </c>
      <c r="F30" s="1038"/>
      <c r="G30" s="1033"/>
      <c r="H30" s="1034"/>
      <c r="I30" s="1035"/>
      <c r="J30" s="1030">
        <f t="shared" si="1"/>
        <v>9047100</v>
      </c>
      <c r="K30" s="1031">
        <v>9047100</v>
      </c>
      <c r="L30" s="1036"/>
      <c r="M30" s="1037"/>
      <c r="N30" s="1035"/>
    </row>
    <row r="31" spans="1:14" s="58" customFormat="1" ht="12.75" customHeight="1">
      <c r="A31" s="1027" t="s">
        <v>283</v>
      </c>
      <c r="B31" s="1039" t="s">
        <v>286</v>
      </c>
      <c r="C31" s="1029">
        <f t="shared" si="2"/>
        <v>23819700</v>
      </c>
      <c r="D31" s="1030">
        <f t="shared" si="3"/>
        <v>19240700</v>
      </c>
      <c r="E31" s="1031">
        <v>19240700</v>
      </c>
      <c r="F31" s="1038"/>
      <c r="G31" s="1033"/>
      <c r="H31" s="1034"/>
      <c r="I31" s="1035"/>
      <c r="J31" s="1030">
        <f t="shared" si="1"/>
        <v>4579000</v>
      </c>
      <c r="K31" s="1031">
        <v>4579000</v>
      </c>
      <c r="L31" s="1036"/>
      <c r="M31" s="1037"/>
      <c r="N31" s="1035"/>
    </row>
    <row r="32" spans="1:14" s="58" customFormat="1" ht="12.75" customHeight="1">
      <c r="A32" s="1027" t="s">
        <v>287</v>
      </c>
      <c r="B32" s="1039" t="s">
        <v>288</v>
      </c>
      <c r="C32" s="1029">
        <f t="shared" si="2"/>
        <v>19226100</v>
      </c>
      <c r="D32" s="1030">
        <f t="shared" si="3"/>
        <v>6905700</v>
      </c>
      <c r="E32" s="1031">
        <v>6905700</v>
      </c>
      <c r="F32" s="1038"/>
      <c r="G32" s="1033"/>
      <c r="H32" s="1034"/>
      <c r="I32" s="1035"/>
      <c r="J32" s="1030">
        <f t="shared" si="1"/>
        <v>12320400</v>
      </c>
      <c r="K32" s="1031">
        <v>12320400</v>
      </c>
      <c r="L32" s="1036">
        <v>40000</v>
      </c>
      <c r="M32" s="1037"/>
      <c r="N32" s="1035"/>
    </row>
    <row r="33" spans="1:14" s="58" customFormat="1" ht="12.75" customHeight="1" thickBot="1">
      <c r="A33" s="1051" t="s">
        <v>289</v>
      </c>
      <c r="B33" s="1039" t="s">
        <v>290</v>
      </c>
      <c r="C33" s="1029">
        <f t="shared" si="2"/>
        <v>12540150</v>
      </c>
      <c r="D33" s="1030">
        <f t="shared" si="3"/>
        <v>12540150</v>
      </c>
      <c r="E33" s="1052">
        <v>12540150</v>
      </c>
      <c r="F33" s="1038"/>
      <c r="G33" s="1033"/>
      <c r="H33" s="1034"/>
      <c r="I33" s="1035"/>
      <c r="J33" s="1030"/>
      <c r="K33" s="1031"/>
      <c r="L33" s="1036"/>
      <c r="M33" s="1037"/>
      <c r="N33" s="1035"/>
    </row>
    <row r="34" spans="1:14" s="74" customFormat="1" ht="18.75" customHeight="1" thickBot="1" thickTop="1">
      <c r="A34" s="1053"/>
      <c r="B34" s="1054" t="s">
        <v>242</v>
      </c>
      <c r="C34" s="1055">
        <f aca="true" t="shared" si="4" ref="C34:N34">SUM(C11:C33)</f>
        <v>401349909</v>
      </c>
      <c r="D34" s="1056">
        <f t="shared" si="4"/>
        <v>266110676</v>
      </c>
      <c r="E34" s="1057">
        <f>SUM(E11:E33)</f>
        <v>242674599</v>
      </c>
      <c r="F34" s="1058">
        <f t="shared" si="4"/>
        <v>0</v>
      </c>
      <c r="G34" s="1059">
        <f t="shared" si="4"/>
        <v>100000</v>
      </c>
      <c r="H34" s="1060">
        <f t="shared" si="4"/>
        <v>23419477</v>
      </c>
      <c r="I34" s="1061">
        <f t="shared" si="4"/>
        <v>16600</v>
      </c>
      <c r="J34" s="1056">
        <f t="shared" si="4"/>
        <v>135239233</v>
      </c>
      <c r="K34" s="1057">
        <f t="shared" si="4"/>
        <v>126959933</v>
      </c>
      <c r="L34" s="1062">
        <f>SUM(L11:L33)</f>
        <v>2648740</v>
      </c>
      <c r="M34" s="1063">
        <f>SUM(M11:M33)</f>
        <v>8273800</v>
      </c>
      <c r="N34" s="1061">
        <f t="shared" si="4"/>
        <v>5500</v>
      </c>
    </row>
    <row r="35" ht="15.75" thickTop="1">
      <c r="A35" s="102" t="s">
        <v>556</v>
      </c>
    </row>
    <row r="36" ht="15">
      <c r="A36" s="102" t="s">
        <v>297</v>
      </c>
    </row>
    <row r="37" ht="15">
      <c r="A37" s="102" t="s">
        <v>780</v>
      </c>
    </row>
  </sheetData>
  <mergeCells count="11">
    <mergeCell ref="E8:E9"/>
    <mergeCell ref="H8:H9"/>
    <mergeCell ref="I8:I9"/>
    <mergeCell ref="A7:A9"/>
    <mergeCell ref="B7:B9"/>
    <mergeCell ref="C7:C9"/>
    <mergeCell ref="D8:D9"/>
    <mergeCell ref="J8:J9"/>
    <mergeCell ref="K8:K9"/>
    <mergeCell ref="M8:M9"/>
    <mergeCell ref="N8:N9"/>
  </mergeCells>
  <printOptions horizontalCentered="1"/>
  <pageMargins left="0.2" right="0.2" top="0.59" bottom="0.31" header="0.3" footer="0.5118110236220472"/>
  <pageSetup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8">
      <selection activeCell="A32" sqref="A32"/>
    </sheetView>
  </sheetViews>
  <sheetFormatPr defaultColWidth="9.00390625" defaultRowHeight="12.75"/>
  <cols>
    <col min="1" max="1" width="6.25390625" style="1064" customWidth="1"/>
    <col min="2" max="2" width="38.75390625" style="1065" customWidth="1"/>
    <col min="3" max="3" width="12.00390625" style="1066" hidden="1" customWidth="1"/>
    <col min="4" max="4" width="5.25390625" style="1066" customWidth="1"/>
    <col min="5" max="5" width="16.125" style="1066" customWidth="1"/>
    <col min="6" max="6" width="17.375" style="1066" customWidth="1"/>
    <col min="7" max="16384" width="9.125" style="1068" customWidth="1"/>
  </cols>
  <sheetData>
    <row r="1" ht="12.75">
      <c r="E1" s="1067" t="s">
        <v>535</v>
      </c>
    </row>
    <row r="2" ht="12.75">
      <c r="E2" s="473" t="s">
        <v>27</v>
      </c>
    </row>
    <row r="3" ht="12.75">
      <c r="E3" s="4" t="s">
        <v>28</v>
      </c>
    </row>
    <row r="4" ht="12.75">
      <c r="E4" s="118"/>
    </row>
    <row r="5" ht="13.5" customHeight="1">
      <c r="E5" s="1069"/>
    </row>
    <row r="6" ht="3" customHeight="1"/>
    <row r="7" spans="1:6" ht="60" customHeight="1">
      <c r="A7" s="1070" t="s">
        <v>536</v>
      </c>
      <c r="B7" s="1071"/>
      <c r="C7" s="1071"/>
      <c r="D7" s="1071"/>
      <c r="E7" s="1071"/>
      <c r="F7" s="1071"/>
    </row>
    <row r="8" spans="1:6" ht="15.75" customHeight="1">
      <c r="A8" s="481" t="s">
        <v>777</v>
      </c>
      <c r="B8" s="1071"/>
      <c r="C8" s="1071"/>
      <c r="D8" s="1071"/>
      <c r="E8" s="1071"/>
      <c r="F8" s="1071"/>
    </row>
    <row r="9" spans="1:6" ht="12" customHeight="1" thickBot="1">
      <c r="A9" s="1001"/>
      <c r="F9" s="1066" t="s">
        <v>237</v>
      </c>
    </row>
    <row r="10" spans="1:6" ht="38.25" customHeight="1" thickTop="1">
      <c r="A10" s="1072" t="s">
        <v>537</v>
      </c>
      <c r="B10" s="1073" t="s">
        <v>239</v>
      </c>
      <c r="C10" s="1074" t="s">
        <v>538</v>
      </c>
      <c r="D10" s="1075" t="s">
        <v>539</v>
      </c>
      <c r="E10" s="1076" t="s">
        <v>240</v>
      </c>
      <c r="F10" s="1077" t="s">
        <v>241</v>
      </c>
    </row>
    <row r="11" spans="1:6" s="1083" customFormat="1" ht="12" thickBot="1">
      <c r="A11" s="1078">
        <v>1</v>
      </c>
      <c r="B11" s="1079">
        <v>2</v>
      </c>
      <c r="C11" s="1080">
        <v>3</v>
      </c>
      <c r="D11" s="1081">
        <v>3</v>
      </c>
      <c r="E11" s="1080">
        <v>4</v>
      </c>
      <c r="F11" s="1082">
        <v>5</v>
      </c>
    </row>
    <row r="12" spans="1:6" s="1090" customFormat="1" ht="24.75" customHeight="1" thickBot="1" thickTop="1">
      <c r="A12" s="1084" t="s">
        <v>259</v>
      </c>
      <c r="B12" s="1085" t="s">
        <v>260</v>
      </c>
      <c r="C12" s="1086">
        <f>C13</f>
        <v>715400</v>
      </c>
      <c r="D12" s="1087"/>
      <c r="E12" s="1088">
        <f>E13</f>
        <v>757900</v>
      </c>
      <c r="F12" s="1089">
        <f>F13</f>
        <v>757900</v>
      </c>
    </row>
    <row r="13" spans="1:6" s="1097" customFormat="1" ht="24" customHeight="1" thickBot="1" thickTop="1">
      <c r="A13" s="1091" t="s">
        <v>540</v>
      </c>
      <c r="B13" s="1092" t="s">
        <v>541</v>
      </c>
      <c r="C13" s="1093">
        <v>715400</v>
      </c>
      <c r="D13" s="1094">
        <v>2010</v>
      </c>
      <c r="E13" s="1095">
        <v>757900</v>
      </c>
      <c r="F13" s="1096">
        <v>757900</v>
      </c>
    </row>
    <row r="14" spans="1:6" s="1104" customFormat="1" ht="77.25" hidden="1" thickBot="1">
      <c r="A14" s="1098" t="s">
        <v>542</v>
      </c>
      <c r="B14" s="1099" t="s">
        <v>543</v>
      </c>
      <c r="C14" s="1100"/>
      <c r="D14" s="1101"/>
      <c r="E14" s="1102">
        <v>659000</v>
      </c>
      <c r="F14" s="1103">
        <v>659000</v>
      </c>
    </row>
    <row r="15" spans="1:6" s="1104" customFormat="1" ht="51.75" hidden="1" thickBot="1">
      <c r="A15" s="1098" t="s">
        <v>542</v>
      </c>
      <c r="B15" s="1099" t="s">
        <v>544</v>
      </c>
      <c r="C15" s="1100"/>
      <c r="D15" s="1101"/>
      <c r="E15" s="1105"/>
      <c r="F15" s="1103"/>
    </row>
    <row r="16" spans="1:6" s="1097" customFormat="1" ht="24" customHeight="1" hidden="1">
      <c r="A16" s="1106" t="s">
        <v>545</v>
      </c>
      <c r="B16" s="1107" t="s">
        <v>546</v>
      </c>
      <c r="C16" s="1108">
        <v>52930</v>
      </c>
      <c r="D16" s="1109">
        <v>2010</v>
      </c>
      <c r="E16" s="1110"/>
      <c r="F16" s="1111"/>
    </row>
    <row r="17" spans="1:6" s="1097" customFormat="1" ht="24" customHeight="1" hidden="1">
      <c r="A17" s="1112" t="s">
        <v>547</v>
      </c>
      <c r="B17" s="1113" t="s">
        <v>548</v>
      </c>
      <c r="C17" s="1114">
        <v>135158</v>
      </c>
      <c r="D17" s="1115">
        <v>2010</v>
      </c>
      <c r="E17" s="1116"/>
      <c r="F17" s="1117"/>
    </row>
    <row r="18" spans="1:6" s="1090" customFormat="1" ht="49.5" customHeight="1" thickBot="1" thickTop="1">
      <c r="A18" s="1084" t="s">
        <v>261</v>
      </c>
      <c r="B18" s="1085" t="s">
        <v>262</v>
      </c>
      <c r="C18" s="1086">
        <f>C19</f>
        <v>715400</v>
      </c>
      <c r="D18" s="1087"/>
      <c r="E18" s="1088">
        <f>E19</f>
        <v>17577</v>
      </c>
      <c r="F18" s="1089">
        <f>F19</f>
        <v>17577</v>
      </c>
    </row>
    <row r="19" spans="1:6" s="1097" customFormat="1" ht="33.75" customHeight="1" thickBot="1" thickTop="1">
      <c r="A19" s="1091" t="s">
        <v>435</v>
      </c>
      <c r="B19" s="1092" t="s">
        <v>549</v>
      </c>
      <c r="C19" s="1093">
        <v>715400</v>
      </c>
      <c r="D19" s="1094">
        <v>2010</v>
      </c>
      <c r="E19" s="1095">
        <v>17577</v>
      </c>
      <c r="F19" s="1096">
        <v>17577</v>
      </c>
    </row>
    <row r="20" spans="1:6" s="1090" customFormat="1" ht="35.25" customHeight="1" thickBot="1" thickTop="1">
      <c r="A20" s="1084" t="s">
        <v>263</v>
      </c>
      <c r="B20" s="1085" t="s">
        <v>264</v>
      </c>
      <c r="C20" s="1118">
        <f>C21</f>
        <v>6000</v>
      </c>
      <c r="D20" s="1119"/>
      <c r="E20" s="1088">
        <f>E21</f>
        <v>10000</v>
      </c>
      <c r="F20" s="1089">
        <f>F21</f>
        <v>10000</v>
      </c>
    </row>
    <row r="21" spans="1:6" s="1097" customFormat="1" ht="18.75" customHeight="1" thickBot="1" thickTop="1">
      <c r="A21" s="1091" t="s">
        <v>550</v>
      </c>
      <c r="B21" s="1092" t="s">
        <v>443</v>
      </c>
      <c r="C21" s="1093">
        <v>6000</v>
      </c>
      <c r="D21" s="1094">
        <v>2010</v>
      </c>
      <c r="E21" s="1095">
        <v>10000</v>
      </c>
      <c r="F21" s="1096">
        <v>10000</v>
      </c>
    </row>
    <row r="22" spans="1:6" s="1090" customFormat="1" ht="24" customHeight="1" thickBot="1" thickTop="1">
      <c r="A22" s="1084" t="s">
        <v>277</v>
      </c>
      <c r="B22" s="1085" t="s">
        <v>373</v>
      </c>
      <c r="C22" s="1118">
        <f>SUM(C23:C28)</f>
        <v>20401391</v>
      </c>
      <c r="D22" s="1119"/>
      <c r="E22" s="1088">
        <f>SUM(E23:E28)</f>
        <v>22634000</v>
      </c>
      <c r="F22" s="1089">
        <f>SUM(F23:F28)</f>
        <v>22634000</v>
      </c>
    </row>
    <row r="23" spans="1:6" s="1126" customFormat="1" ht="17.25" customHeight="1" thickTop="1">
      <c r="A23" s="1120" t="s">
        <v>551</v>
      </c>
      <c r="B23" s="1121" t="s">
        <v>480</v>
      </c>
      <c r="C23" s="1122">
        <v>450000</v>
      </c>
      <c r="D23" s="1123">
        <v>2010</v>
      </c>
      <c r="E23" s="1124">
        <v>701000</v>
      </c>
      <c r="F23" s="1125">
        <v>701000</v>
      </c>
    </row>
    <row r="24" spans="1:6" s="1126" customFormat="1" ht="43.5" customHeight="1">
      <c r="A24" s="1127">
        <v>85212</v>
      </c>
      <c r="B24" s="1128" t="s">
        <v>552</v>
      </c>
      <c r="C24" s="1129">
        <v>18427000</v>
      </c>
      <c r="D24" s="1115">
        <v>2010</v>
      </c>
      <c r="E24" s="1130">
        <v>19925000</v>
      </c>
      <c r="F24" s="1131">
        <v>19925000</v>
      </c>
    </row>
    <row r="25" spans="1:6" s="1126" customFormat="1" ht="13.5" customHeight="1" hidden="1">
      <c r="A25" s="1127"/>
      <c r="B25" s="1128"/>
      <c r="C25" s="1129">
        <v>3500</v>
      </c>
      <c r="D25" s="1115">
        <v>6310</v>
      </c>
      <c r="E25" s="1130"/>
      <c r="F25" s="1131"/>
    </row>
    <row r="26" spans="1:6" s="1126" customFormat="1" ht="44.25" customHeight="1">
      <c r="A26" s="1132" t="s">
        <v>553</v>
      </c>
      <c r="B26" s="1133" t="s">
        <v>554</v>
      </c>
      <c r="C26" s="1129">
        <v>197000</v>
      </c>
      <c r="D26" s="1115">
        <v>2010</v>
      </c>
      <c r="E26" s="1130">
        <v>192000</v>
      </c>
      <c r="F26" s="1131">
        <v>192000</v>
      </c>
    </row>
    <row r="27" spans="1:6" s="1097" customFormat="1" ht="29.25" customHeight="1">
      <c r="A27" s="1132" t="s">
        <v>555</v>
      </c>
      <c r="B27" s="1133" t="s">
        <v>484</v>
      </c>
      <c r="C27" s="1129">
        <v>1323891</v>
      </c>
      <c r="D27" s="1115">
        <v>2010</v>
      </c>
      <c r="E27" s="1130">
        <v>1667000</v>
      </c>
      <c r="F27" s="1131">
        <v>1667000</v>
      </c>
    </row>
    <row r="28" spans="1:6" s="1140" customFormat="1" ht="29.25" customHeight="1" thickBot="1">
      <c r="A28" s="1134">
        <v>85228</v>
      </c>
      <c r="B28" s="1135" t="s">
        <v>491</v>
      </c>
      <c r="C28" s="1136"/>
      <c r="D28" s="1137">
        <v>2010</v>
      </c>
      <c r="E28" s="1138">
        <v>149000</v>
      </c>
      <c r="F28" s="1139">
        <v>149000</v>
      </c>
    </row>
    <row r="29" spans="1:6" s="1147" customFormat="1" ht="19.5" customHeight="1" thickBot="1" thickTop="1">
      <c r="A29" s="1141"/>
      <c r="B29" s="1142" t="s">
        <v>242</v>
      </c>
      <c r="C29" s="1143" t="e">
        <f>C12+C20+C22+#REF!+#REF!</f>
        <v>#REF!</v>
      </c>
      <c r="D29" s="1144"/>
      <c r="E29" s="1145">
        <f>E12+E18+E20+E22</f>
        <v>23419477</v>
      </c>
      <c r="F29" s="1146">
        <f>F12+F18+F20+F22</f>
        <v>23419477</v>
      </c>
    </row>
    <row r="30" spans="1:6" s="1150" customFormat="1" ht="13.5" thickTop="1">
      <c r="A30" s="102" t="s">
        <v>556</v>
      </c>
      <c r="B30" s="103"/>
      <c r="C30" s="1148"/>
      <c r="D30" s="1148"/>
      <c r="E30" s="1149"/>
      <c r="F30" s="1149"/>
    </row>
    <row r="31" spans="1:6" s="1150" customFormat="1" ht="12.75">
      <c r="A31" s="102" t="s">
        <v>297</v>
      </c>
      <c r="B31" s="103"/>
      <c r="C31" s="1148"/>
      <c r="D31" s="1148"/>
      <c r="E31" s="1149"/>
      <c r="F31" s="1149"/>
    </row>
    <row r="32" spans="1:6" s="1104" customFormat="1" ht="15">
      <c r="A32" s="102" t="s">
        <v>780</v>
      </c>
      <c r="B32" s="1151"/>
      <c r="C32" s="1152"/>
      <c r="D32" s="1152"/>
      <c r="E32" s="1153"/>
      <c r="F32" s="1153"/>
    </row>
    <row r="33" spans="1:6" s="1150" customFormat="1" ht="12.75">
      <c r="A33" s="1155"/>
      <c r="B33" s="1154"/>
      <c r="C33" s="1148"/>
      <c r="D33" s="1148"/>
      <c r="E33" s="1149"/>
      <c r="F33" s="1149"/>
    </row>
    <row r="34" spans="1:6" s="1150" customFormat="1" ht="12.75">
      <c r="A34" s="1155"/>
      <c r="B34" s="1156"/>
      <c r="C34" s="1148"/>
      <c r="D34" s="1148"/>
      <c r="E34" s="1149"/>
      <c r="F34" s="1149"/>
    </row>
    <row r="35" spans="1:6" s="1150" customFormat="1" ht="12.75">
      <c r="A35" s="1155"/>
      <c r="B35" s="1156"/>
      <c r="C35" s="1148"/>
      <c r="D35" s="1148"/>
      <c r="E35" s="1149"/>
      <c r="F35" s="1149"/>
    </row>
    <row r="36" spans="1:6" s="1150" customFormat="1" ht="12.75">
      <c r="A36" s="1155"/>
      <c r="B36" s="1156"/>
      <c r="C36" s="1148"/>
      <c r="D36" s="1148"/>
      <c r="E36" s="1149"/>
      <c r="F36" s="1149"/>
    </row>
    <row r="37" spans="1:6" s="1150" customFormat="1" ht="12.75">
      <c r="A37" s="1155"/>
      <c r="B37" s="1156"/>
      <c r="C37" s="1148"/>
      <c r="D37" s="1148"/>
      <c r="E37" s="1149"/>
      <c r="F37" s="1149"/>
    </row>
    <row r="38" spans="1:6" s="1150" customFormat="1" ht="12.75">
      <c r="A38" s="1155"/>
      <c r="B38" s="1156"/>
      <c r="C38" s="1148"/>
      <c r="D38" s="1148"/>
      <c r="E38" s="1149"/>
      <c r="F38" s="1149"/>
    </row>
    <row r="39" spans="1:6" s="1150" customFormat="1" ht="12.75">
      <c r="A39" s="1155"/>
      <c r="B39" s="1156"/>
      <c r="C39" s="1148"/>
      <c r="D39" s="1148"/>
      <c r="E39" s="1149"/>
      <c r="F39" s="1149"/>
    </row>
    <row r="40" spans="1:6" s="1150" customFormat="1" ht="12.75">
      <c r="A40" s="1155"/>
      <c r="B40" s="1156"/>
      <c r="C40" s="1148"/>
      <c r="D40" s="1148"/>
      <c r="E40" s="1149"/>
      <c r="F40" s="1149"/>
    </row>
    <row r="41" spans="1:6" s="1150" customFormat="1" ht="12.75">
      <c r="A41" s="1155"/>
      <c r="B41" s="1156"/>
      <c r="C41" s="1148"/>
      <c r="D41" s="1148"/>
      <c r="E41" s="1149"/>
      <c r="F41" s="1149"/>
    </row>
    <row r="42" spans="1:6" s="1150" customFormat="1" ht="12.75">
      <c r="A42" s="1155"/>
      <c r="B42" s="1156"/>
      <c r="C42" s="1148"/>
      <c r="D42" s="1148"/>
      <c r="E42" s="1149"/>
      <c r="F42" s="1149"/>
    </row>
    <row r="43" spans="3:4" ht="12.75">
      <c r="C43" s="1157"/>
      <c r="D43" s="1157"/>
    </row>
    <row r="44" spans="3:4" ht="12.75">
      <c r="C44" s="1157"/>
      <c r="D44" s="1157"/>
    </row>
    <row r="45" spans="3:4" ht="12.75">
      <c r="C45" s="1157"/>
      <c r="D45" s="1157"/>
    </row>
    <row r="46" spans="3:4" ht="12.75">
      <c r="C46" s="1157"/>
      <c r="D46" s="1157"/>
    </row>
    <row r="47" spans="3:4" ht="12.75">
      <c r="C47" s="1157"/>
      <c r="D47" s="1157"/>
    </row>
    <row r="48" spans="3:4" ht="12.75">
      <c r="C48" s="1157"/>
      <c r="D48" s="1157"/>
    </row>
    <row r="49" spans="3:4" ht="12.75">
      <c r="C49" s="1157"/>
      <c r="D49" s="1157"/>
    </row>
    <row r="50" spans="3:4" ht="12.75">
      <c r="C50" s="1157"/>
      <c r="D50" s="1157"/>
    </row>
    <row r="51" spans="3:4" ht="12.75">
      <c r="C51" s="1157"/>
      <c r="D51" s="1157"/>
    </row>
    <row r="52" spans="3:4" ht="12.75">
      <c r="C52" s="1157"/>
      <c r="D52" s="1157"/>
    </row>
    <row r="53" spans="3:4" ht="12.75">
      <c r="C53" s="1157"/>
      <c r="D53" s="1157"/>
    </row>
    <row r="54" spans="3:4" ht="12.75">
      <c r="C54" s="1157"/>
      <c r="D54" s="1157"/>
    </row>
    <row r="55" spans="3:4" ht="12.75">
      <c r="C55" s="1157"/>
      <c r="D55" s="1157"/>
    </row>
    <row r="56" spans="3:4" ht="12.75">
      <c r="C56" s="1157"/>
      <c r="D56" s="1157"/>
    </row>
    <row r="57" spans="3:4" ht="12.75">
      <c r="C57" s="1157"/>
      <c r="D57" s="1157"/>
    </row>
    <row r="58" spans="3:4" ht="12.75">
      <c r="C58" s="1157"/>
      <c r="D58" s="1157"/>
    </row>
    <row r="59" spans="3:4" ht="12.75">
      <c r="C59" s="1157"/>
      <c r="D59" s="1157"/>
    </row>
    <row r="60" spans="3:4" ht="12.75">
      <c r="C60" s="1157"/>
      <c r="D60" s="1157"/>
    </row>
    <row r="61" spans="3:4" ht="12.75">
      <c r="C61" s="1157"/>
      <c r="D61" s="1157"/>
    </row>
    <row r="62" spans="3:4" ht="12.75">
      <c r="C62" s="1157"/>
      <c r="D62" s="1157"/>
    </row>
    <row r="63" spans="3:4" ht="12.75">
      <c r="C63" s="1157"/>
      <c r="D63" s="1157"/>
    </row>
    <row r="64" spans="3:4" ht="12.75">
      <c r="C64" s="1157"/>
      <c r="D64" s="1157"/>
    </row>
    <row r="65" spans="3:4" ht="12.75">
      <c r="C65" s="1157"/>
      <c r="D65" s="1157"/>
    </row>
    <row r="66" spans="3:4" ht="12.75">
      <c r="C66" s="1157"/>
      <c r="D66" s="1157"/>
    </row>
    <row r="67" spans="3:4" ht="12.75">
      <c r="C67" s="1157"/>
      <c r="D67" s="1157"/>
    </row>
    <row r="68" spans="3:4" ht="12.75">
      <c r="C68" s="1157"/>
      <c r="D68" s="1157"/>
    </row>
    <row r="69" spans="3:4" ht="12.75">
      <c r="C69" s="1157"/>
      <c r="D69" s="1157"/>
    </row>
    <row r="70" spans="3:4" ht="12.75">
      <c r="C70" s="1157"/>
      <c r="D70" s="1157"/>
    </row>
    <row r="71" spans="3:4" ht="12.75">
      <c r="C71" s="1157"/>
      <c r="D71" s="1157"/>
    </row>
    <row r="72" spans="3:4" ht="12.75">
      <c r="C72" s="1157"/>
      <c r="D72" s="1157"/>
    </row>
    <row r="73" spans="3:4" ht="12.75">
      <c r="C73" s="1158"/>
      <c r="D73" s="1158"/>
    </row>
    <row r="74" spans="3:4" ht="12.75">
      <c r="C74" s="1158"/>
      <c r="D74" s="1158"/>
    </row>
    <row r="75" spans="3:4" ht="12.75">
      <c r="C75" s="1158"/>
      <c r="D75" s="1158"/>
    </row>
    <row r="76" spans="3:4" ht="12.75">
      <c r="C76" s="1158"/>
      <c r="D76" s="1158"/>
    </row>
    <row r="77" spans="3:4" ht="12.75">
      <c r="C77" s="1158"/>
      <c r="D77" s="1158"/>
    </row>
    <row r="78" spans="3:4" ht="12.75">
      <c r="C78" s="1158"/>
      <c r="D78" s="1158"/>
    </row>
    <row r="79" spans="3:4" ht="12.75">
      <c r="C79" s="1158"/>
      <c r="D79" s="1158"/>
    </row>
    <row r="80" spans="3:4" ht="12.75">
      <c r="C80" s="1158"/>
      <c r="D80" s="1158"/>
    </row>
    <row r="81" spans="3:4" ht="12.75">
      <c r="C81" s="1158"/>
      <c r="D81" s="1158"/>
    </row>
    <row r="82" spans="3:4" ht="12.75">
      <c r="C82" s="1158"/>
      <c r="D82" s="1158"/>
    </row>
    <row r="83" spans="3:4" ht="12.75">
      <c r="C83" s="1158"/>
      <c r="D83" s="1158"/>
    </row>
    <row r="84" spans="3:4" ht="12.75">
      <c r="C84" s="1158"/>
      <c r="D84" s="1158"/>
    </row>
    <row r="85" spans="3:4" ht="12.75">
      <c r="C85" s="1158"/>
      <c r="D85" s="1158"/>
    </row>
    <row r="86" spans="3:4" ht="12.75">
      <c r="C86" s="1158"/>
      <c r="D86" s="1158"/>
    </row>
    <row r="87" spans="3:4" ht="12.75">
      <c r="C87" s="1158"/>
      <c r="D87" s="1158"/>
    </row>
    <row r="88" spans="3:4" ht="12.75">
      <c r="C88" s="1158"/>
      <c r="D88" s="1158"/>
    </row>
    <row r="89" spans="3:4" ht="12.75">
      <c r="C89" s="1158"/>
      <c r="D89" s="1158"/>
    </row>
    <row r="90" spans="3:4" ht="12.75">
      <c r="C90" s="1158"/>
      <c r="D90" s="1158"/>
    </row>
    <row r="91" spans="3:4" ht="12.75">
      <c r="C91" s="1158"/>
      <c r="D91" s="1158"/>
    </row>
    <row r="92" spans="3:4" ht="12.75">
      <c r="C92" s="1158"/>
      <c r="D92" s="1158"/>
    </row>
    <row r="93" spans="3:4" ht="12.75">
      <c r="C93" s="1158"/>
      <c r="D93" s="1158"/>
    </row>
    <row r="94" spans="3:4" ht="12.75">
      <c r="C94" s="1158"/>
      <c r="D94" s="1158"/>
    </row>
    <row r="95" spans="3:4" ht="12.75">
      <c r="C95" s="1158"/>
      <c r="D95" s="1158"/>
    </row>
    <row r="96" spans="3:4" ht="12.75">
      <c r="C96" s="1158"/>
      <c r="D96" s="1158"/>
    </row>
    <row r="97" spans="3:4" ht="12.75">
      <c r="C97" s="1158"/>
      <c r="D97" s="1158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21">
      <selection activeCell="A42" sqref="A42"/>
    </sheetView>
  </sheetViews>
  <sheetFormatPr defaultColWidth="9.00390625" defaultRowHeight="12.75"/>
  <cols>
    <col min="1" max="1" width="6.875" style="1064" customWidth="1"/>
    <col min="2" max="2" width="37.875" style="1065" customWidth="1"/>
    <col min="3" max="3" width="14.75390625" style="1066" hidden="1" customWidth="1"/>
    <col min="4" max="4" width="4.875" style="1159" customWidth="1"/>
    <col min="5" max="5" width="18.00390625" style="1068" customWidth="1"/>
    <col min="6" max="6" width="17.625" style="1068" customWidth="1"/>
    <col min="7" max="16384" width="9.125" style="1068" customWidth="1"/>
  </cols>
  <sheetData>
    <row r="1" ht="12.75">
      <c r="E1" s="1067" t="s">
        <v>557</v>
      </c>
    </row>
    <row r="2" ht="12.75">
      <c r="E2" s="473" t="s">
        <v>27</v>
      </c>
    </row>
    <row r="3" ht="12.75">
      <c r="E3" s="4" t="s">
        <v>29</v>
      </c>
    </row>
    <row r="4" ht="12.75">
      <c r="E4" s="118"/>
    </row>
    <row r="5" ht="12" customHeight="1">
      <c r="E5" s="1069"/>
    </row>
    <row r="6" ht="3" customHeight="1"/>
    <row r="7" spans="1:6" ht="56.25" customHeight="1">
      <c r="A7" s="1070" t="s">
        <v>558</v>
      </c>
      <c r="B7" s="1071"/>
      <c r="C7" s="1071"/>
      <c r="D7" s="1160"/>
      <c r="E7" s="1071"/>
      <c r="F7" s="1071"/>
    </row>
    <row r="8" spans="1:6" ht="15.75" customHeight="1" thickBot="1">
      <c r="A8" s="481" t="s">
        <v>777</v>
      </c>
      <c r="E8" s="1161"/>
      <c r="F8" s="1064" t="s">
        <v>237</v>
      </c>
    </row>
    <row r="9" spans="1:6" ht="33" customHeight="1" thickTop="1">
      <c r="A9" s="1072" t="s">
        <v>537</v>
      </c>
      <c r="B9" s="1073" t="s">
        <v>239</v>
      </c>
      <c r="C9" s="1074" t="s">
        <v>538</v>
      </c>
      <c r="D9" s="1075" t="s">
        <v>539</v>
      </c>
      <c r="E9" s="1076" t="s">
        <v>240</v>
      </c>
      <c r="F9" s="1077" t="s">
        <v>241</v>
      </c>
    </row>
    <row r="10" spans="1:6" ht="13.5" customHeight="1" thickBot="1">
      <c r="A10" s="1078">
        <v>1</v>
      </c>
      <c r="B10" s="1079">
        <v>2</v>
      </c>
      <c r="C10" s="1080">
        <v>3</v>
      </c>
      <c r="D10" s="1081">
        <v>3</v>
      </c>
      <c r="E10" s="1080">
        <v>4</v>
      </c>
      <c r="F10" s="1082">
        <v>5</v>
      </c>
    </row>
    <row r="11" spans="1:6" s="1090" customFormat="1" ht="27" customHeight="1" thickBot="1" thickTop="1">
      <c r="A11" s="1084" t="s">
        <v>255</v>
      </c>
      <c r="B11" s="1085" t="s">
        <v>412</v>
      </c>
      <c r="C11" s="1086">
        <f>C12</f>
        <v>45000</v>
      </c>
      <c r="D11" s="1162"/>
      <c r="E11" s="1163">
        <f>E12</f>
        <v>43500</v>
      </c>
      <c r="F11" s="1164">
        <f>F12</f>
        <v>43500</v>
      </c>
    </row>
    <row r="12" spans="1:6" s="1097" customFormat="1" ht="21.75" customHeight="1" thickBot="1" thickTop="1">
      <c r="A12" s="1091" t="s">
        <v>559</v>
      </c>
      <c r="B12" s="1092" t="s">
        <v>418</v>
      </c>
      <c r="C12" s="1165">
        <v>45000</v>
      </c>
      <c r="D12" s="1166">
        <v>2110</v>
      </c>
      <c r="E12" s="1167">
        <v>43500</v>
      </c>
      <c r="F12" s="1168">
        <v>43500</v>
      </c>
    </row>
    <row r="13" spans="1:6" s="1090" customFormat="1" ht="24.75" customHeight="1" thickBot="1" thickTop="1">
      <c r="A13" s="1084" t="s">
        <v>257</v>
      </c>
      <c r="B13" s="1085" t="s">
        <v>258</v>
      </c>
      <c r="C13" s="1169">
        <f>C14+C15+C16</f>
        <v>253700</v>
      </c>
      <c r="D13" s="1170"/>
      <c r="E13" s="1163">
        <f>SUM(E14:E16)</f>
        <v>438100</v>
      </c>
      <c r="F13" s="1164">
        <f>SUM(F14:F16)</f>
        <v>438100</v>
      </c>
    </row>
    <row r="14" spans="1:6" s="1126" customFormat="1" ht="24.75" customHeight="1" thickTop="1">
      <c r="A14" s="1120" t="s">
        <v>560</v>
      </c>
      <c r="B14" s="1121" t="s">
        <v>561</v>
      </c>
      <c r="C14" s="1124">
        <v>51000</v>
      </c>
      <c r="D14" s="1171">
        <v>2110</v>
      </c>
      <c r="E14" s="1172">
        <v>80000</v>
      </c>
      <c r="F14" s="1173">
        <v>80000</v>
      </c>
    </row>
    <row r="15" spans="1:6" s="1126" customFormat="1" ht="17.25" customHeight="1">
      <c r="A15" s="1132" t="s">
        <v>562</v>
      </c>
      <c r="B15" s="1133" t="s">
        <v>423</v>
      </c>
      <c r="C15" s="1130">
        <v>20000</v>
      </c>
      <c r="D15" s="1174">
        <v>2110</v>
      </c>
      <c r="E15" s="1175">
        <v>20000</v>
      </c>
      <c r="F15" s="1176">
        <v>20000</v>
      </c>
    </row>
    <row r="16" spans="1:6" s="1097" customFormat="1" ht="17.25" customHeight="1">
      <c r="A16" s="1132" t="s">
        <v>563</v>
      </c>
      <c r="B16" s="1133" t="s">
        <v>424</v>
      </c>
      <c r="C16" s="1130">
        <v>182700</v>
      </c>
      <c r="D16" s="1177"/>
      <c r="E16" s="1175">
        <f>SUM(E17:E18)</f>
        <v>338100</v>
      </c>
      <c r="F16" s="1176">
        <f>SUM(F17:F18)</f>
        <v>338100</v>
      </c>
    </row>
    <row r="17" spans="1:6" s="1097" customFormat="1" ht="13.5" customHeight="1">
      <c r="A17" s="1132"/>
      <c r="B17" s="1133"/>
      <c r="C17" s="1178"/>
      <c r="D17" s="1174">
        <v>2110</v>
      </c>
      <c r="E17" s="1175">
        <v>330100</v>
      </c>
      <c r="F17" s="1176">
        <v>330100</v>
      </c>
    </row>
    <row r="18" spans="1:6" s="1097" customFormat="1" ht="12.75" customHeight="1" thickBot="1">
      <c r="A18" s="1179"/>
      <c r="B18" s="1180"/>
      <c r="C18" s="1181"/>
      <c r="D18" s="1182">
        <v>6410</v>
      </c>
      <c r="E18" s="1183">
        <v>8000</v>
      </c>
      <c r="F18" s="1184">
        <v>8000</v>
      </c>
    </row>
    <row r="19" spans="1:6" s="1090" customFormat="1" ht="24" customHeight="1" thickBot="1" thickTop="1">
      <c r="A19" s="1084" t="s">
        <v>259</v>
      </c>
      <c r="B19" s="1085" t="s">
        <v>260</v>
      </c>
      <c r="C19" s="1169">
        <f>C20+C21</f>
        <v>264914</v>
      </c>
      <c r="D19" s="1170"/>
      <c r="E19" s="1163">
        <f>SUM(E20:E21)</f>
        <v>275200</v>
      </c>
      <c r="F19" s="1164">
        <f>SUM(F20:F21)</f>
        <v>275200</v>
      </c>
    </row>
    <row r="20" spans="1:6" s="1097" customFormat="1" ht="19.5" customHeight="1" thickTop="1">
      <c r="A20" s="1120" t="s">
        <v>540</v>
      </c>
      <c r="B20" s="1121" t="s">
        <v>541</v>
      </c>
      <c r="C20" s="1124">
        <v>229000</v>
      </c>
      <c r="D20" s="1171">
        <v>2110</v>
      </c>
      <c r="E20" s="1172">
        <v>241200</v>
      </c>
      <c r="F20" s="1173">
        <v>241200</v>
      </c>
    </row>
    <row r="21" spans="1:6" s="1097" customFormat="1" ht="18" customHeight="1" thickBot="1">
      <c r="A21" s="1179" t="s">
        <v>564</v>
      </c>
      <c r="B21" s="1180" t="s">
        <v>433</v>
      </c>
      <c r="C21" s="1185">
        <v>35914</v>
      </c>
      <c r="D21" s="1186">
        <v>2110</v>
      </c>
      <c r="E21" s="1183">
        <v>34000</v>
      </c>
      <c r="F21" s="1184">
        <v>34000</v>
      </c>
    </row>
    <row r="22" spans="1:6" s="1097" customFormat="1" ht="21.75" customHeight="1" hidden="1">
      <c r="A22" s="1187">
        <v>752</v>
      </c>
      <c r="B22" s="1188" t="s">
        <v>438</v>
      </c>
      <c r="C22" s="1189">
        <v>1000</v>
      </c>
      <c r="D22" s="1190"/>
      <c r="E22" s="1191"/>
      <c r="F22" s="1192"/>
    </row>
    <row r="23" spans="1:6" s="1097" customFormat="1" ht="21.75" customHeight="1" hidden="1">
      <c r="A23" s="1112" t="s">
        <v>565</v>
      </c>
      <c r="B23" s="1113" t="s">
        <v>439</v>
      </c>
      <c r="C23" s="1193">
        <v>1000</v>
      </c>
      <c r="D23" s="1174">
        <v>2110</v>
      </c>
      <c r="E23" s="1194"/>
      <c r="F23" s="1195"/>
    </row>
    <row r="24" spans="1:6" s="1090" customFormat="1" ht="35.25" customHeight="1" thickBot="1" thickTop="1">
      <c r="A24" s="1084" t="s">
        <v>263</v>
      </c>
      <c r="B24" s="1085" t="s">
        <v>264</v>
      </c>
      <c r="C24" s="1169">
        <f>SUM(C25:C26)</f>
        <v>5006000</v>
      </c>
      <c r="D24" s="1170"/>
      <c r="E24" s="1163">
        <f>SUM(E25:E26)</f>
        <v>7370000</v>
      </c>
      <c r="F24" s="1164">
        <f>SUM(F25:F26)</f>
        <v>7370000</v>
      </c>
    </row>
    <row r="25" spans="1:6" s="1126" customFormat="1" ht="24" customHeight="1" thickTop="1">
      <c r="A25" s="1196" t="s">
        <v>566</v>
      </c>
      <c r="B25" s="1197" t="s">
        <v>441</v>
      </c>
      <c r="C25" s="1198">
        <v>4906000</v>
      </c>
      <c r="D25" s="1199">
        <v>2110</v>
      </c>
      <c r="E25" s="1200">
        <v>7320000</v>
      </c>
      <c r="F25" s="1173">
        <v>7320000</v>
      </c>
    </row>
    <row r="26" spans="1:6" s="1097" customFormat="1" ht="15" customHeight="1" thickBot="1">
      <c r="A26" s="1106"/>
      <c r="B26" s="1107"/>
      <c r="C26" s="1201">
        <v>100000</v>
      </c>
      <c r="D26" s="1182">
        <v>6410</v>
      </c>
      <c r="E26" s="1202">
        <v>50000</v>
      </c>
      <c r="F26" s="1203">
        <v>50000</v>
      </c>
    </row>
    <row r="27" spans="1:6" s="1210" customFormat="1" ht="15" customHeight="1" hidden="1">
      <c r="A27" s="1204" t="s">
        <v>550</v>
      </c>
      <c r="B27" s="1205" t="s">
        <v>443</v>
      </c>
      <c r="C27" s="1206"/>
      <c r="D27" s="1207"/>
      <c r="E27" s="1208"/>
      <c r="F27" s="1209"/>
    </row>
    <row r="28" spans="1:6" s="1210" customFormat="1" ht="60" customHeight="1" hidden="1">
      <c r="A28" s="1211" t="s">
        <v>567</v>
      </c>
      <c r="B28" s="1212" t="s">
        <v>568</v>
      </c>
      <c r="C28" s="1213"/>
      <c r="D28" s="1214"/>
      <c r="E28" s="1194"/>
      <c r="F28" s="1215"/>
    </row>
    <row r="29" spans="1:6" s="1126" customFormat="1" ht="28.5" customHeight="1" hidden="1">
      <c r="A29" s="1216" t="s">
        <v>569</v>
      </c>
      <c r="B29" s="1217" t="s">
        <v>570</v>
      </c>
      <c r="C29" s="1218"/>
      <c r="D29" s="1174"/>
      <c r="E29" s="1194"/>
      <c r="F29" s="1195"/>
    </row>
    <row r="30" spans="1:6" s="1090" customFormat="1" ht="24.75" customHeight="1" thickBot="1" thickTop="1">
      <c r="A30" s="1084" t="s">
        <v>275</v>
      </c>
      <c r="B30" s="1085" t="s">
        <v>276</v>
      </c>
      <c r="C30" s="1169">
        <f>C31</f>
        <v>9000</v>
      </c>
      <c r="D30" s="1170"/>
      <c r="E30" s="1163">
        <f>E31</f>
        <v>15000</v>
      </c>
      <c r="F30" s="1164">
        <f>F31</f>
        <v>15000</v>
      </c>
    </row>
    <row r="31" spans="1:6" s="1097" customFormat="1" ht="57.75" customHeight="1" thickBot="1" thickTop="1">
      <c r="A31" s="1219" t="s">
        <v>571</v>
      </c>
      <c r="B31" s="1220" t="s">
        <v>572</v>
      </c>
      <c r="C31" s="1221">
        <v>9000</v>
      </c>
      <c r="D31" s="1182">
        <v>2110</v>
      </c>
      <c r="E31" s="1222">
        <v>15000</v>
      </c>
      <c r="F31" s="1223">
        <v>15000</v>
      </c>
    </row>
    <row r="32" spans="1:6" s="1090" customFormat="1" ht="21" customHeight="1" thickBot="1" thickTop="1">
      <c r="A32" s="1224" t="s">
        <v>277</v>
      </c>
      <c r="B32" s="1085" t="s">
        <v>373</v>
      </c>
      <c r="C32" s="1169">
        <f>C33</f>
        <v>25331</v>
      </c>
      <c r="D32" s="1170"/>
      <c r="E32" s="1163">
        <f>SUM(E33)</f>
        <v>16000</v>
      </c>
      <c r="F32" s="1164">
        <f>SUM(F33)</f>
        <v>16000</v>
      </c>
    </row>
    <row r="33" spans="1:6" s="1231" customFormat="1" ht="24" customHeight="1" thickBot="1" thickTop="1">
      <c r="A33" s="1225">
        <v>85295</v>
      </c>
      <c r="B33" s="1226" t="s">
        <v>395</v>
      </c>
      <c r="C33" s="1227">
        <v>25331</v>
      </c>
      <c r="D33" s="1228">
        <v>2110</v>
      </c>
      <c r="E33" s="1229">
        <v>16000</v>
      </c>
      <c r="F33" s="1230">
        <v>16000</v>
      </c>
    </row>
    <row r="34" spans="1:6" s="1150" customFormat="1" ht="33" customHeight="1" thickBot="1" thickTop="1">
      <c r="A34" s="1084" t="s">
        <v>279</v>
      </c>
      <c r="B34" s="1085" t="s">
        <v>280</v>
      </c>
      <c r="C34" s="1169">
        <f>C35</f>
        <v>106000</v>
      </c>
      <c r="D34" s="1170"/>
      <c r="E34" s="1163">
        <f>E35</f>
        <v>116000</v>
      </c>
      <c r="F34" s="1164">
        <f>F35</f>
        <v>116000</v>
      </c>
    </row>
    <row r="35" spans="1:6" s="1097" customFormat="1" ht="27.75" customHeight="1" thickBot="1" thickTop="1">
      <c r="A35" s="1120" t="s">
        <v>574</v>
      </c>
      <c r="B35" s="1121" t="s">
        <v>575</v>
      </c>
      <c r="C35" s="1124">
        <v>106000</v>
      </c>
      <c r="D35" s="1171">
        <v>2110</v>
      </c>
      <c r="E35" s="1172">
        <v>116000</v>
      </c>
      <c r="F35" s="1173">
        <v>116000</v>
      </c>
    </row>
    <row r="36" spans="1:6" s="1210" customFormat="1" ht="21.75" customHeight="1" hidden="1">
      <c r="A36" s="1232" t="s">
        <v>576</v>
      </c>
      <c r="B36" s="1233" t="s">
        <v>577</v>
      </c>
      <c r="C36" s="1234"/>
      <c r="D36" s="1214"/>
      <c r="E36" s="1235"/>
      <c r="F36" s="987"/>
    </row>
    <row r="37" spans="1:6" s="1140" customFormat="1" ht="46.5" customHeight="1" hidden="1">
      <c r="A37" s="1132" t="s">
        <v>578</v>
      </c>
      <c r="B37" s="1133" t="s">
        <v>579</v>
      </c>
      <c r="C37" s="1236"/>
      <c r="D37" s="1214"/>
      <c r="E37" s="1175"/>
      <c r="F37" s="987"/>
    </row>
    <row r="38" spans="1:6" s="1126" customFormat="1" ht="15" customHeight="1" hidden="1">
      <c r="A38" s="1127">
        <v>3110</v>
      </c>
      <c r="B38" s="1128" t="s">
        <v>580</v>
      </c>
      <c r="C38" s="1178"/>
      <c r="D38" s="1174"/>
      <c r="E38" s="1175"/>
      <c r="F38" s="1176"/>
    </row>
    <row r="39" spans="1:6" s="1147" customFormat="1" ht="20.25" customHeight="1" thickBot="1" thickTop="1">
      <c r="A39" s="1141"/>
      <c r="B39" s="1142" t="s">
        <v>242</v>
      </c>
      <c r="C39" s="1237">
        <f>C11+C13+C19+C24+C30+C32+C34+C22</f>
        <v>5710945</v>
      </c>
      <c r="D39" s="1238"/>
      <c r="E39" s="1145">
        <f>E11+E13+E19+E24+E30+E32+E34</f>
        <v>8273800</v>
      </c>
      <c r="F39" s="1239">
        <f>F11+F13+F19+F24+F30+F32+F34</f>
        <v>8273800</v>
      </c>
    </row>
    <row r="40" spans="1:6" s="1150" customFormat="1" ht="13.5" thickTop="1">
      <c r="A40" s="102" t="s">
        <v>556</v>
      </c>
      <c r="B40" s="103"/>
      <c r="C40" s="1148"/>
      <c r="D40" s="1240"/>
      <c r="E40" s="1241"/>
      <c r="F40" s="1241"/>
    </row>
    <row r="41" spans="1:6" s="1150" customFormat="1" ht="12.75">
      <c r="A41" s="102" t="s">
        <v>297</v>
      </c>
      <c r="B41" s="103"/>
      <c r="C41" s="1148"/>
      <c r="D41" s="1240"/>
      <c r="E41" s="1241"/>
      <c r="F41" s="1241"/>
    </row>
    <row r="42" spans="1:4" ht="12.75">
      <c r="A42" s="102" t="s">
        <v>780</v>
      </c>
      <c r="C42" s="1242"/>
      <c r="D42" s="1243"/>
    </row>
    <row r="43" spans="2:4" ht="12.75">
      <c r="B43" s="1244"/>
      <c r="C43" s="1242"/>
      <c r="D43" s="1243"/>
    </row>
    <row r="44" spans="3:4" ht="14.25" customHeight="1">
      <c r="C44" s="1242"/>
      <c r="D44" s="1243"/>
    </row>
    <row r="45" spans="3:4" ht="13.5" customHeight="1">
      <c r="C45" s="1242"/>
      <c r="D45" s="1243"/>
    </row>
    <row r="46" spans="3:4" ht="16.5" customHeight="1">
      <c r="C46" s="1242"/>
      <c r="D46" s="1243"/>
    </row>
    <row r="47" spans="3:4" ht="18.75" customHeight="1">
      <c r="C47" s="1242"/>
      <c r="D47" s="1243"/>
    </row>
    <row r="48" spans="3:4" ht="12.75">
      <c r="C48" s="1242"/>
      <c r="D48" s="1243"/>
    </row>
    <row r="49" spans="3:4" ht="12.75">
      <c r="C49" s="1242"/>
      <c r="D49" s="1243"/>
    </row>
    <row r="50" spans="3:4" ht="16.5" customHeight="1">
      <c r="C50" s="1242"/>
      <c r="D50" s="1243"/>
    </row>
    <row r="51" spans="3:4" ht="12.75">
      <c r="C51" s="1242"/>
      <c r="D51" s="1243"/>
    </row>
    <row r="52" spans="3:4" ht="16.5" customHeight="1">
      <c r="C52" s="1242"/>
      <c r="D52" s="1243"/>
    </row>
    <row r="53" spans="3:4" ht="12.75">
      <c r="C53" s="1242"/>
      <c r="D53" s="1243"/>
    </row>
    <row r="54" spans="3:4" ht="15" customHeight="1">
      <c r="C54" s="1242"/>
      <c r="D54" s="1243"/>
    </row>
    <row r="55" spans="3:4" ht="16.5" customHeight="1">
      <c r="C55" s="1242"/>
      <c r="D55" s="1243"/>
    </row>
    <row r="56" spans="3:4" ht="12.75">
      <c r="C56" s="1242"/>
      <c r="D56" s="1243"/>
    </row>
    <row r="57" spans="3:4" ht="16.5" customHeight="1">
      <c r="C57" s="1242"/>
      <c r="D57" s="1243"/>
    </row>
    <row r="58" spans="3:4" ht="8.25" customHeight="1">
      <c r="C58" s="1242"/>
      <c r="D58" s="1243"/>
    </row>
    <row r="59" spans="3:4" ht="21.75" customHeight="1">
      <c r="C59" s="1242"/>
      <c r="D59" s="1243"/>
    </row>
    <row r="60" spans="1:4" s="1150" customFormat="1" ht="12.75">
      <c r="A60" s="1155"/>
      <c r="B60" s="1156"/>
      <c r="C60" s="1148"/>
      <c r="D60" s="1240"/>
    </row>
    <row r="61" spans="1:4" s="1150" customFormat="1" ht="12.75">
      <c r="A61" s="1067"/>
      <c r="B61" s="1156"/>
      <c r="C61" s="1148"/>
      <c r="D61" s="1240"/>
    </row>
    <row r="62" ht="12.75">
      <c r="C62" s="1157"/>
    </row>
    <row r="63" ht="12.75">
      <c r="C63" s="1157"/>
    </row>
    <row r="64" ht="12.75">
      <c r="C64" s="1157"/>
    </row>
    <row r="65" ht="12.75">
      <c r="C65" s="1157"/>
    </row>
    <row r="66" ht="12.75">
      <c r="C66" s="1157"/>
    </row>
    <row r="67" ht="12.75">
      <c r="C67" s="1157"/>
    </row>
    <row r="68" ht="12.75">
      <c r="C68" s="1157"/>
    </row>
    <row r="69" ht="12.75">
      <c r="C69" s="1157"/>
    </row>
    <row r="70" ht="12.75">
      <c r="C70" s="1157"/>
    </row>
    <row r="71" ht="12.75">
      <c r="C71" s="1157"/>
    </row>
  </sheetData>
  <printOptions horizontalCentered="1"/>
  <pageMargins left="0.7874015748031497" right="0.7874015748031497" top="0.984251968503937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6">
      <selection activeCell="A37" sqref="A37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1245" hidden="1" customWidth="1"/>
  </cols>
  <sheetData>
    <row r="1" ht="13.5" customHeight="1">
      <c r="D1" s="1067" t="s">
        <v>581</v>
      </c>
    </row>
    <row r="2" ht="11.25" customHeight="1">
      <c r="D2" s="473" t="s">
        <v>27</v>
      </c>
    </row>
    <row r="3" ht="12" customHeight="1">
      <c r="D3" s="4" t="s">
        <v>28</v>
      </c>
    </row>
    <row r="4" spans="1:6" ht="12.75" customHeight="1">
      <c r="A4" s="1246"/>
      <c r="B4" s="1247"/>
      <c r="C4" s="1248"/>
      <c r="D4" s="118"/>
      <c r="E4" s="1249"/>
      <c r="F4" s="1250"/>
    </row>
    <row r="5" spans="1:6" ht="12.75" customHeight="1">
      <c r="A5" s="1246"/>
      <c r="B5" s="1247"/>
      <c r="C5" s="1248"/>
      <c r="D5" s="1251"/>
      <c r="E5" s="1249"/>
      <c r="F5" s="1250"/>
    </row>
    <row r="6" spans="1:6" ht="16.5">
      <c r="A6" s="1252"/>
      <c r="B6" s="1253"/>
      <c r="C6" s="1253"/>
      <c r="D6" s="1253"/>
      <c r="E6" s="1253"/>
      <c r="F6" s="1253"/>
    </row>
    <row r="7" spans="1:6" ht="16.5">
      <c r="A7" s="1254" t="s">
        <v>582</v>
      </c>
      <c r="B7" s="1253"/>
      <c r="C7" s="1253"/>
      <c r="D7" s="1253"/>
      <c r="E7" s="1253"/>
      <c r="F7" s="1253"/>
    </row>
    <row r="8" spans="1:6" ht="16.5">
      <c r="A8" s="1254" t="s">
        <v>583</v>
      </c>
      <c r="B8" s="1253"/>
      <c r="C8" s="1253"/>
      <c r="D8" s="1253"/>
      <c r="E8" s="1253"/>
      <c r="F8" s="1253"/>
    </row>
    <row r="9" spans="1:6" ht="16.5">
      <c r="A9" s="1252" t="s">
        <v>584</v>
      </c>
      <c r="B9" s="1253"/>
      <c r="C9" s="1253"/>
      <c r="D9" s="1253"/>
      <c r="E9" s="1253"/>
      <c r="F9" s="1253"/>
    </row>
    <row r="10" spans="1:6" ht="16.5">
      <c r="A10" s="1252" t="s">
        <v>585</v>
      </c>
      <c r="B10" s="1253"/>
      <c r="C10" s="1253"/>
      <c r="D10" s="1253"/>
      <c r="E10" s="1253"/>
      <c r="F10" s="1255"/>
    </row>
    <row r="11" spans="1:5" ht="21" customHeight="1" thickBot="1">
      <c r="A11" s="481" t="s">
        <v>777</v>
      </c>
      <c r="B11" s="1256"/>
      <c r="C11" s="1257"/>
      <c r="D11" s="1066"/>
      <c r="E11" s="1064" t="s">
        <v>237</v>
      </c>
    </row>
    <row r="12" spans="1:6" s="1260" customFormat="1" ht="26.25" customHeight="1" thickTop="1">
      <c r="A12" s="1072" t="s">
        <v>537</v>
      </c>
      <c r="B12" s="1073" t="s">
        <v>586</v>
      </c>
      <c r="C12" s="1076" t="s">
        <v>539</v>
      </c>
      <c r="D12" s="1258" t="s">
        <v>240</v>
      </c>
      <c r="E12" s="1077" t="s">
        <v>241</v>
      </c>
      <c r="F12" s="1259"/>
    </row>
    <row r="13" spans="1:6" s="1260" customFormat="1" ht="12" customHeight="1" thickBot="1">
      <c r="A13" s="1078">
        <v>1</v>
      </c>
      <c r="B13" s="1079">
        <v>2</v>
      </c>
      <c r="C13" s="1080">
        <v>3</v>
      </c>
      <c r="D13" s="1081">
        <v>4</v>
      </c>
      <c r="E13" s="1261">
        <v>5</v>
      </c>
      <c r="F13" s="1259"/>
    </row>
    <row r="14" spans="1:6" s="1264" customFormat="1" ht="23.25" customHeight="1" thickBot="1" thickTop="1">
      <c r="A14" s="1084" t="s">
        <v>257</v>
      </c>
      <c r="B14" s="1085" t="s">
        <v>258</v>
      </c>
      <c r="C14" s="1170"/>
      <c r="D14" s="1163">
        <f>D15</f>
        <v>16600</v>
      </c>
      <c r="E14" s="1262">
        <f>E15</f>
        <v>16600</v>
      </c>
      <c r="F14" s="1263"/>
    </row>
    <row r="15" spans="1:6" s="1260" customFormat="1" ht="24" customHeight="1" thickBot="1" thickTop="1">
      <c r="A15" s="1179" t="s">
        <v>587</v>
      </c>
      <c r="B15" s="1180" t="s">
        <v>425</v>
      </c>
      <c r="C15" s="1265">
        <v>2020</v>
      </c>
      <c r="D15" s="1183">
        <v>16600</v>
      </c>
      <c r="E15" s="1266">
        <v>16600</v>
      </c>
      <c r="F15" s="1259"/>
    </row>
    <row r="16" spans="1:6" s="1260" customFormat="1" ht="21.75" customHeight="1" thickBot="1" thickTop="1">
      <c r="A16" s="1141"/>
      <c r="B16" s="1142" t="s">
        <v>242</v>
      </c>
      <c r="C16" s="1267"/>
      <c r="D16" s="1145">
        <f>D14</f>
        <v>16600</v>
      </c>
      <c r="E16" s="1239">
        <f>E14</f>
        <v>16600</v>
      </c>
      <c r="F16" s="1259"/>
    </row>
    <row r="17" spans="1:6" s="1260" customFormat="1" ht="12" customHeight="1" thickTop="1">
      <c r="A17" s="1268"/>
      <c r="B17" s="1269"/>
      <c r="C17" s="1270"/>
      <c r="D17" s="1251"/>
      <c r="E17" s="1251"/>
      <c r="F17" s="1259"/>
    </row>
    <row r="18" spans="1:6" s="1260" customFormat="1" ht="29.25" customHeight="1">
      <c r="A18" s="1268"/>
      <c r="B18" s="1269"/>
      <c r="C18" s="1270"/>
      <c r="D18" s="1251"/>
      <c r="E18" s="1251"/>
      <c r="F18" s="1259"/>
    </row>
    <row r="19" spans="1:6" s="1260" customFormat="1" ht="12" customHeight="1">
      <c r="A19" s="1268"/>
      <c r="B19" s="1269"/>
      <c r="C19" s="1270"/>
      <c r="D19" s="1251"/>
      <c r="E19" s="1251"/>
      <c r="F19" s="1259"/>
    </row>
    <row r="20" spans="1:6" s="1260" customFormat="1" ht="12" customHeight="1">
      <c r="A20" s="1268"/>
      <c r="B20" s="1269"/>
      <c r="C20" s="1270"/>
      <c r="D20" s="1067" t="s">
        <v>588</v>
      </c>
      <c r="E20" s="1251"/>
      <c r="F20" s="1259"/>
    </row>
    <row r="21" spans="1:6" s="1260" customFormat="1" ht="12" customHeight="1">
      <c r="A21" s="1268"/>
      <c r="B21" s="1269"/>
      <c r="C21" s="1270"/>
      <c r="D21" s="473" t="s">
        <v>27</v>
      </c>
      <c r="E21" s="1251"/>
      <c r="F21" s="1259"/>
    </row>
    <row r="22" spans="1:6" s="1260" customFormat="1" ht="12" customHeight="1">
      <c r="A22" s="1268"/>
      <c r="B22" s="1269"/>
      <c r="C22" s="1270"/>
      <c r="D22" s="4" t="s">
        <v>28</v>
      </c>
      <c r="E22" s="1251"/>
      <c r="F22" s="1259"/>
    </row>
    <row r="23" spans="1:6" s="1260" customFormat="1" ht="12" customHeight="1">
      <c r="A23" s="1268"/>
      <c r="B23" s="1269"/>
      <c r="C23" s="1270"/>
      <c r="D23" s="118"/>
      <c r="E23" s="1251"/>
      <c r="F23" s="1259"/>
    </row>
    <row r="24" spans="1:6" s="1260" customFormat="1" ht="23.25" customHeight="1">
      <c r="A24" s="1268"/>
      <c r="B24" s="1269"/>
      <c r="C24" s="1270"/>
      <c r="D24" s="1251"/>
      <c r="E24" s="1251"/>
      <c r="F24" s="1259"/>
    </row>
    <row r="25" spans="1:6" s="1260" customFormat="1" ht="17.25" customHeight="1">
      <c r="A25" s="2383" t="s">
        <v>582</v>
      </c>
      <c r="B25" s="2384"/>
      <c r="C25" s="2384"/>
      <c r="D25" s="2384"/>
      <c r="E25" s="2384"/>
      <c r="F25" s="2384"/>
    </row>
    <row r="26" spans="1:6" s="1260" customFormat="1" ht="17.25" customHeight="1">
      <c r="A26" s="2383" t="s">
        <v>589</v>
      </c>
      <c r="B26" s="2384"/>
      <c r="C26" s="2384"/>
      <c r="D26" s="2384"/>
      <c r="E26" s="2384"/>
      <c r="F26" s="2384"/>
    </row>
    <row r="27" spans="1:6" s="1260" customFormat="1" ht="15.75" customHeight="1">
      <c r="A27" s="2385" t="s">
        <v>590</v>
      </c>
      <c r="B27" s="2386"/>
      <c r="C27" s="2386"/>
      <c r="D27" s="2386"/>
      <c r="E27" s="2386"/>
      <c r="F27" s="2386"/>
    </row>
    <row r="28" spans="1:6" s="1260" customFormat="1" ht="15.75" customHeight="1">
      <c r="A28" s="1252" t="s">
        <v>591</v>
      </c>
      <c r="B28" s="1272"/>
      <c r="C28" s="1272"/>
      <c r="D28" s="1272"/>
      <c r="E28" s="1272"/>
      <c r="F28" s="1271"/>
    </row>
    <row r="29" spans="1:6" s="1260" customFormat="1" ht="22.5" customHeight="1" thickBot="1">
      <c r="A29" s="481" t="s">
        <v>777</v>
      </c>
      <c r="B29" s="1273"/>
      <c r="C29" s="1274"/>
      <c r="D29" s="1275"/>
      <c r="E29" s="1276" t="s">
        <v>237</v>
      </c>
      <c r="F29" s="1259"/>
    </row>
    <row r="30" spans="1:6" s="1260" customFormat="1" ht="28.5" customHeight="1" thickTop="1">
      <c r="A30" s="1072" t="s">
        <v>537</v>
      </c>
      <c r="B30" s="1073" t="s">
        <v>586</v>
      </c>
      <c r="C30" s="1076" t="s">
        <v>539</v>
      </c>
      <c r="D30" s="1258" t="s">
        <v>240</v>
      </c>
      <c r="E30" s="1077" t="s">
        <v>241</v>
      </c>
      <c r="F30" s="1259"/>
    </row>
    <row r="31" spans="1:6" s="1260" customFormat="1" ht="10.5" customHeight="1" thickBot="1">
      <c r="A31" s="1078">
        <v>1</v>
      </c>
      <c r="B31" s="1079">
        <v>2</v>
      </c>
      <c r="C31" s="1080">
        <v>3</v>
      </c>
      <c r="D31" s="1081">
        <v>4</v>
      </c>
      <c r="E31" s="1261">
        <v>5</v>
      </c>
      <c r="F31" s="1259"/>
    </row>
    <row r="32" spans="1:6" s="1260" customFormat="1" ht="21" customHeight="1" thickBot="1" thickTop="1">
      <c r="A32" s="1084" t="s">
        <v>259</v>
      </c>
      <c r="B32" s="1085" t="s">
        <v>592</v>
      </c>
      <c r="C32" s="1170"/>
      <c r="D32" s="1163">
        <f>D33</f>
        <v>5500</v>
      </c>
      <c r="E32" s="1262">
        <f>E33</f>
        <v>5500</v>
      </c>
      <c r="F32" s="1259"/>
    </row>
    <row r="33" spans="1:6" s="1260" customFormat="1" ht="24" customHeight="1" thickBot="1" thickTop="1">
      <c r="A33" s="1179" t="s">
        <v>564</v>
      </c>
      <c r="B33" s="1180" t="s">
        <v>433</v>
      </c>
      <c r="C33" s="1265">
        <v>2120</v>
      </c>
      <c r="D33" s="1183">
        <v>5500</v>
      </c>
      <c r="E33" s="1266">
        <v>5500</v>
      </c>
      <c r="F33" s="1259"/>
    </row>
    <row r="34" spans="1:6" s="1278" customFormat="1" ht="21" customHeight="1" thickBot="1" thickTop="1">
      <c r="A34" s="1141"/>
      <c r="B34" s="1142" t="s">
        <v>242</v>
      </c>
      <c r="C34" s="1267"/>
      <c r="D34" s="1145">
        <f>D32</f>
        <v>5500</v>
      </c>
      <c r="E34" s="1239">
        <f>E32</f>
        <v>5500</v>
      </c>
      <c r="F34" s="1277"/>
    </row>
    <row r="35" spans="1:6" s="1260" customFormat="1" ht="22.5" customHeight="1" thickTop="1">
      <c r="A35" s="102" t="s">
        <v>556</v>
      </c>
      <c r="B35"/>
      <c r="C35" s="1279"/>
      <c r="D35"/>
      <c r="E35"/>
      <c r="F35" s="1259"/>
    </row>
    <row r="36" spans="1:3" ht="15" customHeight="1">
      <c r="A36" s="102" t="s">
        <v>297</v>
      </c>
      <c r="C36" s="1279"/>
    </row>
    <row r="37" spans="1:3" ht="12.75">
      <c r="A37" s="102" t="s">
        <v>780</v>
      </c>
      <c r="C37" s="1279"/>
    </row>
    <row r="38" spans="2:3" ht="12.75">
      <c r="B38" s="1244"/>
      <c r="C38" s="1279"/>
    </row>
    <row r="39" ht="12.75">
      <c r="C39" s="1279"/>
    </row>
    <row r="42" ht="12.75">
      <c r="C42" s="1279"/>
    </row>
    <row r="43" ht="12.75">
      <c r="C43" s="1279"/>
    </row>
    <row r="44" ht="12.75">
      <c r="C44" s="1279"/>
    </row>
    <row r="45" ht="12.75">
      <c r="C45" s="1279"/>
    </row>
    <row r="46" ht="12.75">
      <c r="C46" s="1279"/>
    </row>
    <row r="47" ht="12.75">
      <c r="C47" s="1279"/>
    </row>
    <row r="48" ht="12.75">
      <c r="C48" s="1279"/>
    </row>
    <row r="49" ht="12.75">
      <c r="C49" s="1279"/>
    </row>
    <row r="50" ht="12.75">
      <c r="C50" s="1279"/>
    </row>
    <row r="51" ht="12.75">
      <c r="C51" s="1279"/>
    </row>
    <row r="52" ht="12.75">
      <c r="C52" s="1279"/>
    </row>
    <row r="53" ht="12.75">
      <c r="C53" s="1279"/>
    </row>
    <row r="54" ht="12.75">
      <c r="C54" s="1279"/>
    </row>
    <row r="55" ht="12.75">
      <c r="C55" s="1279"/>
    </row>
    <row r="56" ht="12.75">
      <c r="C56" s="1279"/>
    </row>
    <row r="57" ht="12.75">
      <c r="C57" s="1279"/>
    </row>
    <row r="58" ht="12.75">
      <c r="C58" s="1279"/>
    </row>
    <row r="59" ht="12.75">
      <c r="C59" s="1279"/>
    </row>
    <row r="60" ht="12.75">
      <c r="C60" s="1279"/>
    </row>
    <row r="61" ht="12.75">
      <c r="C61" s="1279"/>
    </row>
    <row r="62" ht="12.75">
      <c r="C62" s="1279"/>
    </row>
    <row r="63" ht="12.75">
      <c r="C63" s="1279"/>
    </row>
    <row r="64" ht="12.75">
      <c r="C64" s="1279"/>
    </row>
    <row r="65" ht="12.75">
      <c r="C65" s="1279"/>
    </row>
    <row r="66" ht="12.75">
      <c r="C66" s="1279"/>
    </row>
    <row r="67" ht="12.75">
      <c r="C67" s="1279"/>
    </row>
    <row r="68" ht="12.75">
      <c r="C68" s="1279"/>
    </row>
  </sheetData>
  <mergeCells count="3">
    <mergeCell ref="A25:F25"/>
    <mergeCell ref="A26:F26"/>
    <mergeCell ref="A27:F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6">
      <selection activeCell="A33" sqref="A33"/>
    </sheetView>
  </sheetViews>
  <sheetFormatPr defaultColWidth="9.00390625" defaultRowHeight="12.75"/>
  <cols>
    <col min="1" max="1" width="7.375" style="1281" customWidth="1"/>
    <col min="2" max="2" width="33.25390625" style="1324" customWidth="1"/>
    <col min="3" max="3" width="5.00390625" style="1324" customWidth="1"/>
    <col min="4" max="4" width="19.25390625" style="1282" customWidth="1"/>
    <col min="5" max="5" width="19.25390625" style="1326" customWidth="1"/>
    <col min="6" max="7" width="0.12890625" style="1288" hidden="1" customWidth="1"/>
    <col min="8" max="16384" width="9.125" style="632" customWidth="1"/>
  </cols>
  <sheetData>
    <row r="1" spans="1:5" s="696" customFormat="1" ht="13.5" customHeight="1">
      <c r="A1" s="1280"/>
      <c r="B1" s="1281"/>
      <c r="C1" s="1281"/>
      <c r="D1" s="1067" t="s">
        <v>593</v>
      </c>
      <c r="E1" s="1282"/>
    </row>
    <row r="2" spans="1:5" s="514" customFormat="1" ht="13.5" customHeight="1">
      <c r="A2" s="1283"/>
      <c r="B2" s="1284"/>
      <c r="C2" s="1284"/>
      <c r="D2" s="473" t="s">
        <v>30</v>
      </c>
      <c r="E2" s="1285"/>
    </row>
    <row r="3" spans="1:5" s="514" customFormat="1" ht="13.5" customHeight="1">
      <c r="A3" s="1283"/>
      <c r="B3" s="1284"/>
      <c r="C3" s="1284"/>
      <c r="D3" s="4" t="s">
        <v>31</v>
      </c>
      <c r="E3" s="1285"/>
    </row>
    <row r="4" spans="1:6" ht="27" customHeight="1">
      <c r="A4" s="2383" t="s">
        <v>594</v>
      </c>
      <c r="B4" s="2384"/>
      <c r="C4" s="2384"/>
      <c r="D4" s="2384"/>
      <c r="E4" s="2384"/>
      <c r="F4" s="1287"/>
    </row>
    <row r="5" spans="1:6" ht="19.5" customHeight="1">
      <c r="A5" s="1252" t="s">
        <v>595</v>
      </c>
      <c r="B5" s="1272"/>
      <c r="C5" s="1272"/>
      <c r="D5" s="1272"/>
      <c r="E5" s="1272"/>
      <c r="F5" s="1287"/>
    </row>
    <row r="6" spans="1:6" ht="19.5" customHeight="1">
      <c r="A6" s="1252" t="s">
        <v>596</v>
      </c>
      <c r="B6" s="1272"/>
      <c r="C6" s="1272"/>
      <c r="D6" s="1272"/>
      <c r="E6" s="1272"/>
      <c r="F6" s="1287"/>
    </row>
    <row r="7" spans="1:6" ht="19.5" customHeight="1">
      <c r="A7" s="1252" t="s">
        <v>597</v>
      </c>
      <c r="B7" s="1253"/>
      <c r="C7" s="1253"/>
      <c r="D7" s="1253"/>
      <c r="E7" s="1253"/>
      <c r="F7" s="1287"/>
    </row>
    <row r="8" spans="1:6" ht="19.5" customHeight="1">
      <c r="A8" s="1252" t="s">
        <v>598</v>
      </c>
      <c r="B8" s="1253"/>
      <c r="C8" s="1253"/>
      <c r="D8" s="1253"/>
      <c r="E8" s="1253"/>
      <c r="F8" s="1287"/>
    </row>
    <row r="9" spans="1:5" ht="31.5" customHeight="1" thickBot="1">
      <c r="A9" s="481" t="s">
        <v>777</v>
      </c>
      <c r="B9" s="1289"/>
      <c r="C9" s="1289"/>
      <c r="D9" s="1290"/>
      <c r="E9" s="1291" t="s">
        <v>237</v>
      </c>
    </row>
    <row r="10" spans="1:5" ht="19.5" thickTop="1">
      <c r="A10" s="2380" t="s">
        <v>537</v>
      </c>
      <c r="B10" s="2417" t="s">
        <v>586</v>
      </c>
      <c r="C10" s="2419" t="s">
        <v>539</v>
      </c>
      <c r="D10" s="1292" t="s">
        <v>599</v>
      </c>
      <c r="E10" s="1293"/>
    </row>
    <row r="11" spans="1:5" ht="16.5" customHeight="1" thickBot="1">
      <c r="A11" s="2416"/>
      <c r="B11" s="2418"/>
      <c r="C11" s="2420"/>
      <c r="D11" s="1294" t="s">
        <v>600</v>
      </c>
      <c r="E11" s="1295" t="s">
        <v>601</v>
      </c>
    </row>
    <row r="12" spans="1:5" ht="13.5" thickBot="1" thickTop="1">
      <c r="A12" s="1296">
        <v>1</v>
      </c>
      <c r="B12" s="1297">
        <v>2</v>
      </c>
      <c r="C12" s="1298">
        <v>3</v>
      </c>
      <c r="D12" s="1298">
        <v>4</v>
      </c>
      <c r="E12" s="1299">
        <v>5</v>
      </c>
    </row>
    <row r="13" spans="1:7" s="531" customFormat="1" ht="16.5" thickBot="1" thickTop="1">
      <c r="A13" s="1300"/>
      <c r="B13" s="1301" t="s">
        <v>302</v>
      </c>
      <c r="C13" s="1302"/>
      <c r="D13" s="1303">
        <f>D14+D16</f>
        <v>666000</v>
      </c>
      <c r="E13" s="1304">
        <f>E14</f>
        <v>100000</v>
      </c>
      <c r="F13" s="1305"/>
      <c r="G13" s="1305"/>
    </row>
    <row r="14" spans="1:7" s="696" customFormat="1" ht="21" customHeight="1" thickBot="1" thickTop="1">
      <c r="A14" s="570">
        <v>600</v>
      </c>
      <c r="B14" s="896" t="s">
        <v>252</v>
      </c>
      <c r="C14" s="1306"/>
      <c r="D14" s="511"/>
      <c r="E14" s="1164">
        <f>E15</f>
        <v>100000</v>
      </c>
      <c r="F14" s="4"/>
      <c r="G14" s="4"/>
    </row>
    <row r="15" spans="1:7" s="696" customFormat="1" ht="21" customHeight="1" thickBot="1" thickTop="1">
      <c r="A15" s="855">
        <v>60002</v>
      </c>
      <c r="B15" s="1307" t="s">
        <v>403</v>
      </c>
      <c r="C15" s="1308">
        <v>2710</v>
      </c>
      <c r="D15" s="853"/>
      <c r="E15" s="1176">
        <v>100000</v>
      </c>
      <c r="F15" s="4"/>
      <c r="G15" s="4"/>
    </row>
    <row r="16" spans="1:7" s="696" customFormat="1" ht="22.5" customHeight="1" thickBot="1" thickTop="1">
      <c r="A16" s="570">
        <v>926</v>
      </c>
      <c r="B16" s="896" t="s">
        <v>290</v>
      </c>
      <c r="C16" s="1306"/>
      <c r="D16" s="511">
        <f>SUM(D17)</f>
        <v>666000</v>
      </c>
      <c r="E16" s="1164"/>
      <c r="F16" s="4"/>
      <c r="G16" s="4"/>
    </row>
    <row r="17" spans="1:7" s="696" customFormat="1" ht="21" customHeight="1" thickBot="1" thickTop="1">
      <c r="A17" s="855">
        <v>92601</v>
      </c>
      <c r="B17" s="1307" t="s">
        <v>520</v>
      </c>
      <c r="C17" s="1308">
        <v>6300</v>
      </c>
      <c r="D17" s="853">
        <v>666000</v>
      </c>
      <c r="E17" s="1176"/>
      <c r="F17" s="4"/>
      <c r="G17" s="4"/>
    </row>
    <row r="18" spans="1:7" s="1309" customFormat="1" ht="21" customHeight="1" thickBot="1" thickTop="1">
      <c r="A18" s="1310"/>
      <c r="B18" s="1311" t="s">
        <v>303</v>
      </c>
      <c r="C18" s="1312"/>
      <c r="D18" s="1313">
        <f>D19+D21+D24+D28</f>
        <v>517852</v>
      </c>
      <c r="E18" s="1304">
        <f>E19+E21+E24+E28</f>
        <v>2648067</v>
      </c>
      <c r="F18" s="1314"/>
      <c r="G18" s="1314"/>
    </row>
    <row r="19" spans="1:7" s="696" customFormat="1" ht="23.25" customHeight="1" thickBot="1" thickTop="1">
      <c r="A19" s="570">
        <v>750</v>
      </c>
      <c r="B19" s="896" t="s">
        <v>260</v>
      </c>
      <c r="C19" s="1306"/>
      <c r="D19" s="511"/>
      <c r="E19" s="1164">
        <f>E20</f>
        <v>1977180</v>
      </c>
      <c r="F19" s="4"/>
      <c r="G19" s="4"/>
    </row>
    <row r="20" spans="1:10" s="539" customFormat="1" ht="22.5" customHeight="1" thickBot="1" thickTop="1">
      <c r="A20" s="1315">
        <v>75020</v>
      </c>
      <c r="B20" s="1316" t="s">
        <v>602</v>
      </c>
      <c r="C20" s="1317">
        <v>2320</v>
      </c>
      <c r="D20" s="1318"/>
      <c r="E20" s="1223">
        <v>1977180</v>
      </c>
      <c r="F20" s="1319"/>
      <c r="G20" s="1319"/>
      <c r="J20" s="696"/>
    </row>
    <row r="21" spans="1:7" s="696" customFormat="1" ht="21" customHeight="1" thickBot="1" thickTop="1">
      <c r="A21" s="570">
        <v>852</v>
      </c>
      <c r="B21" s="896" t="s">
        <v>373</v>
      </c>
      <c r="C21" s="1306"/>
      <c r="D21" s="511">
        <f>D23</f>
        <v>395000</v>
      </c>
      <c r="E21" s="1164">
        <f>E22+E23</f>
        <v>535500</v>
      </c>
      <c r="F21" s="4"/>
      <c r="G21" s="4"/>
    </row>
    <row r="22" spans="1:5" ht="22.5" customHeight="1" thickTop="1">
      <c r="A22" s="855">
        <v>85201</v>
      </c>
      <c r="B22" s="1320" t="s">
        <v>478</v>
      </c>
      <c r="C22" s="1308">
        <v>2320</v>
      </c>
      <c r="D22" s="853"/>
      <c r="E22" s="1176">
        <v>412000</v>
      </c>
    </row>
    <row r="23" spans="1:5" ht="22.5" customHeight="1" thickBot="1">
      <c r="A23" s="855">
        <v>85204</v>
      </c>
      <c r="B23" s="1320" t="s">
        <v>481</v>
      </c>
      <c r="C23" s="1308">
        <v>2320</v>
      </c>
      <c r="D23" s="853">
        <v>395000</v>
      </c>
      <c r="E23" s="1176">
        <v>123500</v>
      </c>
    </row>
    <row r="24" spans="1:7" s="2321" customFormat="1" ht="26.25" customHeight="1" thickBot="1" thickTop="1">
      <c r="A24" s="2317">
        <v>853</v>
      </c>
      <c r="B24" s="2500" t="s">
        <v>280</v>
      </c>
      <c r="C24" s="2318"/>
      <c r="D24" s="2319">
        <f>D25</f>
        <v>82852</v>
      </c>
      <c r="E24" s="1708">
        <f>SUM(E25:E27)</f>
        <v>95387</v>
      </c>
      <c r="F24" s="2320"/>
      <c r="G24" s="2320"/>
    </row>
    <row r="25" spans="1:5" ht="27" customHeight="1" thickTop="1">
      <c r="A25" s="855">
        <v>85311</v>
      </c>
      <c r="B25" s="1838" t="s">
        <v>493</v>
      </c>
      <c r="C25" s="2322">
        <v>2320</v>
      </c>
      <c r="D25" s="678">
        <v>82852</v>
      </c>
      <c r="E25" s="1176">
        <v>82852</v>
      </c>
    </row>
    <row r="26" spans="1:5" ht="27" customHeight="1">
      <c r="A26" s="855">
        <v>85395</v>
      </c>
      <c r="B26" s="1838" t="s">
        <v>395</v>
      </c>
      <c r="C26" s="2322">
        <v>2338</v>
      </c>
      <c r="D26" s="678"/>
      <c r="E26" s="1176">
        <f>9578+2791</f>
        <v>12369</v>
      </c>
    </row>
    <row r="27" spans="1:5" ht="27" customHeight="1" thickBot="1">
      <c r="A27" s="855"/>
      <c r="B27" s="1838"/>
      <c r="C27" s="2322">
        <v>2339</v>
      </c>
      <c r="D27" s="678"/>
      <c r="E27" s="1176">
        <f>129+37</f>
        <v>166</v>
      </c>
    </row>
    <row r="28" spans="1:7" s="2321" customFormat="1" ht="30" customHeight="1" thickBot="1" thickTop="1">
      <c r="A28" s="2317">
        <v>921</v>
      </c>
      <c r="B28" s="2500" t="s">
        <v>288</v>
      </c>
      <c r="C28" s="2318"/>
      <c r="D28" s="2319">
        <f>D29</f>
        <v>40000</v>
      </c>
      <c r="E28" s="1708">
        <f>E29</f>
        <v>40000</v>
      </c>
      <c r="F28" s="2320"/>
      <c r="G28" s="2320"/>
    </row>
    <row r="29" spans="1:5" ht="22.5" customHeight="1" thickBot="1" thickTop="1">
      <c r="A29" s="2323">
        <v>92116</v>
      </c>
      <c r="B29" s="2324" t="s">
        <v>515</v>
      </c>
      <c r="C29" s="2322">
        <v>2320</v>
      </c>
      <c r="D29" s="678">
        <v>40000</v>
      </c>
      <c r="E29" s="1176">
        <v>40000</v>
      </c>
    </row>
    <row r="30" spans="1:5" ht="20.25" customHeight="1" thickBot="1" thickTop="1">
      <c r="A30" s="1321"/>
      <c r="B30" s="1322" t="s">
        <v>242</v>
      </c>
      <c r="C30" s="1323"/>
      <c r="D30" s="1145">
        <f>D18+D13</f>
        <v>1183852</v>
      </c>
      <c r="E30" s="1239">
        <f>E18+E13</f>
        <v>2748067</v>
      </c>
    </row>
    <row r="31" spans="1:3" ht="13.5" thickTop="1">
      <c r="A31" s="102" t="s">
        <v>556</v>
      </c>
      <c r="C31" s="1325"/>
    </row>
    <row r="32" spans="1:3" ht="12.75">
      <c r="A32" s="102" t="s">
        <v>297</v>
      </c>
      <c r="C32" s="1325"/>
    </row>
    <row r="33" spans="1:3" ht="12.75">
      <c r="A33" s="102" t="s">
        <v>780</v>
      </c>
      <c r="C33" s="1325"/>
    </row>
  </sheetData>
  <mergeCells count="4">
    <mergeCell ref="A4:E4"/>
    <mergeCell ref="A10:A11"/>
    <mergeCell ref="B10:B11"/>
    <mergeCell ref="C10:C11"/>
  </mergeCells>
  <printOptions horizontalCentered="1"/>
  <pageMargins left="0.2362204724409449" right="0.2362204724409449" top="0.98425196850393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2009-04-16T10:57:13Z</cp:lastPrinted>
  <dcterms:created xsi:type="dcterms:W3CDTF">2009-02-10T08:41:05Z</dcterms:created>
  <dcterms:modified xsi:type="dcterms:W3CDTF">2009-04-16T11:51:00Z</dcterms:modified>
  <cp:category/>
  <cp:version/>
  <cp:contentType/>
  <cp:contentStatus/>
</cp:coreProperties>
</file>