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 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14'!$9:$10</definedName>
    <definedName name="_xlnm.Print_Titles" localSheetId="17">'zał 19'!$7:$9</definedName>
    <definedName name="_xlnm.Print_Titles" localSheetId="18">'zał 20'!$9:$11</definedName>
    <definedName name="_xlnm.Print_Titles" localSheetId="2">'zał 3'!$7:$9</definedName>
    <definedName name="_xlnm.Print_Titles" localSheetId="3">'zał 4'!$9:$11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J102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elewacja II LO 380,0 tys. zł</t>
        </r>
      </text>
    </comment>
    <comment ref="E138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zmiana nazwy
</t>
        </r>
      </text>
    </comment>
    <comment ref="J9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33,5 adaptacja pomieszczeń na sale lekcyjne
</t>
        </r>
      </text>
    </comment>
    <comment ref="B165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123
</t>
        </r>
      </text>
    </comment>
  </commentList>
</comments>
</file>

<file path=xl/sharedStrings.xml><?xml version="1.0" encoding="utf-8"?>
<sst xmlns="http://schemas.openxmlformats.org/spreadsheetml/2006/main" count="2405" uniqueCount="813">
  <si>
    <t>"Europejski fundusz stypendialny dla uczniów szkół popnadgimnazjalnych w Koszalinie 2009"</t>
  </si>
  <si>
    <t>3248</t>
  </si>
  <si>
    <t>Stypendia dla uczniów</t>
  </si>
  <si>
    <t>3249</t>
  </si>
  <si>
    <t>4170</t>
  </si>
  <si>
    <t>Zakup usług zdrowotnych</t>
  </si>
  <si>
    <t>Zakup usług dostępu do sieci Internet</t>
  </si>
  <si>
    <t>Świadczenia społeczne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</si>
  <si>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</si>
  <si>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</si>
  <si>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</si>
  <si>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</si>
  <si>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</si>
  <si>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>Plan                                           2009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</si>
  <si>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</si>
  <si>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</si>
  <si>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</si>
  <si>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</si>
  <si>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</si>
  <si>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</si>
  <si>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Nr XXX/335/2008</t>
  </si>
  <si>
    <t>po zmianach</t>
  </si>
  <si>
    <t>BUDŻET NA       2008 rok</t>
  </si>
  <si>
    <t xml:space="preserve"> -   na zadania bieżące</t>
  </si>
  <si>
    <t xml:space="preserve"> -   na zadania majątkowe</t>
  </si>
  <si>
    <t>majątkowe</t>
  </si>
  <si>
    <t>Uzupełnienie subwencji ogólnej</t>
  </si>
  <si>
    <t xml:space="preserve">DOTACJE I WPŁYWY CELOWE </t>
  </si>
  <si>
    <t xml:space="preserve">        </t>
  </si>
  <si>
    <t>bieżące</t>
  </si>
  <si>
    <t xml:space="preserve">                  Nr XXX/335/2008</t>
  </si>
  <si>
    <t xml:space="preserve">                  po zmianach</t>
  </si>
  <si>
    <t xml:space="preserve">                   po zmianach</t>
  </si>
  <si>
    <t xml:space="preserve">                         Nr XXX/335/2008</t>
  </si>
  <si>
    <t xml:space="preserve">                          po zmianach</t>
  </si>
  <si>
    <t xml:space="preserve">NA   2008   ROK </t>
  </si>
  <si>
    <t>Nr  XXX / 335 / 2008</t>
  </si>
  <si>
    <t>JEDNOSTEK POMOCNICZYCH  - RAD OSIEDLI                                                                                     NA 2009 ROK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</si>
  <si>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</si>
  <si>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</si>
  <si>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</si>
  <si>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</si>
  <si>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</si>
  <si>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</si>
  <si>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Dotacje celowe przekazane do samorządu województwa na zadania bieżące realizowane na podstawie porozumień z jst</t>
  </si>
  <si>
    <t>Dotacja celowa z budżetu dla jednostek niezaliczanych do sektora finansów publicznych realizujących projekty finansowane z udziałem środków z budżetu UE</t>
  </si>
  <si>
    <t>PRZYCHODY WŁASNE</t>
  </si>
  <si>
    <t xml:space="preserve">              po zmianach</t>
  </si>
  <si>
    <t>Dotacje celowe przekazane do samorząduwojewództwa na zadania bieżace realizowane na podstawie porozumień z jst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</si>
  <si>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</si>
  <si>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</si>
  <si>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</si>
  <si>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2009 - 2011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</si>
  <si>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</si>
  <si>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</si>
  <si>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</si>
  <si>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</si>
  <si>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</si>
  <si>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</si>
  <si>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</si>
  <si>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</si>
  <si>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</si>
  <si>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</si>
  <si>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</si>
  <si>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2009 r.</t>
  </si>
  <si>
    <t>2010 r.</t>
  </si>
  <si>
    <t>2011 r.</t>
  </si>
  <si>
    <t xml:space="preserve">INWESTYCJE KONTYNUOWANE </t>
  </si>
  <si>
    <t>Ewidencja dróg</t>
  </si>
  <si>
    <t>ZDM</t>
  </si>
  <si>
    <t>Remomt ul. Kędzierzyńskiej</t>
  </si>
  <si>
    <t xml:space="preserve">Remont odcinka ul. Zwycięstwa </t>
  </si>
  <si>
    <t>ul. Kwiatkowskiego</t>
  </si>
  <si>
    <t>2009</t>
  </si>
  <si>
    <t>Remont obiektów mostowych (ul.Monte Cassino)</t>
  </si>
  <si>
    <t>2011</t>
  </si>
  <si>
    <t>Remont skrzyżowania ulic Monte Cassino - Fałata</t>
  </si>
  <si>
    <t>ul.Mieszka I-go (od ul.BOWiD do wiaduktu)</t>
  </si>
  <si>
    <t>Dokumentacja pod przyszłe inwestycje i remonty</t>
  </si>
  <si>
    <t>ciągle</t>
  </si>
  <si>
    <t>ul.Lutyków, ul.Obotrytów, ul.P.Skargi, ul.Łużycka, ul.Poprzeczna</t>
  </si>
  <si>
    <t>ul.Reymonta, ul.Staffa, Struga, Tetmajera, Żeromskiego</t>
  </si>
  <si>
    <t>Przebudowa ul.Brzozowej</t>
  </si>
  <si>
    <t>Remont odcinka ul.Bursztynowej</t>
  </si>
  <si>
    <t>Przebudowa ul.Wenedów</t>
  </si>
  <si>
    <t>Osiedle Bukowe - drogi</t>
  </si>
  <si>
    <t>IK</t>
  </si>
  <si>
    <t>po 2011</t>
  </si>
  <si>
    <t>Osiedle "Topolowe"- drogi</t>
  </si>
  <si>
    <t>ul.Kosynierów</t>
  </si>
  <si>
    <t xml:space="preserve">Dokumentacja pod przyszłe inwestycje </t>
  </si>
  <si>
    <t>Remont nawierzchni placu przy ul.Połczyńskiej 24</t>
  </si>
  <si>
    <t>Przebudowa Rynku Staromiejskiego</t>
  </si>
  <si>
    <t>Inf</t>
  </si>
  <si>
    <t>Budownictwo mieszkaniowe</t>
  </si>
  <si>
    <t>Rozbudowa Cmentarza Komunalnego</t>
  </si>
  <si>
    <t>OA</t>
  </si>
  <si>
    <t>Modernizacja budynku Straży Pożarnej</t>
  </si>
  <si>
    <t>ZK</t>
  </si>
  <si>
    <t>Rezerwa na inwestycje zakończone</t>
  </si>
  <si>
    <t>Rozbudowa sieci oświetleniowej - drogi krajowe, wojewódzkie i powiatowe</t>
  </si>
  <si>
    <t>Rozbudowa sieci oświetleniowej - drogi gminne</t>
  </si>
  <si>
    <t>Budowa szaletów miejskich</t>
  </si>
  <si>
    <t>Kolektor północny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</si>
  <si>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</si>
  <si>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</si>
  <si>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</si>
  <si>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</si>
  <si>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</si>
  <si>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Modernizacja stadionu "Bałtyk" </t>
  </si>
  <si>
    <t xml:space="preserve">INWESTYCJE ROZPOCZYNANE </t>
  </si>
  <si>
    <t>Dokumentacja na modernizację nawierzchni targowiska przy ul.Połczyńskiej</t>
  </si>
  <si>
    <t>Skrzyżowanie ulic: A.Krajowej - Boh. Warszawy - Morskiej</t>
  </si>
  <si>
    <t>2010</t>
  </si>
  <si>
    <t>ul. Młyńska</t>
  </si>
  <si>
    <t>ul. Połczyńska (odcinek od ul.Działkowej do ul.Żytniej)</t>
  </si>
  <si>
    <t>2012</t>
  </si>
  <si>
    <t>Budowa parkingu, zatok autobusowych, kanalizacji deszczowej oraz wykonanie nawierzchni asfaltowej przy ul.Gnieźnieńskiej</t>
  </si>
  <si>
    <t>Przebudowa pętli autobusowej przy ul. Szczecińskiej</t>
  </si>
  <si>
    <t>Przebudowa skrzyżowań / budowa skrzyżowań z ruchem okrężnym</t>
  </si>
  <si>
    <t>Remont odcinka nawierzchni ul. Dzierżęcińskiej</t>
  </si>
  <si>
    <t>Remont ul.Powstańców Wielkopolskich</t>
  </si>
  <si>
    <t>ul. Lubiatowska</t>
  </si>
  <si>
    <t>IK, ZDM</t>
  </si>
  <si>
    <t>Przebudowa ul.St. Moniuszki</t>
  </si>
  <si>
    <t>Przebudowa ul.Marynarzy</t>
  </si>
  <si>
    <t>Remont ul.Jabłoniowej</t>
  </si>
  <si>
    <t>ul.Rzeczna (dojazd do Spec. Ośrodka Szkolno-Wychowawczego)</t>
  </si>
  <si>
    <t>Modernizacja rejonu ulic Tytusa Chałubińskiego - Leśna - Promykowa</t>
  </si>
  <si>
    <t>Osiedle "Lipowe"- drogi</t>
  </si>
  <si>
    <t>Budowa łącznika ul.Dywizji Drezdeńskiej - Przyjaźni</t>
  </si>
  <si>
    <t xml:space="preserve">Przebudowa ul.Połtawskiej </t>
  </si>
  <si>
    <t>Przebudowa ul.Sikorskiego</t>
  </si>
  <si>
    <t>Budowa parkingu przy ul. Baczewskiego</t>
  </si>
  <si>
    <t>Przebudowa ul.Fałata</t>
  </si>
  <si>
    <t>Modernizacja szkół</t>
  </si>
  <si>
    <t>E</t>
  </si>
  <si>
    <t>Remont i modernizacja przedszkoli</t>
  </si>
  <si>
    <t>Modernizacja przedszkoli</t>
  </si>
  <si>
    <t>IK, E</t>
  </si>
  <si>
    <t>Modernizacja placówek w ramach Polsko-Niemieckiej Współpracy Młodzieżowej Koszalin- Strasburg</t>
  </si>
  <si>
    <t>Modernizacja  placów zabaw</t>
  </si>
  <si>
    <t>PU</t>
  </si>
  <si>
    <t>Wymiana stolarki okiennej i drzwi w siedzibie na ul.Monte Cassino, remont siedziby i ogrodzenia przy ul.Podgórnej</t>
  </si>
  <si>
    <t>KS</t>
  </si>
  <si>
    <t>Zabudowa tarasu w żłobku "Skrzat", wymiana instalacji elektrycznej "Bolek i Lolek"</t>
  </si>
  <si>
    <t>Klimatyzacja - Pałac Młodzieży</t>
  </si>
  <si>
    <t>Modernizacja placówek oświatowo - wychowawczych</t>
  </si>
  <si>
    <t>Szkolne Schronisko Młodzieżowe - modernizacja placówki</t>
  </si>
  <si>
    <t>Budowa schroniska dla zwierząt</t>
  </si>
  <si>
    <t>Uzbrojenie terenu pod ogródki działkowe przy ul.Władysława IV</t>
  </si>
  <si>
    <t>IK, N</t>
  </si>
  <si>
    <t xml:space="preserve">Dotacja na roboty inwestycyjne dla Muzeum </t>
  </si>
  <si>
    <t xml:space="preserve">OGÓŁEM  (I+II)  </t>
  </si>
  <si>
    <t xml:space="preserve">INWESTYCJE PLANOWANE DO DOFINANSOWANIA </t>
  </si>
  <si>
    <t>ul. Gnieźnieńska (od 4-go Marca do Połczyńskiej)</t>
  </si>
  <si>
    <t>Budowa ścieżek rowerowych</t>
  </si>
  <si>
    <t>2007</t>
  </si>
  <si>
    <t>Budowa i przebudowa dróg stanowiących zewnętrzny pierścień układu komunikacyjnego</t>
  </si>
  <si>
    <t>ul. Syrenki</t>
  </si>
  <si>
    <t>Waryńskiego ze skrzyżowaniem z ul. Zwycięstwa, Piłsudskiego, Kościuszki</t>
  </si>
  <si>
    <t>ul. Gdańska</t>
  </si>
  <si>
    <t xml:space="preserve">Przebudowa rejonu ul.Gnieżnieńskiej - 4-go Marca - Połczyńskiej </t>
  </si>
  <si>
    <t>Osiedle "Unii Europejskiej"- drogi</t>
  </si>
  <si>
    <t>Osiedle Podgórne - Bat. Chłopskich - drogi</t>
  </si>
  <si>
    <t>Parking przy ul.Na Skarpie - E. Kwiatkowskiego</t>
  </si>
  <si>
    <t>Boiska sportowe przy ZS Nr 13</t>
  </si>
  <si>
    <t>Boisko sportowe przy Szkole Podstawowej nr 7</t>
  </si>
  <si>
    <t>Boisko sportowe przy Szkole Podstawowej nr 13</t>
  </si>
  <si>
    <t>Sala sportowa przy Gimnazjum Nr 6</t>
  </si>
  <si>
    <t>ul.Różana - Lniana (porządkowanie gospodarki wod.ściekowej)</t>
  </si>
  <si>
    <t>Uzbrojenie terenu pod Słupską Specjalną Strefę Ekonomiczną, Kompleks Koszalin</t>
  </si>
  <si>
    <t>Uzbrojenie Osiedla Chełmoniewo</t>
  </si>
  <si>
    <t>Uzbrojenie rejonu ul. Szczecińskiej</t>
  </si>
  <si>
    <t>Uzbrojenie Osiedla Sarzyno</t>
  </si>
  <si>
    <t>Uzbrojenie osiedla Podgórne - Batalionów Chłopskich</t>
  </si>
  <si>
    <t xml:space="preserve">Uzbrojenie rejonu ulicy R. Traugutta </t>
  </si>
  <si>
    <t>Oświetlenie iluminacyjne</t>
  </si>
  <si>
    <t>Filharmonia - sala koncertowa</t>
  </si>
  <si>
    <t>Boiska sportowe na osiedlu Wenedów</t>
  </si>
  <si>
    <t xml:space="preserve">OGÓŁEM  (I+II+III)  </t>
  </si>
  <si>
    <t>Załącznik nr  20 do Uchwały</t>
  </si>
  <si>
    <t xml:space="preserve">WYDATKI  BUDŻETU NA PROGRAMY I PROJEKTY REALIZOWANE  ZE  ŚRODKÓW  ZEWNĘTRZNYCH </t>
  </si>
  <si>
    <t>W  2009  ROKU</t>
  </si>
  <si>
    <t>Nazwa programu, projektu</t>
  </si>
  <si>
    <t>Finansowanie 2009r.</t>
  </si>
  <si>
    <t>%</t>
  </si>
  <si>
    <t>finansowe
w 2009r.</t>
  </si>
  <si>
    <t xml:space="preserve">Środki własne </t>
  </si>
  <si>
    <t xml:space="preserve">Środki pomocowe </t>
  </si>
  <si>
    <t>dofinansowania</t>
  </si>
  <si>
    <t>Program Operacyjny Infrastruktura i Środowisko 
Fundusz Spójności  
Europejski Fundusz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</si>
  <si>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</si>
  <si>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</si>
  <si>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</si>
  <si>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</si>
  <si>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</si>
  <si>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"Koszaliński Program Integracji Społecznej  START"</t>
  </si>
  <si>
    <t>Program Operacyjny Kapitał Ludzki Województwo Zachodniopomorskie - Wojewódzki Urząd Pracy</t>
  </si>
  <si>
    <t>4118</t>
  </si>
  <si>
    <t>4119</t>
  </si>
  <si>
    <t>4128</t>
  </si>
  <si>
    <t>Składki na FP</t>
  </si>
  <si>
    <t>4129</t>
  </si>
  <si>
    <t>4178</t>
  </si>
  <si>
    <t>4179</t>
  </si>
  <si>
    <t>4218</t>
  </si>
  <si>
    <t>4219</t>
  </si>
  <si>
    <t>4308</t>
  </si>
  <si>
    <t>4309</t>
  </si>
  <si>
    <t>4358</t>
  </si>
  <si>
    <t>4359</t>
  </si>
  <si>
    <t>4368</t>
  </si>
  <si>
    <t>Opłaty z tytułu zakupu usług telefonii komórkowej</t>
  </si>
  <si>
    <t>4369</t>
  </si>
  <si>
    <t>4378</t>
  </si>
  <si>
    <t>Opłaty z tytułu zakupu usług telefonii stacjonarnej</t>
  </si>
  <si>
    <t>4379</t>
  </si>
  <si>
    <t>4418</t>
  </si>
  <si>
    <t>4419</t>
  </si>
  <si>
    <t>4748</t>
  </si>
  <si>
    <t>4749</t>
  </si>
  <si>
    <t>4758</t>
  </si>
  <si>
    <t xml:space="preserve">Zakup akcesoriów komputerowych, w tym programów i licencji </t>
  </si>
  <si>
    <t>4759</t>
  </si>
  <si>
    <t>"Szkoły zawodowe dodają skrzydeł"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</si>
  <si>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</si>
  <si>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</si>
  <si>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</si>
  <si>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</si>
  <si>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</si>
  <si>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</si>
  <si>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>ZPORR
 Zachodniopomorski Urząd Wojewódzki,
Urząd Miejski Koszalin</t>
  </si>
  <si>
    <t xml:space="preserve">        Załącznik nr 1 do Uchwały</t>
  </si>
  <si>
    <t xml:space="preserve">DOCHODY   I   WYDATKI   BUDŻETU   MIASTA   KOSZALINA   NA   2009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</si>
  <si>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</si>
  <si>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</si>
  <si>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</si>
  <si>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</si>
  <si>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</si>
  <si>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</si>
  <si>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</si>
  <si>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</si>
  <si>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</si>
  <si>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</si>
  <si>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</si>
  <si>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</si>
  <si>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</si>
  <si>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</si>
  <si>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</si>
  <si>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</si>
  <si>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</si>
  <si>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</si>
  <si>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</si>
  <si>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</si>
  <si>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</si>
  <si>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</si>
  <si>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</si>
  <si>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</si>
  <si>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</si>
  <si>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</si>
  <si>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</si>
  <si>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</si>
  <si>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</si>
  <si>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</si>
  <si>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</si>
  <si>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</si>
  <si>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</si>
  <si>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</si>
  <si>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</si>
  <si>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</si>
  <si>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</si>
  <si>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</si>
  <si>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</si>
  <si>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</si>
  <si>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</si>
  <si>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</si>
  <si>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</si>
  <si>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</si>
  <si>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</si>
  <si>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</si>
  <si>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</si>
  <si>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</si>
  <si>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 xml:space="preserve">        Nr XXX/335/2008</t>
  </si>
  <si>
    <t xml:space="preserve">        po zmianach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</si>
  <si>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</si>
  <si>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</si>
  <si>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</si>
  <si>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</si>
  <si>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</si>
  <si>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</si>
  <si>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</si>
  <si>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</si>
  <si>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</si>
  <si>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</si>
  <si>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</si>
  <si>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</si>
  <si>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</si>
  <si>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Nr XXX / 335 / 2008</t>
  </si>
  <si>
    <t>PROGNOZOWANE  DOCHODY  MIASTA  KOSZALINA  NA  2009  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</si>
  <si>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</si>
  <si>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</si>
  <si>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</si>
  <si>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</si>
  <si>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</si>
  <si>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</si>
  <si>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</si>
  <si>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</si>
  <si>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</si>
  <si>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</si>
  <si>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</si>
  <si>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</si>
  <si>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</si>
  <si>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</si>
  <si>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</si>
  <si>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</si>
  <si>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</si>
  <si>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</si>
  <si>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</si>
  <si>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</si>
  <si>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</si>
  <si>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</si>
  <si>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</si>
  <si>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</si>
  <si>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</si>
  <si>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</si>
  <si>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</si>
  <si>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</si>
  <si>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</si>
  <si>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</si>
  <si>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</si>
  <si>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</si>
  <si>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</si>
  <si>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</si>
  <si>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</si>
  <si>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</si>
  <si>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</si>
  <si>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</si>
  <si>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</si>
  <si>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</si>
  <si>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</si>
  <si>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</si>
  <si>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</si>
  <si>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 - bieżące</t>
  </si>
  <si>
    <t xml:space="preserve"> - majątkowe</t>
  </si>
  <si>
    <t>z tego:     bieżące</t>
  </si>
  <si>
    <t xml:space="preserve">                  majątkowe</t>
  </si>
  <si>
    <t>Załącznik nr  3  do Uchwały</t>
  </si>
  <si>
    <t>PROGNOZOWANE  DOCHODY   MIASTA  KOSZALINA  NA  2009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</si>
  <si>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</si>
  <si>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</si>
  <si>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</si>
  <si>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</si>
  <si>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</si>
  <si>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</si>
  <si>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</si>
  <si>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</si>
  <si>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</si>
  <si>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</si>
  <si>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</si>
  <si>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</si>
  <si>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</si>
  <si>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</si>
  <si>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</si>
  <si>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</si>
  <si>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</si>
  <si>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</si>
  <si>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</si>
  <si>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</si>
  <si>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</si>
  <si>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</si>
  <si>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4  do Uchwały</t>
  </si>
  <si>
    <t xml:space="preserve"> WYDATKI  MIASTA KOSZALINA NA   2009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</si>
  <si>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</si>
  <si>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r>
      <t xml:space="preserve">Dział Rozdział    </t>
    </r>
    <r>
      <rPr>
        <sz val="9"/>
        <rFont val="Times New Roman CE"/>
        <family val="1"/>
      </rPr>
      <t xml:space="preserve">         
</t>
    </r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</si>
  <si>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</si>
  <si>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</si>
  <si>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</si>
  <si>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</si>
  <si>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</si>
  <si>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</si>
  <si>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</si>
  <si>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</si>
  <si>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</si>
  <si>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</si>
  <si>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</si>
  <si>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</si>
  <si>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</si>
  <si>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</si>
  <si>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</si>
  <si>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</si>
  <si>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</si>
  <si>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</si>
  <si>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</si>
  <si>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</si>
  <si>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</si>
  <si>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</si>
  <si>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</si>
  <si>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</si>
  <si>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</si>
  <si>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</si>
  <si>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</si>
  <si>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</si>
  <si>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</si>
  <si>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</si>
  <si>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</si>
  <si>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</si>
  <si>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</si>
  <si>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</si>
  <si>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</si>
  <si>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</si>
  <si>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</si>
  <si>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</si>
  <si>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</si>
  <si>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</si>
  <si>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</si>
  <si>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</si>
  <si>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</si>
  <si>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</si>
  <si>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</si>
  <si>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</si>
  <si>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</si>
  <si>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</si>
  <si>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</si>
  <si>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</si>
  <si>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</si>
  <si>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</si>
  <si>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</si>
  <si>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</si>
  <si>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</si>
  <si>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</si>
  <si>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</si>
  <si>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</si>
  <si>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</si>
  <si>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</si>
  <si>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</si>
  <si>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</si>
  <si>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</si>
  <si>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</si>
  <si>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</si>
  <si>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</si>
  <si>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</si>
  <si>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</si>
  <si>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</si>
  <si>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</si>
  <si>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</si>
  <si>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</si>
  <si>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</si>
  <si>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</si>
  <si>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</si>
  <si>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</si>
  <si>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</si>
  <si>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</si>
  <si>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</si>
  <si>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</si>
  <si>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</si>
  <si>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</si>
  <si>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</si>
  <si>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</si>
  <si>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</si>
  <si>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</si>
  <si>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</si>
  <si>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</si>
  <si>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</si>
  <si>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</si>
  <si>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</si>
  <si>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</si>
  <si>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</si>
  <si>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</si>
  <si>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</si>
  <si>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</si>
  <si>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</si>
  <si>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</si>
  <si>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</si>
  <si>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</si>
  <si>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</si>
  <si>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</si>
  <si>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</si>
  <si>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</si>
  <si>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</si>
  <si>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</si>
  <si>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</si>
  <si>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</si>
  <si>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</si>
  <si>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</si>
  <si>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</si>
  <si>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</si>
  <si>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</si>
  <si>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</si>
  <si>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</si>
  <si>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</si>
  <si>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</si>
  <si>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</si>
  <si>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</si>
  <si>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</si>
  <si>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</si>
  <si>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</si>
  <si>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</si>
  <si>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</si>
  <si>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</si>
  <si>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</si>
  <si>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</si>
  <si>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</si>
  <si>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</si>
  <si>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</si>
  <si>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</si>
  <si>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</si>
  <si>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</si>
  <si>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</si>
  <si>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</si>
  <si>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</si>
  <si>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</si>
  <si>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</si>
  <si>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</si>
  <si>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</si>
  <si>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</si>
  <si>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</si>
  <si>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</si>
  <si>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</si>
  <si>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</si>
  <si>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</si>
  <si>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</si>
  <si>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</si>
  <si>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Autor dokumentu: Agnieszka Sulewska</t>
  </si>
  <si>
    <t>Załącznik nr  5  do Uchwały</t>
  </si>
  <si>
    <t xml:space="preserve">WYDATKI   MIASTA  KOSZALINA  NA  2009  ROK </t>
  </si>
  <si>
    <t>według działów klasyfikacji budżetowej</t>
  </si>
  <si>
    <t xml:space="preserve">WYDATKI
OGÓŁEM </t>
  </si>
  <si>
    <t xml:space="preserve">                  Załącznik nr 6 do Uchwały</t>
  </si>
  <si>
    <t xml:space="preserve">PLAN  DOCHODÓW I WYDATKÓW ZADAŃ  ZLECONYCH  GMINIE  
Z  ZAKRESU  ADMINISTRACJI  RZĄDOWEJ                                                                                            NA 2009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</si>
  <si>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</si>
  <si>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</si>
  <si>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</si>
  <si>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</si>
  <si>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</si>
  <si>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</si>
  <si>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</si>
  <si>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</si>
  <si>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</si>
  <si>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</si>
  <si>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</si>
  <si>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</si>
  <si>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Autor dokumentu: Sylwia Szpak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</si>
  <si>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</si>
  <si>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2009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</si>
  <si>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</si>
  <si>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</si>
  <si>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</si>
  <si>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</si>
  <si>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</si>
  <si>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</si>
  <si>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</si>
  <si>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</si>
  <si>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</si>
  <si>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</si>
  <si>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</si>
  <si>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</si>
  <si>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</si>
  <si>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</si>
  <si>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</si>
  <si>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</si>
  <si>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</si>
  <si>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</si>
  <si>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</si>
  <si>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</si>
  <si>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</si>
  <si>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</si>
  <si>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</si>
  <si>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</si>
  <si>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</si>
  <si>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</si>
  <si>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2009 ROK</t>
  </si>
  <si>
    <t>Wyszczególnienie</t>
  </si>
  <si>
    <t>71035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</si>
  <si>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</si>
  <si>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</si>
  <si>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</si>
  <si>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2009 ROK </t>
  </si>
  <si>
    <t xml:space="preserve">ADMINISTRACJA PUBLICZNA </t>
  </si>
  <si>
    <t xml:space="preserve">                         Załącznik nr 10 do Uchwały</t>
  </si>
  <si>
    <t xml:space="preserve">PLAN  DOTACJI  NA  ZADANIA  REALIZOWANE  </t>
  </si>
  <si>
    <t xml:space="preserve">  NA  PODSTAWIE  POROZUMIEŃ  </t>
  </si>
  <si>
    <t xml:space="preserve">                                              Z  JEDNOSTKAMI   SAMORZĄDU  TERYTORIALNEGO                                            </t>
  </si>
  <si>
    <t xml:space="preserve">NA  2009 ROK     </t>
  </si>
  <si>
    <t>DOTACJE</t>
  </si>
  <si>
    <t>OTRZYMANE</t>
  </si>
  <si>
    <t>UDZIELONE</t>
  </si>
  <si>
    <t xml:space="preserve">Starostwa powiatowe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</si>
  <si>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</si>
  <si>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</si>
  <si>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</si>
  <si>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</si>
  <si>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</si>
  <si>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</si>
  <si>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</si>
  <si>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</si>
  <si>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</si>
  <si>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</si>
  <si>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</si>
  <si>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</si>
  <si>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</si>
  <si>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</si>
  <si>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</si>
  <si>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</si>
  <si>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</si>
  <si>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</si>
  <si>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</si>
  <si>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</si>
  <si>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</si>
  <si>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</si>
  <si>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</si>
  <si>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</si>
  <si>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</si>
  <si>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</si>
  <si>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</si>
  <si>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</si>
  <si>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</si>
  <si>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</si>
  <si>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</si>
  <si>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</si>
  <si>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</si>
  <si>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</si>
  <si>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</si>
  <si>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</si>
  <si>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</si>
  <si>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</si>
  <si>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</si>
  <si>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</si>
  <si>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</si>
  <si>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</si>
  <si>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</si>
  <si>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</si>
  <si>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</si>
  <si>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</si>
  <si>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</si>
  <si>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</si>
  <si>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do Uchwały</t>
  </si>
  <si>
    <t xml:space="preserve">PLAN  DOTACJI  UDZIELANYCH  Z  BUDŻETU  MIASTA  </t>
  </si>
  <si>
    <t xml:space="preserve"> NA  REALIZACJĘ  ZADAŃ  PUBLICZNYCH                                                                                W  2009 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</si>
  <si>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</si>
  <si>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</si>
  <si>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</si>
  <si>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</si>
  <si>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</si>
  <si>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</si>
  <si>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</si>
  <si>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</si>
  <si>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</si>
  <si>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</si>
  <si>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</si>
  <si>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>Dotacje celowe z budżetu na finansowanie lub dofinansowanie kosztów realizacji inwestycji i zakupów inwestycyjnych zakładów budżetowych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</si>
  <si>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</si>
  <si>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</si>
  <si>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</si>
  <si>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</si>
  <si>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</si>
  <si>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</si>
  <si>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</si>
  <si>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</si>
  <si>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</si>
  <si>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</si>
  <si>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</si>
  <si>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</si>
  <si>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Pozostałe działania z zakresu kultury</t>
  </si>
  <si>
    <t xml:space="preserve">Teatry </t>
  </si>
  <si>
    <t>Dotacja podmiotowa z budżetu dla samorządowej instytucji kultury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</si>
  <si>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</si>
  <si>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</si>
  <si>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</si>
  <si>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</si>
  <si>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</si>
  <si>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</si>
  <si>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2009  ROK</t>
  </si>
  <si>
    <t>Lp</t>
  </si>
  <si>
    <t>Stan środków obrotowych 
na początek roku</t>
  </si>
  <si>
    <t>PLAN NA 2009 ROK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</si>
  <si>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</si>
  <si>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</si>
  <si>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</si>
  <si>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</si>
  <si>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</si>
  <si>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</si>
  <si>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</si>
  <si>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 xml:space="preserve">              Załącznik Nr 16 do Uchwały</t>
  </si>
  <si>
    <t xml:space="preserve">              Nr XXX / 335 / 2008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</si>
  <si>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</si>
  <si>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</si>
  <si>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</si>
  <si>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2009 rok</t>
  </si>
  <si>
    <t xml:space="preserve">Plan dochodów                    na 2009 r.    </t>
  </si>
  <si>
    <t xml:space="preserve">Plan wydatków        na 2009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</si>
  <si>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</si>
  <si>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</si>
  <si>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</si>
  <si>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</si>
  <si>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</si>
  <si>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</si>
  <si>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</si>
  <si>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</si>
  <si>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</si>
  <si>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</si>
  <si>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</si>
  <si>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</si>
  <si>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</si>
  <si>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</si>
  <si>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</si>
  <si>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</si>
  <si>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</si>
  <si>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</si>
  <si>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</si>
  <si>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</si>
  <si>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</si>
  <si>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</si>
  <si>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</si>
  <si>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</si>
  <si>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</si>
  <si>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</si>
  <si>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</si>
  <si>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</si>
  <si>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</si>
  <si>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</si>
  <si>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</si>
  <si>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</si>
  <si>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</si>
  <si>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Autor dokumentu:Agnieszka Sulewska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</si>
  <si>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</si>
  <si>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</si>
  <si>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</si>
  <si>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2009   ROK</t>
  </si>
  <si>
    <t>Stan środków obrotowych na
 01-01-2009r.</t>
  </si>
  <si>
    <t xml:space="preserve">Przychody </t>
  </si>
  <si>
    <t>Przychody ogółem</t>
  </si>
  <si>
    <t>Wydatki ogółem</t>
  </si>
  <si>
    <t>Stan środków obrotowych na 
31-12-2009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</si>
  <si>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</si>
  <si>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</si>
  <si>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</si>
  <si>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</si>
  <si>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</si>
  <si>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</si>
  <si>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</si>
  <si>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</si>
  <si>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</si>
  <si>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</si>
  <si>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</si>
  <si>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</si>
  <si>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</si>
  <si>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Termomodernizacja budynków oświatowych</t>
  </si>
  <si>
    <t>Boisko sportowe przy Szkole Podstawowej nr 10</t>
  </si>
  <si>
    <t>Boisko sportowe przy Szkole Podstawowej nr 17</t>
  </si>
  <si>
    <t>Łącznik budynku II LO im.W. Broniewskiego</t>
  </si>
  <si>
    <t>Pomoc materialna dla studentów i doktorantów</t>
  </si>
  <si>
    <t>Dotacja podmiotowa z budżetu dla uczelni publicznej</t>
  </si>
  <si>
    <t>Rewitalizacja zabytkowych parków miejskich</t>
  </si>
  <si>
    <t>Hala widowiskowo - sportowa</t>
  </si>
  <si>
    <t>Przebudowa ul.Zawiszy Czarnego, ul.Dąbrówki, Ks.Anastazji, K.Wielkiego, M.Ludwiki, Bogusława II - go</t>
  </si>
  <si>
    <t>Rozbudowa oddziału żłobka „Maluch” przy ul. Jagoszewskiego (dokumentacja projektowo – kosztorysowa oraz inwentaryzacja budynku )</t>
  </si>
  <si>
    <r>
      <t xml:space="preserve">Przebudowa ul.Syrenki i ul. Gdańskiej </t>
    </r>
    <r>
      <rPr>
        <i/>
        <sz val="8"/>
        <rFont val="Times New Roman CE"/>
        <family val="1"/>
      </rPr>
      <t>(zmiana nazwy z ul.Gdańska)</t>
    </r>
  </si>
  <si>
    <t xml:space="preserve">Osiedle Wilkowo - uzbrojenie </t>
  </si>
  <si>
    <t>Zakup środków żywności</t>
  </si>
  <si>
    <t>Zakup akcesoriów komputerowych, w tym programów i licencji</t>
  </si>
  <si>
    <t>ul. Kamieniarska</t>
  </si>
  <si>
    <t>Remonty placów zabaw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</si>
  <si>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</si>
  <si>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</si>
  <si>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"Program Comenius - Partnerskie projekty szkół"</t>
  </si>
  <si>
    <t>Zakup materiałów papierniczych i wyposażenia</t>
  </si>
  <si>
    <t>Zakup akcesoriów komputerowych, wtym programów i licencji</t>
  </si>
  <si>
    <t>Autor dokumentu:Barbara Malinowska</t>
  </si>
  <si>
    <t>Uzbrojenie terenu pod Słupską Specjalną Strefę Ekonomiczną, Kompleks Koszalin - drogi</t>
  </si>
  <si>
    <t>2014</t>
  </si>
  <si>
    <t>Budowa sieci teleinformatycznej</t>
  </si>
  <si>
    <t>Wybory do Parlamentu Europejskiego</t>
  </si>
  <si>
    <t>j</t>
  </si>
  <si>
    <t>75113</t>
  </si>
  <si>
    <t>Dotacje celowe z budżetu na finansowanie lub dofinansowanie kosztów realizacj iinwestycji i zakupów inwestycyjnych innych jednostek sektora finansów publicznych</t>
  </si>
  <si>
    <t>Dotacja celowa na pomoc finansową udzielaną między j.s.t. na dofinansowanie własnych zadań inwestycyjnych i zakupów inwestycyjnych</t>
  </si>
  <si>
    <t>Dotacje celowe z budżetu na finansowanie lub dofinansowanie kosztów realizacji inwestycji i zakupów inwestycyjnych jednostek niezaliczanych do sektora finansów publicznych</t>
  </si>
  <si>
    <t>Odpisy na ZFŚS</t>
  </si>
  <si>
    <t>"XIV Festiwal Młodzieży Euroregionu Pomerania - Koszalin 2009"</t>
  </si>
  <si>
    <t>INTERREG IV A
Wspólny Sekretariat Techniczny w Locknitz
Euroregion Pomerania: Szczecin. Loecknitz, Skania</t>
  </si>
  <si>
    <t xml:space="preserve">Zakup usług pozostałych </t>
  </si>
  <si>
    <t>Centralne sterowanie ruchem ulicznym</t>
  </si>
  <si>
    <t>Dotacja celowa  dla Gminy Sianów na realizację inwestycji ograniczającej uciążliwość wysypiska odpadów komunalnych.</t>
  </si>
  <si>
    <r>
      <t xml:space="preserve">Podatek dochodowy od osób </t>
    </r>
    <r>
      <rPr>
        <b/>
        <sz val="10"/>
        <rFont val="Times New Roman"/>
        <family val="1"/>
      </rPr>
      <t>fizycznych</t>
    </r>
  </si>
  <si>
    <r>
      <t xml:space="preserve">Podatek dochodowy od osób </t>
    </r>
    <r>
      <rPr>
        <b/>
        <sz val="10"/>
        <rFont val="Times New Roman"/>
        <family val="1"/>
      </rPr>
      <t>prawnych</t>
    </r>
  </si>
  <si>
    <r>
      <t xml:space="preserve">ŚRODKI ZEWNĘTRZNE - UNIJNE   </t>
    </r>
    <r>
      <rPr>
        <sz val="10"/>
        <rFont val="Times New Roman CE"/>
        <family val="0"/>
      </rPr>
      <t xml:space="preserve"> z tego: </t>
    </r>
  </si>
  <si>
    <r>
      <t xml:space="preserve">Na zadania </t>
    </r>
    <r>
      <rPr>
        <b/>
        <sz val="10"/>
        <rFont val="Times New Roman"/>
        <family val="1"/>
      </rPr>
      <t xml:space="preserve">własne </t>
    </r>
    <r>
      <rPr>
        <sz val="10"/>
        <rFont val="Times New Roman"/>
        <family val="1"/>
      </rPr>
      <t xml:space="preserve"> (z budżetu państwa,  gmin,   powiatów,  funduszy celowych), z tego:</t>
    </r>
  </si>
  <si>
    <r>
      <t>Na zadania realizowane na podstawie</t>
    </r>
    <r>
      <rPr>
        <b/>
        <sz val="10"/>
        <rFont val="Times New Roman"/>
        <family val="1"/>
      </rPr>
      <t xml:space="preserve"> porozumień </t>
    </r>
    <r>
      <rPr>
        <sz val="10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</si>
  <si>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10"/>
        <rFont val="Times New Roman"/>
        <family val="1"/>
      </rPr>
      <t>zlecone</t>
    </r>
    <r>
      <rPr>
        <sz val="10"/>
        <rFont val="Times New Roman"/>
        <family val="1"/>
      </rPr>
      <t xml:space="preserve"> (z budżetu państwa)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z tego:</t>
    </r>
  </si>
  <si>
    <t>DOCHODY OGÓŁEM   A+B+C+D</t>
  </si>
  <si>
    <t>92108</t>
  </si>
  <si>
    <t>75495</t>
  </si>
  <si>
    <t>Schronisko dla zwierząt</t>
  </si>
  <si>
    <t>Budowa parkingu przy ul. Budowniczych wraz z przebudową ulicy</t>
  </si>
  <si>
    <t>Adaptacja budynku przy ul.Kościuszki na mieszkania socjalne (300,0 tys. zł) i modernizacja lokalu użytkowego na mieszkania komunalne na ul.Matejki (100,0 tys. zł)</t>
  </si>
  <si>
    <t>"Bezpieczny i inteligentny Koszalin" - System Monitoringu Wizyjnego</t>
  </si>
  <si>
    <t>Monitoring boisk sportowych SP 10 i 17</t>
  </si>
  <si>
    <t>Budowa dwóch podjazdów oraz dostosowanie toalet do potrzeb osób niepełnosprawnych w budynku NFOZ</t>
  </si>
  <si>
    <t>Boiska sportowe przy Szkole Podstawowej nr 18</t>
  </si>
  <si>
    <t>Przebudowa ul.Niepodległości</t>
  </si>
  <si>
    <t>Przebudowa ul.Paproci i Wrzosów</t>
  </si>
  <si>
    <t>Chodniki i drogi ul.Żeromskiego 22-60</t>
  </si>
  <si>
    <t>92106</t>
  </si>
  <si>
    <t xml:space="preserve">PRZEZ  GMINĘ  I  POWIAT </t>
  </si>
  <si>
    <t>4210</t>
  </si>
  <si>
    <t>4248</t>
  </si>
  <si>
    <t>Zakup pomocy naukowych dydaktycznych i książek</t>
  </si>
  <si>
    <t>4249</t>
  </si>
  <si>
    <t>"System gospodarki odpadami oraz budowa zakładu termicznego9 przekstałcania odpadów dla miast o gmin Pomorza Środkowego</t>
  </si>
  <si>
    <t>stan na 31.07.2009 r.</t>
  </si>
  <si>
    <t>Data wprowadzenia do BIP: 07.08.2009 r.</t>
  </si>
  <si>
    <t>stan na 31.07.2009r.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</si>
</sst>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71">
    <font>
      <sz val="10"/>
      <name val="Arial CE"/>
      <family val="0"/>
    </font>
    <font>
      <sz val="8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b/>
      <sz val="13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  <font>
      <b/>
      <sz val="11"/>
      <name val="Arial CE"/>
      <family val="0"/>
    </font>
    <font>
      <b/>
      <sz val="11"/>
      <name val="Times New Roman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9"/>
      <name val="Times New Roman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>
      <alignment/>
      <protection/>
    </xf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164" fontId="2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5" xfId="0" applyFont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3" fontId="17" fillId="0" borderId="8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horizontal="right" vertical="center"/>
      <protection/>
    </xf>
    <xf numFmtId="3" fontId="17" fillId="0" borderId="12" xfId="0" applyNumberFormat="1" applyFont="1" applyFill="1" applyBorder="1" applyAlignment="1" applyProtection="1">
      <alignment horizontal="right" vertical="center"/>
      <protection/>
    </xf>
    <xf numFmtId="3" fontId="17" fillId="0" borderId="13" xfId="0" applyNumberFormat="1" applyFont="1" applyFill="1" applyBorder="1" applyAlignment="1" applyProtection="1">
      <alignment horizontal="right" vertical="center"/>
      <protection/>
    </xf>
    <xf numFmtId="3" fontId="17" fillId="0" borderId="14" xfId="0" applyNumberFormat="1" applyFont="1" applyFill="1" applyBorder="1" applyAlignment="1" applyProtection="1">
      <alignment horizontal="right" vertical="center"/>
      <protection/>
    </xf>
    <xf numFmtId="3" fontId="17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3" fontId="17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19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7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3" fontId="12" fillId="0" borderId="9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3" fontId="12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4" fontId="2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5" fillId="0" borderId="0" xfId="0" applyFont="1" applyBorder="1" applyAlignment="1">
      <alignment horizontal="centerContinuous"/>
    </xf>
    <xf numFmtId="4" fontId="25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24" fillId="0" borderId="30" xfId="0" applyFont="1" applyBorder="1" applyAlignment="1">
      <alignment horizontal="centerContinuous" vertical="center" wrapText="1"/>
    </xf>
    <xf numFmtId="0" fontId="29" fillId="0" borderId="30" xfId="0" applyFont="1" applyBorder="1" applyAlignment="1">
      <alignment horizontal="centerContinuous" vertical="center" wrapText="1"/>
    </xf>
    <xf numFmtId="0" fontId="24" fillId="0" borderId="26" xfId="0" applyFont="1" applyBorder="1" applyAlignment="1">
      <alignment horizontal="centerContinuous" vertical="center" wrapText="1"/>
    </xf>
    <xf numFmtId="4" fontId="24" fillId="0" borderId="26" xfId="0" applyNumberFormat="1" applyFont="1" applyBorder="1" applyAlignment="1">
      <alignment horizontal="centerContinuous" vertical="center" wrapText="1"/>
    </xf>
    <xf numFmtId="0" fontId="24" fillId="0" borderId="31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5" fontId="29" fillId="0" borderId="33" xfId="0" applyNumberFormat="1" applyFont="1" applyBorder="1" applyAlignment="1">
      <alignment horizontal="right" vertical="center" wrapText="1"/>
    </xf>
    <xf numFmtId="165" fontId="24" fillId="0" borderId="8" xfId="0" applyNumberFormat="1" applyFont="1" applyBorder="1" applyAlignment="1">
      <alignment horizontal="right" vertical="center" wrapText="1"/>
    </xf>
    <xf numFmtId="165" fontId="29" fillId="0" borderId="8" xfId="0" applyNumberFormat="1" applyFont="1" applyBorder="1" applyAlignment="1">
      <alignment horizontal="right" vertical="center" wrapText="1"/>
    </xf>
    <xf numFmtId="165" fontId="29" fillId="0" borderId="7" xfId="0" applyNumberFormat="1" applyFont="1" applyBorder="1" applyAlignment="1">
      <alignment horizontal="right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29" fillId="0" borderId="34" xfId="0" applyNumberFormat="1" applyFont="1" applyBorder="1" applyAlignment="1">
      <alignment vertical="center" wrapText="1"/>
    </xf>
    <xf numFmtId="165" fontId="29" fillId="0" borderId="7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/>
    </xf>
    <xf numFmtId="3" fontId="24" fillId="0" borderId="35" xfId="0" applyNumberFormat="1" applyFont="1" applyBorder="1" applyAlignment="1">
      <alignment horizontal="right" vertical="center" wrapText="1"/>
    </xf>
    <xf numFmtId="165" fontId="29" fillId="0" borderId="30" xfId="0" applyNumberFormat="1" applyFont="1" applyBorder="1" applyAlignment="1">
      <alignment horizontal="center" vertical="center" wrapText="1"/>
    </xf>
    <xf numFmtId="165" fontId="24" fillId="0" borderId="26" xfId="0" applyNumberFormat="1" applyFont="1" applyBorder="1" applyAlignment="1">
      <alignment horizontal="center" vertical="center" wrapText="1"/>
    </xf>
    <xf numFmtId="165" fontId="29" fillId="0" borderId="8" xfId="0" applyNumberFormat="1" applyFont="1" applyBorder="1" applyAlignment="1">
      <alignment horizontal="center" vertical="center" wrapText="1"/>
    </xf>
    <xf numFmtId="165" fontId="29" fillId="0" borderId="7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right" vertical="center" wrapText="1"/>
    </xf>
    <xf numFmtId="3" fontId="24" fillId="0" borderId="36" xfId="0" applyNumberFormat="1" applyFont="1" applyBorder="1" applyAlignment="1">
      <alignment vertical="center" wrapText="1"/>
    </xf>
    <xf numFmtId="165" fontId="24" fillId="0" borderId="33" xfId="0" applyNumberFormat="1" applyFont="1" applyBorder="1" applyAlignment="1">
      <alignment vertical="center" wrapText="1"/>
    </xf>
    <xf numFmtId="165" fontId="24" fillId="0" borderId="8" xfId="0" applyNumberFormat="1" applyFont="1" applyBorder="1" applyAlignment="1">
      <alignment vertical="center" wrapText="1"/>
    </xf>
    <xf numFmtId="3" fontId="24" fillId="0" borderId="37" xfId="0" applyNumberFormat="1" applyFont="1" applyBorder="1" applyAlignment="1">
      <alignment horizontal="right" vertical="center" wrapText="1"/>
    </xf>
    <xf numFmtId="165" fontId="24" fillId="0" borderId="15" xfId="0" applyNumberFormat="1" applyFont="1" applyBorder="1" applyAlignment="1">
      <alignment vertical="center" wrapText="1"/>
    </xf>
    <xf numFmtId="165" fontId="24" fillId="0" borderId="10" xfId="0" applyNumberFormat="1" applyFont="1" applyBorder="1" applyAlignment="1">
      <alignment vertical="center" wrapText="1"/>
    </xf>
    <xf numFmtId="165" fontId="24" fillId="0" borderId="14" xfId="0" applyNumberFormat="1" applyFont="1" applyBorder="1" applyAlignment="1">
      <alignment vertical="center" wrapText="1"/>
    </xf>
    <xf numFmtId="164" fontId="24" fillId="0" borderId="38" xfId="0" applyNumberFormat="1" applyFont="1" applyBorder="1" applyAlignment="1">
      <alignment vertical="center" wrapText="1"/>
    </xf>
    <xf numFmtId="164" fontId="24" fillId="0" borderId="10" xfId="0" applyNumberFormat="1" applyFont="1" applyBorder="1" applyAlignment="1">
      <alignment vertical="center" wrapText="1"/>
    </xf>
    <xf numFmtId="3" fontId="24" fillId="0" borderId="36" xfId="0" applyNumberFormat="1" applyFont="1" applyBorder="1" applyAlignment="1">
      <alignment horizontal="right" vertical="center" wrapText="1"/>
    </xf>
    <xf numFmtId="165" fontId="29" fillId="0" borderId="39" xfId="0" applyNumberFormat="1" applyFont="1" applyBorder="1" applyAlignment="1">
      <alignment horizontal="center" vertical="center" wrapText="1"/>
    </xf>
    <xf numFmtId="165" fontId="24" fillId="0" borderId="39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29" fillId="0" borderId="39" xfId="0" applyNumberFormat="1" applyFont="1" applyBorder="1" applyAlignment="1">
      <alignment vertical="center" wrapText="1"/>
    </xf>
    <xf numFmtId="165" fontId="29" fillId="0" borderId="1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3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>
      <alignment/>
    </xf>
    <xf numFmtId="165" fontId="28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" fontId="34" fillId="0" borderId="0" xfId="0" applyNumberFormat="1" applyFont="1" applyFill="1" applyBorder="1" applyAlignment="1" applyProtection="1">
      <alignment horizontal="right" vertical="center"/>
      <protection locked="0"/>
    </xf>
    <xf numFmtId="1" fontId="35" fillId="0" borderId="0" xfId="0" applyNumberFormat="1" applyFont="1" applyFill="1" applyBorder="1" applyAlignment="1" applyProtection="1">
      <alignment horizontal="fill" vertical="center"/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  <xf numFmtId="165" fontId="37" fillId="0" borderId="0" xfId="0" applyNumberFormat="1" applyFont="1" applyAlignment="1">
      <alignment/>
    </xf>
    <xf numFmtId="0" fontId="34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fill" vertical="center"/>
      <protection locked="0"/>
    </xf>
    <xf numFmtId="1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wrapText="1"/>
      <protection locked="0"/>
    </xf>
    <xf numFmtId="0" fontId="21" fillId="0" borderId="33" xfId="0" applyNumberFormat="1" applyFont="1" applyFill="1" applyBorder="1" applyAlignment="1" applyProtection="1">
      <alignment horizontal="center" wrapText="1"/>
      <protection locked="0"/>
    </xf>
    <xf numFmtId="0" fontId="5" fillId="0" borderId="36" xfId="0" applyNumberFormat="1" applyFont="1" applyFill="1" applyBorder="1" applyAlignment="1" applyProtection="1">
      <alignment horizontal="center" wrapText="1"/>
      <protection locked="0"/>
    </xf>
    <xf numFmtId="166" fontId="9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38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Fill="1" applyBorder="1" applyAlignment="1" applyProtection="1">
      <alignment horizontal="center" vertical="top" wrapText="1"/>
      <protection locked="0"/>
    </xf>
    <xf numFmtId="0" fontId="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166" fontId="39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1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2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3" xfId="0" applyNumberFormat="1" applyFont="1" applyFill="1" applyBorder="1" applyAlignment="1" applyProtection="1">
      <alignment vertical="center" wrapText="1"/>
      <protection locked="0"/>
    </xf>
    <xf numFmtId="3" fontId="13" fillId="0" borderId="44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13" fillId="0" borderId="47" xfId="0" applyNumberFormat="1" applyFont="1" applyFill="1" applyBorder="1" applyAlignment="1" applyProtection="1">
      <alignment vertical="center" wrapText="1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3" fillId="0" borderId="49" xfId="0" applyNumberFormat="1" applyFont="1" applyFill="1" applyBorder="1" applyAlignment="1" applyProtection="1">
      <alignment vertical="center"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44" xfId="0" applyNumberFormat="1" applyFont="1" applyFill="1" applyBorder="1" applyAlignment="1" applyProtection="1">
      <alignment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/>
      <protection locked="0"/>
    </xf>
    <xf numFmtId="0" fontId="13" fillId="0" borderId="43" xfId="0" applyNumberFormat="1" applyFont="1" applyFill="1" applyBorder="1" applyAlignment="1" applyProtection="1">
      <alignment/>
      <protection locked="0"/>
    </xf>
    <xf numFmtId="0" fontId="13" fillId="0" borderId="44" xfId="0" applyNumberFormat="1" applyFont="1" applyFill="1" applyBorder="1" applyAlignment="1" applyProtection="1">
      <alignment/>
      <protection locked="0"/>
    </xf>
    <xf numFmtId="0" fontId="13" fillId="0" borderId="42" xfId="0" applyNumberFormat="1" applyFont="1" applyFill="1" applyBorder="1" applyAlignment="1" applyProtection="1">
      <alignment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0" fontId="21" fillId="0" borderId="50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49" fontId="13" fillId="0" borderId="51" xfId="0" applyNumberFormat="1" applyFont="1" applyFill="1" applyBorder="1" applyAlignment="1" applyProtection="1">
      <alignment horizontal="centerContinuous" vertical="center"/>
      <protection locked="0"/>
    </xf>
    <xf numFmtId="0" fontId="5" fillId="0" borderId="52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" fontId="4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36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1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41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56" xfId="0" applyNumberFormat="1" applyFont="1" applyFill="1" applyBorder="1" applyAlignment="1" applyProtection="1">
      <alignment horizontal="centerContinuous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2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2" xfId="0" applyNumberFormat="1" applyFont="1" applyFill="1" applyBorder="1" applyAlignment="1" applyProtection="1">
      <alignment horizontal="center" vertical="center"/>
      <protection locked="0"/>
    </xf>
    <xf numFmtId="1" fontId="12" fillId="0" borderId="50" xfId="0" applyNumberFormat="1" applyFont="1" applyFill="1" applyBorder="1" applyAlignment="1" applyProtection="1">
      <alignment horizontal="center" vertical="center"/>
      <protection locked="0"/>
    </xf>
    <xf numFmtId="1" fontId="12" fillId="0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4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>
      <alignment/>
    </xf>
    <xf numFmtId="49" fontId="5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3" xfId="21" applyNumberFormat="1" applyFont="1" applyFill="1" applyBorder="1" applyAlignment="1" applyProtection="1">
      <alignment vertical="center" wrapText="1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3" fillId="0" borderId="66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1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65" xfId="0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7" fillId="0" borderId="38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42" fillId="0" borderId="1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49" fontId="13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67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Border="1" applyAlignment="1">
      <alignment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3" fontId="13" fillId="0" borderId="68" xfId="0" applyNumberFormat="1" applyFont="1" applyFill="1" applyBorder="1" applyAlignment="1" applyProtection="1">
      <alignment vertical="center"/>
      <protection locked="0"/>
    </xf>
    <xf numFmtId="3" fontId="13" fillId="0" borderId="69" xfId="0" applyNumberFormat="1" applyFont="1" applyFill="1" applyBorder="1" applyAlignment="1" applyProtection="1">
      <alignment vertical="center"/>
      <protection locked="0"/>
    </xf>
    <xf numFmtId="3" fontId="13" fillId="0" borderId="70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/>
    </xf>
    <xf numFmtId="164" fontId="13" fillId="0" borderId="67" xfId="21" applyNumberFormat="1" applyFont="1" applyFill="1" applyBorder="1" applyAlignment="1" applyProtection="1">
      <alignment horizontal="left" vertical="center" wrapText="1"/>
      <protection locked="0"/>
    </xf>
    <xf numFmtId="4" fontId="13" fillId="0" borderId="68" xfId="0" applyNumberFormat="1" applyFont="1" applyFill="1" applyBorder="1" applyAlignment="1" applyProtection="1">
      <alignment vertical="center"/>
      <protection locked="0"/>
    </xf>
    <xf numFmtId="4" fontId="13" fillId="0" borderId="43" xfId="0" applyNumberFormat="1" applyFont="1" applyFill="1" applyBorder="1" applyAlignment="1" applyProtection="1">
      <alignment vertical="center"/>
      <protection locked="0"/>
    </xf>
    <xf numFmtId="4" fontId="13" fillId="0" borderId="69" xfId="0" applyNumberFormat="1" applyFont="1" applyFill="1" applyBorder="1" applyAlignment="1" applyProtection="1">
      <alignment vertical="center"/>
      <protection locked="0"/>
    </xf>
    <xf numFmtId="4" fontId="13" fillId="0" borderId="70" xfId="0" applyNumberFormat="1" applyFont="1" applyFill="1" applyBorder="1" applyAlignment="1" applyProtection="1">
      <alignment vertical="center"/>
      <protection locked="0"/>
    </xf>
    <xf numFmtId="3" fontId="13" fillId="0" borderId="7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65" xfId="0" applyNumberFormat="1" applyFont="1" applyFill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 applyProtection="1">
      <alignment vertical="center"/>
      <protection locked="0"/>
    </xf>
    <xf numFmtId="4" fontId="4" fillId="0" borderId="38" xfId="0" applyNumberFormat="1" applyFont="1" applyFill="1" applyBorder="1" applyAlignment="1" applyProtection="1">
      <alignment vertical="center"/>
      <protection locked="0"/>
    </xf>
    <xf numFmtId="4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4" fontId="17" fillId="0" borderId="14" xfId="0" applyNumberFormat="1" applyFont="1" applyFill="1" applyBorder="1" applyAlignment="1" applyProtection="1">
      <alignment vertical="center"/>
      <protection locked="0"/>
    </xf>
    <xf numFmtId="4" fontId="17" fillId="0" borderId="38" xfId="0" applyNumberFormat="1" applyFont="1" applyFill="1" applyBorder="1" applyAlignment="1" applyProtection="1">
      <alignment vertical="center"/>
      <protection locked="0"/>
    </xf>
    <xf numFmtId="4" fontId="17" fillId="0" borderId="66" xfId="0" applyNumberFormat="1" applyFont="1" applyFill="1" applyBorder="1" applyAlignment="1" applyProtection="1">
      <alignment vertical="center"/>
      <protection locked="0"/>
    </xf>
    <xf numFmtId="1" fontId="5" fillId="0" borderId="35" xfId="0" applyNumberFormat="1" applyFont="1" applyFill="1" applyBorder="1" applyAlignment="1" applyProtection="1">
      <alignment horizontal="centerContinuous" vertical="center"/>
      <protection locked="0"/>
    </xf>
    <xf numFmtId="1" fontId="13" fillId="0" borderId="42" xfId="0" applyNumberFormat="1" applyFont="1" applyFill="1" applyBorder="1" applyAlignment="1" applyProtection="1">
      <alignment horizontal="centerContinuous"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71" xfId="0" applyNumberFormat="1" applyFont="1" applyFill="1" applyBorder="1" applyAlignment="1" applyProtection="1">
      <alignment vertical="center"/>
      <protection locked="0"/>
    </xf>
    <xf numFmtId="164" fontId="17" fillId="0" borderId="72" xfId="21" applyNumberFormat="1" applyFont="1" applyFill="1" applyBorder="1" applyAlignment="1" applyProtection="1">
      <alignment vertical="center" wrapText="1"/>
      <protection locked="0"/>
    </xf>
    <xf numFmtId="3" fontId="5" fillId="0" borderId="73" xfId="0" applyNumberFormat="1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74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1" fontId="4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42" fillId="0" borderId="65" xfId="0" applyNumberFormat="1" applyFont="1" applyFill="1" applyBorder="1" applyAlignment="1" applyProtection="1">
      <alignment vertical="center"/>
      <protection locked="0"/>
    </xf>
    <xf numFmtId="3" fontId="42" fillId="0" borderId="14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1" fontId="16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1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3" fontId="20" fillId="0" borderId="65" xfId="0" applyNumberFormat="1" applyFont="1" applyFill="1" applyBorder="1" applyAlignment="1" applyProtection="1">
      <alignment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38" xfId="0" applyNumberFormat="1" applyFont="1" applyFill="1" applyBorder="1" applyAlignment="1" applyProtection="1">
      <alignment vertical="center"/>
      <protection locked="0"/>
    </xf>
    <xf numFmtId="3" fontId="20" fillId="0" borderId="66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1" fontId="16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7" xfId="0" applyNumberFormat="1" applyFont="1" applyBorder="1" applyAlignment="1">
      <alignment vertical="center" wrapText="1"/>
    </xf>
    <xf numFmtId="3" fontId="17" fillId="0" borderId="75" xfId="0" applyNumberFormat="1" applyFont="1" applyFill="1" applyBorder="1" applyAlignment="1" applyProtection="1">
      <alignment vertical="center"/>
      <protection locked="0"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3" fontId="18" fillId="0" borderId="76" xfId="0" applyNumberFormat="1" applyFont="1" applyFill="1" applyBorder="1" applyAlignment="1" applyProtection="1">
      <alignment vertical="center"/>
      <protection locked="0"/>
    </xf>
    <xf numFmtId="3" fontId="17" fillId="0" borderId="77" xfId="0" applyNumberFormat="1" applyFont="1" applyFill="1" applyBorder="1" applyAlignment="1" applyProtection="1">
      <alignment vertical="center"/>
      <protection locked="0"/>
    </xf>
    <xf numFmtId="3" fontId="17" fillId="0" borderId="76" xfId="0" applyNumberFormat="1" applyFont="1" applyFill="1" applyBorder="1" applyAlignment="1" applyProtection="1">
      <alignment vertical="center"/>
      <protection locked="0"/>
    </xf>
    <xf numFmtId="3" fontId="17" fillId="0" borderId="78" xfId="0" applyNumberFormat="1" applyFont="1" applyFill="1" applyBorder="1" applyAlignment="1" applyProtection="1">
      <alignment vertical="center"/>
      <protection locked="0"/>
    </xf>
    <xf numFmtId="3" fontId="42" fillId="0" borderId="21" xfId="0" applyNumberFormat="1" applyFont="1" applyFill="1" applyBorder="1" applyAlignment="1" applyProtection="1">
      <alignment vertical="center"/>
      <protection locked="0"/>
    </xf>
    <xf numFmtId="1" fontId="1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72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79" xfId="0" applyNumberFormat="1" applyFont="1" applyFill="1" applyBorder="1" applyAlignment="1" applyProtection="1">
      <alignment horizontal="right" vertical="center"/>
      <protection locked="0"/>
    </xf>
    <xf numFmtId="3" fontId="13" fillId="0" borderId="80" xfId="0" applyNumberFormat="1" applyFont="1" applyFill="1" applyBorder="1" applyAlignment="1" applyProtection="1">
      <alignment horizontal="right" vertical="center"/>
      <protection locked="0"/>
    </xf>
    <xf numFmtId="3" fontId="13" fillId="0" borderId="81" xfId="0" applyNumberFormat="1" applyFont="1" applyFill="1" applyBorder="1" applyAlignment="1" applyProtection="1">
      <alignment horizontal="right" vertical="center"/>
      <protection locked="0"/>
    </xf>
    <xf numFmtId="3" fontId="13" fillId="0" borderId="82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>
      <alignment/>
    </xf>
    <xf numFmtId="1" fontId="17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72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79" xfId="0" applyNumberFormat="1" applyFont="1" applyFill="1" applyBorder="1" applyAlignment="1" applyProtection="1">
      <alignment horizontal="right" vertical="center"/>
      <protection locked="0"/>
    </xf>
    <xf numFmtId="3" fontId="17" fillId="0" borderId="80" xfId="0" applyNumberFormat="1" applyFont="1" applyFill="1" applyBorder="1" applyAlignment="1" applyProtection="1">
      <alignment horizontal="right" vertical="center"/>
      <protection locked="0"/>
    </xf>
    <xf numFmtId="3" fontId="17" fillId="0" borderId="81" xfId="0" applyNumberFormat="1" applyFont="1" applyFill="1" applyBorder="1" applyAlignment="1" applyProtection="1">
      <alignment horizontal="right" vertical="center"/>
      <protection locked="0"/>
    </xf>
    <xf numFmtId="3" fontId="17" fillId="0" borderId="82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79" xfId="0" applyNumberFormat="1" applyFont="1" applyFill="1" applyBorder="1" applyAlignment="1" applyProtection="1">
      <alignment vertical="center"/>
      <protection locked="0"/>
    </xf>
    <xf numFmtId="3" fontId="17" fillId="0" borderId="80" xfId="0" applyNumberFormat="1" applyFont="1" applyFill="1" applyBorder="1" applyAlignment="1" applyProtection="1">
      <alignment vertical="center"/>
      <protection locked="0"/>
    </xf>
    <xf numFmtId="3" fontId="17" fillId="0" borderId="81" xfId="0" applyNumberFormat="1" applyFont="1" applyFill="1" applyBorder="1" applyAlignment="1" applyProtection="1">
      <alignment vertical="center"/>
      <protection locked="0"/>
    </xf>
    <xf numFmtId="3" fontId="17" fillId="0" borderId="82" xfId="0" applyNumberFormat="1" applyFont="1" applyFill="1" applyBorder="1" applyAlignment="1" applyProtection="1">
      <alignment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 wrapText="1"/>
    </xf>
    <xf numFmtId="164" fontId="13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1" fontId="17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72" xfId="21" applyNumberFormat="1" applyFont="1" applyFill="1" applyBorder="1" applyAlignment="1" applyProtection="1">
      <alignment horizontal="left"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3" fontId="42" fillId="0" borderId="82" xfId="0" applyNumberFormat="1" applyFont="1" applyFill="1" applyBorder="1" applyAlignment="1" applyProtection="1">
      <alignment vertical="center"/>
      <protection locked="0"/>
    </xf>
    <xf numFmtId="3" fontId="42" fillId="0" borderId="32" xfId="0" applyNumberFormat="1" applyFont="1" applyFill="1" applyBorder="1" applyAlignment="1" applyProtection="1">
      <alignment vertical="center"/>
      <protection locked="0"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2" xfId="21" applyNumberFormat="1" applyFont="1" applyFill="1" applyBorder="1" applyAlignment="1" applyProtection="1">
      <alignment vertical="center" wrapText="1"/>
      <protection locked="0"/>
    </xf>
    <xf numFmtId="3" fontId="20" fillId="0" borderId="79" xfId="0" applyNumberFormat="1" applyFont="1" applyFill="1" applyBorder="1" applyAlignment="1" applyProtection="1">
      <alignment vertical="center"/>
      <protection locked="0"/>
    </xf>
    <xf numFmtId="3" fontId="20" fillId="0" borderId="80" xfId="0" applyNumberFormat="1" applyFont="1" applyFill="1" applyBorder="1" applyAlignment="1" applyProtection="1">
      <alignment vertical="center"/>
      <protection locked="0"/>
    </xf>
    <xf numFmtId="3" fontId="20" fillId="0" borderId="81" xfId="0" applyNumberFormat="1" applyFont="1" applyFill="1" applyBorder="1" applyAlignment="1" applyProtection="1">
      <alignment vertical="center"/>
      <protection locked="0"/>
    </xf>
    <xf numFmtId="3" fontId="20" fillId="0" borderId="82" xfId="0" applyNumberFormat="1" applyFont="1" applyFill="1" applyBorder="1" applyAlignment="1" applyProtection="1">
      <alignment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13" fillId="0" borderId="67" xfId="21" applyNumberFormat="1" applyFont="1" applyFill="1" applyBorder="1" applyAlignment="1" applyProtection="1">
      <alignment vertical="center" wrapText="1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1" fontId="18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66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164" fontId="18" fillId="0" borderId="0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4" fontId="17" fillId="0" borderId="85" xfId="21" applyNumberFormat="1" applyFont="1" applyFill="1" applyBorder="1" applyAlignment="1" applyProtection="1">
      <alignment horizontal="left"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16" fillId="0" borderId="76" xfId="0" applyNumberFormat="1" applyFont="1" applyFill="1" applyBorder="1" applyAlignment="1" applyProtection="1">
      <alignment vertical="center"/>
      <protection locked="0"/>
    </xf>
    <xf numFmtId="3" fontId="42" fillId="0" borderId="78" xfId="0" applyNumberFormat="1" applyFont="1" applyFill="1" applyBorder="1" applyAlignment="1" applyProtection="1">
      <alignment vertical="center"/>
      <protection locked="0"/>
    </xf>
    <xf numFmtId="3" fontId="16" fillId="0" borderId="78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64" fontId="13" fillId="0" borderId="72" xfId="21" applyNumberFormat="1" applyFont="1" applyFill="1" applyBorder="1" applyAlignment="1" applyProtection="1">
      <alignment vertical="center" wrapText="1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13" fillId="0" borderId="81" xfId="0" applyNumberFormat="1" applyFont="1" applyFill="1" applyBorder="1" applyAlignment="1" applyProtection="1">
      <alignment vertical="center"/>
      <protection locked="0"/>
    </xf>
    <xf numFmtId="3" fontId="13" fillId="0" borderId="82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7" xfId="21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>
      <alignment/>
    </xf>
    <xf numFmtId="3" fontId="42" fillId="0" borderId="86" xfId="0" applyNumberFormat="1" applyFont="1" applyFill="1" applyBorder="1" applyAlignment="1" applyProtection="1">
      <alignment vertical="center"/>
      <protection locked="0"/>
    </xf>
    <xf numFmtId="3" fontId="42" fillId="0" borderId="0" xfId="0" applyNumberFormat="1" applyFont="1" applyFill="1" applyBorder="1" applyAlignment="1" applyProtection="1">
      <alignment vertical="center"/>
      <protection locked="0"/>
    </xf>
    <xf numFmtId="1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85" xfId="21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12" fillId="0" borderId="79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1" fontId="4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horizontal="right" vertical="center"/>
      <protection locked="0"/>
    </xf>
    <xf numFmtId="3" fontId="3" fillId="0" borderId="89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17" fillId="0" borderId="57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centerContinuous" vertical="center"/>
      <protection locked="0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15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Border="1" applyAlignment="1">
      <alignment/>
    </xf>
    <xf numFmtId="1" fontId="5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91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42" fillId="0" borderId="37" xfId="0" applyNumberFormat="1" applyFont="1" applyFill="1" applyBorder="1" applyAlignment="1" applyProtection="1">
      <alignment vertical="center"/>
      <protection locked="0"/>
    </xf>
    <xf numFmtId="3" fontId="42" fillId="0" borderId="10" xfId="0" applyNumberFormat="1" applyFont="1" applyFill="1" applyBorder="1" applyAlignment="1" applyProtection="1">
      <alignment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42" fillId="0" borderId="79" xfId="0" applyNumberFormat="1" applyFont="1" applyFill="1" applyBorder="1" applyAlignment="1" applyProtection="1">
      <alignment vertical="center"/>
      <protection locked="0"/>
    </xf>
    <xf numFmtId="3" fontId="42" fillId="0" borderId="80" xfId="0" applyNumberFormat="1" applyFont="1" applyFill="1" applyBorder="1" applyAlignment="1" applyProtection="1">
      <alignment vertical="center"/>
      <protection locked="0"/>
    </xf>
    <xf numFmtId="3" fontId="4" fillId="0" borderId="70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164" fontId="13" fillId="0" borderId="67" xfId="0" applyNumberFormat="1" applyFont="1" applyBorder="1" applyAlignment="1">
      <alignment vertical="center" wrapText="1"/>
    </xf>
    <xf numFmtId="3" fontId="17" fillId="0" borderId="86" xfId="0" applyNumberFormat="1" applyFont="1" applyFill="1" applyBorder="1" applyAlignment="1" applyProtection="1">
      <alignment vertical="center"/>
      <protection locked="0"/>
    </xf>
    <xf numFmtId="1" fontId="13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3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92" xfId="0" applyNumberFormat="1" applyFont="1" applyFill="1" applyBorder="1" applyAlignment="1" applyProtection="1">
      <alignment vertical="center"/>
      <protection locked="0"/>
    </xf>
    <xf numFmtId="1" fontId="17" fillId="0" borderId="47" xfId="0" applyNumberFormat="1" applyFont="1" applyFill="1" applyBorder="1" applyAlignment="1" applyProtection="1">
      <alignment horizontal="centerContinuous" vertical="center"/>
      <protection locked="0"/>
    </xf>
    <xf numFmtId="3" fontId="3" fillId="0" borderId="48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93" xfId="0" applyNumberFormat="1" applyFont="1" applyFill="1" applyBorder="1" applyAlignment="1" applyProtection="1">
      <alignment vertical="center"/>
      <protection locked="0"/>
    </xf>
    <xf numFmtId="1" fontId="13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85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75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76" xfId="0" applyNumberFormat="1" applyFont="1" applyFill="1" applyBorder="1" applyAlignment="1" applyProtection="1">
      <alignment vertical="center"/>
      <protection locked="0"/>
    </xf>
    <xf numFmtId="3" fontId="5" fillId="0" borderId="78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13" fillId="0" borderId="93" xfId="0" applyNumberFormat="1" applyFont="1" applyFill="1" applyBorder="1" applyAlignment="1" applyProtection="1">
      <alignment vertical="center"/>
      <protection locked="0"/>
    </xf>
    <xf numFmtId="3" fontId="17" fillId="0" borderId="48" xfId="0" applyNumberFormat="1" applyFont="1" applyFill="1" applyBorder="1" applyAlignment="1" applyProtection="1">
      <alignment vertical="center"/>
      <protection locked="0"/>
    </xf>
    <xf numFmtId="1" fontId="5" fillId="0" borderId="94" xfId="0" applyNumberFormat="1" applyFont="1" applyFill="1" applyBorder="1" applyAlignment="1" applyProtection="1">
      <alignment horizontal="centerContinuous" vertical="center"/>
      <protection locked="0"/>
    </xf>
    <xf numFmtId="3" fontId="5" fillId="0" borderId="95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5" fillId="0" borderId="96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164" fontId="5" fillId="0" borderId="87" xfId="0" applyNumberFormat="1" applyFont="1" applyBorder="1" applyAlignment="1">
      <alignment/>
    </xf>
    <xf numFmtId="164" fontId="4" fillId="0" borderId="85" xfId="21" applyNumberFormat="1" applyFont="1" applyFill="1" applyBorder="1" applyAlignment="1" applyProtection="1">
      <alignment vertical="center" wrapText="1"/>
      <protection locked="0"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13" fillId="0" borderId="66" xfId="0" applyNumberFormat="1" applyFont="1" applyFill="1" applyBorder="1" applyAlignment="1" applyProtection="1">
      <alignment vertical="center"/>
      <protection locked="0"/>
    </xf>
    <xf numFmtId="164" fontId="4" fillId="0" borderId="87" xfId="21" applyNumberFormat="1" applyFont="1" applyFill="1" applyBorder="1" applyAlignment="1" applyProtection="1">
      <alignment vertical="center" wrapText="1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164" fontId="4" fillId="0" borderId="72" xfId="21" applyNumberFormat="1" applyFont="1" applyFill="1" applyBorder="1" applyAlignment="1" applyProtection="1">
      <alignment vertical="center" wrapText="1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13" fillId="0" borderId="84" xfId="0" applyNumberFormat="1" applyFont="1" applyFill="1" applyBorder="1" applyAlignment="1" applyProtection="1">
      <alignment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horizontal="right" vertical="center"/>
      <protection locked="0"/>
    </xf>
    <xf numFmtId="3" fontId="17" fillId="0" borderId="72" xfId="0" applyNumberFormat="1" applyFont="1" applyFill="1" applyBorder="1" applyAlignment="1" applyProtection="1">
      <alignment vertical="center"/>
      <protection locked="0"/>
    </xf>
    <xf numFmtId="3" fontId="17" fillId="0" borderId="98" xfId="0" applyNumberFormat="1" applyFont="1" applyFill="1" applyBorder="1" applyAlignment="1" applyProtection="1">
      <alignment vertical="center"/>
      <protection locked="0"/>
    </xf>
    <xf numFmtId="164" fontId="13" fillId="0" borderId="23" xfId="21" applyNumberFormat="1" applyFont="1" applyFill="1" applyBorder="1" applyAlignment="1" applyProtection="1">
      <alignment vertical="center" wrapText="1"/>
      <protection locked="0"/>
    </xf>
    <xf numFmtId="3" fontId="13" fillId="0" borderId="88" xfId="0" applyNumberFormat="1" applyFont="1" applyFill="1" applyBorder="1" applyAlignment="1" applyProtection="1">
      <alignment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85" xfId="21" applyNumberFormat="1" applyFont="1" applyFill="1" applyBorder="1" applyAlignment="1" applyProtection="1">
      <alignment vertical="center" wrapText="1"/>
      <protection locked="0"/>
    </xf>
    <xf numFmtId="164" fontId="17" fillId="0" borderId="10" xfId="21" applyNumberFormat="1" applyFont="1" applyFill="1" applyBorder="1" applyAlignment="1" applyProtection="1">
      <alignment vertical="center" wrapText="1"/>
      <protection locked="0"/>
    </xf>
    <xf numFmtId="1" fontId="18" fillId="0" borderId="16" xfId="0" applyNumberFormat="1" applyFont="1" applyFill="1" applyBorder="1" applyAlignment="1" applyProtection="1">
      <alignment horizontal="centerContinuous" vertical="center"/>
      <protection locked="0"/>
    </xf>
    <xf numFmtId="3" fontId="42" fillId="0" borderId="85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18" fillId="0" borderId="31" xfId="0" applyNumberFormat="1" applyFont="1" applyFill="1" applyBorder="1" applyAlignment="1" applyProtection="1">
      <alignment horizontal="centerContinuous" vertical="center"/>
      <protection locked="0"/>
    </xf>
    <xf numFmtId="3" fontId="5" fillId="0" borderId="79" xfId="0" applyNumberFormat="1" applyFont="1" applyFill="1" applyBorder="1" applyAlignment="1" applyProtection="1">
      <alignment vertical="center"/>
      <protection locked="0"/>
    </xf>
    <xf numFmtId="3" fontId="5" fillId="0" borderId="80" xfId="0" applyNumberFormat="1" applyFont="1" applyFill="1" applyBorder="1" applyAlignment="1" applyProtection="1">
      <alignment vertical="center"/>
      <protection locked="0"/>
    </xf>
    <xf numFmtId="3" fontId="5" fillId="0" borderId="81" xfId="0" applyNumberFormat="1" applyFont="1" applyFill="1" applyBorder="1" applyAlignment="1" applyProtection="1">
      <alignment vertical="center"/>
      <protection locked="0"/>
    </xf>
    <xf numFmtId="3" fontId="5" fillId="0" borderId="8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1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17" fillId="0" borderId="1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88" xfId="0" applyNumberFormat="1" applyFont="1" applyFill="1" applyBorder="1" applyAlignment="1" applyProtection="1">
      <alignment vertical="center"/>
      <protection locked="0"/>
    </xf>
    <xf numFmtId="3" fontId="17" fillId="0" borderId="89" xfId="0" applyNumberFormat="1" applyFont="1" applyFill="1" applyBorder="1" applyAlignment="1" applyProtection="1">
      <alignment vertical="center"/>
      <protection locked="0"/>
    </xf>
    <xf numFmtId="1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7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99" xfId="0" applyNumberFormat="1" applyFont="1" applyFill="1" applyBorder="1" applyAlignment="1" applyProtection="1">
      <alignment vertical="center"/>
      <protection locked="0"/>
    </xf>
    <xf numFmtId="49" fontId="17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97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vertical="center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164" fontId="5" fillId="0" borderId="100" xfId="21" applyNumberFormat="1" applyFont="1" applyFill="1" applyBorder="1" applyAlignment="1" applyProtection="1">
      <alignment vertical="center" wrapText="1"/>
      <protection locked="0"/>
    </xf>
    <xf numFmtId="3" fontId="5" fillId="0" borderId="100" xfId="0" applyNumberFormat="1" applyFont="1" applyFill="1" applyBorder="1" applyAlignment="1" applyProtection="1">
      <alignment vertical="center"/>
      <protection locked="0"/>
    </xf>
    <xf numFmtId="3" fontId="5" fillId="0" borderId="101" xfId="0" applyNumberFormat="1" applyFont="1" applyFill="1" applyBorder="1" applyAlignment="1" applyProtection="1">
      <alignment vertical="center"/>
      <protection locked="0"/>
    </xf>
    <xf numFmtId="3" fontId="17" fillId="0" borderId="37" xfId="0" applyNumberFormat="1" applyFont="1" applyFill="1" applyBorder="1" applyAlignment="1" applyProtection="1">
      <alignment vertical="center"/>
      <protection locked="0"/>
    </xf>
    <xf numFmtId="164" fontId="5" fillId="0" borderId="10" xfId="21" applyNumberFormat="1" applyFont="1" applyFill="1" applyBorder="1" applyAlignment="1" applyProtection="1">
      <alignment vertical="center" wrapText="1"/>
      <protection locked="0"/>
    </xf>
    <xf numFmtId="3" fontId="42" fillId="0" borderId="72" xfId="0" applyNumberFormat="1" applyFont="1" applyFill="1" applyBorder="1" applyAlignment="1" applyProtection="1">
      <alignment vertical="center"/>
      <protection locked="0"/>
    </xf>
    <xf numFmtId="3" fontId="17" fillId="0" borderId="102" xfId="0" applyNumberFormat="1" applyFont="1" applyFill="1" applyBorder="1" applyAlignment="1" applyProtection="1">
      <alignment vertical="center"/>
      <protection locked="0"/>
    </xf>
    <xf numFmtId="1" fontId="13" fillId="0" borderId="10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04" xfId="21" applyNumberFormat="1" applyFont="1" applyFill="1" applyBorder="1" applyAlignment="1" applyProtection="1">
      <alignment vertical="center" wrapText="1"/>
      <protection locked="0"/>
    </xf>
    <xf numFmtId="3" fontId="13" fillId="0" borderId="105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vertical="center"/>
      <protection locked="0"/>
    </xf>
    <xf numFmtId="164" fontId="4" fillId="0" borderId="10" xfId="21" applyNumberFormat="1" applyFont="1" applyFill="1" applyBorder="1" applyAlignment="1" applyProtection="1">
      <alignment vertical="center" wrapText="1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3" fillId="0" borderId="106" xfId="0" applyNumberFormat="1" applyFont="1" applyFill="1" applyBorder="1" applyAlignment="1" applyProtection="1">
      <alignment horizontal="right" vertical="center"/>
      <protection locked="0"/>
    </xf>
    <xf numFmtId="3" fontId="13" fillId="0" borderId="98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164" fontId="17" fillId="0" borderId="102" xfId="21" applyNumberFormat="1" applyFont="1" applyFill="1" applyBorder="1" applyAlignment="1" applyProtection="1">
      <alignment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21" applyNumberFormat="1" applyFont="1" applyFill="1" applyBorder="1" applyAlignment="1" applyProtection="1">
      <alignment vertical="center" wrapText="1"/>
      <protection locked="0"/>
    </xf>
    <xf numFmtId="3" fontId="13" fillId="0" borderId="107" xfId="0" applyNumberFormat="1" applyFont="1" applyFill="1" applyBorder="1" applyAlignment="1" applyProtection="1">
      <alignment vertical="center"/>
      <protection locked="0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164" fontId="4" fillId="0" borderId="67" xfId="21" applyNumberFormat="1" applyFont="1" applyFill="1" applyBorder="1" applyAlignment="1" applyProtection="1">
      <alignment vertical="center" wrapText="1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vertical="center"/>
      <protection locked="0"/>
    </xf>
    <xf numFmtId="3" fontId="13" fillId="0" borderId="108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109" xfId="0" applyNumberFormat="1" applyFont="1" applyFill="1" applyBorder="1" applyAlignment="1" applyProtection="1">
      <alignment horizontal="right" vertical="center"/>
      <protection locked="0"/>
    </xf>
    <xf numFmtId="1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87" xfId="21" applyNumberFormat="1" applyFont="1" applyFill="1" applyBorder="1" applyAlignment="1" applyProtection="1">
      <alignment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/>
      <protection locked="0"/>
    </xf>
    <xf numFmtId="164" fontId="17" fillId="0" borderId="38" xfId="21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76" xfId="21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1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106" xfId="0" applyNumberFormat="1" applyFont="1" applyFill="1" applyBorder="1" applyAlignment="1" applyProtection="1">
      <alignment vertical="center"/>
      <protection locked="0"/>
    </xf>
    <xf numFmtId="164" fontId="12" fillId="0" borderId="81" xfId="21" applyNumberFormat="1" applyFont="1" applyFill="1" applyBorder="1" applyAlignment="1" applyProtection="1">
      <alignment vertical="center" wrapText="1"/>
      <protection locked="0"/>
    </xf>
    <xf numFmtId="3" fontId="42" fillId="0" borderId="71" xfId="0" applyNumberFormat="1" applyFont="1" applyFill="1" applyBorder="1" applyAlignment="1" applyProtection="1">
      <alignment horizontal="right" vertical="center"/>
      <protection locked="0"/>
    </xf>
    <xf numFmtId="3" fontId="42" fillId="0" borderId="38" xfId="0" applyNumberFormat="1" applyFont="1" applyFill="1" applyBorder="1" applyAlignment="1" applyProtection="1">
      <alignment horizontal="right"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42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17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164" fontId="5" fillId="0" borderId="28" xfId="21" applyNumberFormat="1" applyFont="1" applyFill="1" applyBorder="1" applyAlignment="1" applyProtection="1">
      <alignment vertical="center" wrapText="1"/>
      <protection locked="0"/>
    </xf>
    <xf numFmtId="3" fontId="42" fillId="0" borderId="98" xfId="0" applyNumberFormat="1" applyFont="1" applyFill="1" applyBorder="1" applyAlignment="1" applyProtection="1">
      <alignment vertical="center"/>
      <protection locked="0"/>
    </xf>
    <xf numFmtId="164" fontId="5" fillId="0" borderId="102" xfId="21" applyNumberFormat="1" applyFont="1" applyFill="1" applyBorder="1" applyAlignment="1" applyProtection="1">
      <alignment vertical="center" wrapText="1"/>
      <protection locked="0"/>
    </xf>
    <xf numFmtId="3" fontId="3" fillId="0" borderId="57" xfId="0" applyNumberFormat="1" applyFont="1" applyFill="1" applyBorder="1" applyAlignment="1" applyProtection="1">
      <alignment vertical="center"/>
      <protection locked="0"/>
    </xf>
    <xf numFmtId="164" fontId="5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71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1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85" xfId="21" applyNumberFormat="1" applyFont="1" applyFill="1" applyBorder="1" applyAlignment="1" applyProtection="1">
      <alignment vertical="center" wrapText="1"/>
      <protection locked="0"/>
    </xf>
    <xf numFmtId="3" fontId="12" fillId="0" borderId="76" xfId="0" applyNumberFormat="1" applyFont="1" applyFill="1" applyBorder="1" applyAlignment="1" applyProtection="1">
      <alignment vertical="center"/>
      <protection locked="0"/>
    </xf>
    <xf numFmtId="3" fontId="12" fillId="0" borderId="77" xfId="0" applyNumberFormat="1" applyFont="1" applyFill="1" applyBorder="1" applyAlignment="1" applyProtection="1">
      <alignment vertical="center"/>
      <protection locked="0"/>
    </xf>
    <xf numFmtId="3" fontId="11" fillId="0" borderId="76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64" fontId="13" fillId="0" borderId="83" xfId="21" applyNumberFormat="1" applyFont="1" applyFill="1" applyBorder="1" applyAlignment="1" applyProtection="1">
      <alignment vertical="center" wrapText="1"/>
      <protection locked="0"/>
    </xf>
    <xf numFmtId="164" fontId="12" fillId="0" borderId="10" xfId="21" applyNumberFormat="1" applyFont="1" applyFill="1" applyBorder="1" applyAlignment="1" applyProtection="1">
      <alignment vertical="center" wrapText="1"/>
      <protection locked="0"/>
    </xf>
    <xf numFmtId="0" fontId="5" fillId="0" borderId="100" xfId="0" applyFont="1" applyBorder="1" applyAlignment="1">
      <alignment vertical="center" wrapText="1"/>
    </xf>
    <xf numFmtId="1" fontId="16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02" xfId="21" applyNumberFormat="1" applyFont="1" applyFill="1" applyBorder="1" applyAlignment="1" applyProtection="1">
      <alignment vertical="center" wrapText="1"/>
      <protection locked="0"/>
    </xf>
    <xf numFmtId="1" fontId="13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10" xfId="21" applyNumberFormat="1" applyFont="1" applyFill="1" applyBorder="1" applyAlignment="1" applyProtection="1">
      <alignment vertical="center" wrapText="1"/>
      <protection locked="0"/>
    </xf>
    <xf numFmtId="164" fontId="21" fillId="0" borderId="23" xfId="21" applyNumberFormat="1" applyFont="1" applyFill="1" applyBorder="1" applyAlignment="1" applyProtection="1">
      <alignment vertical="center" wrapText="1"/>
      <protection locked="0"/>
    </xf>
    <xf numFmtId="1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7" fillId="0" borderId="11" xfId="0" applyNumberFormat="1" applyFont="1" applyBorder="1" applyAlignment="1">
      <alignment vertical="center"/>
    </xf>
    <xf numFmtId="3" fontId="17" fillId="0" borderId="66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3" fontId="17" fillId="0" borderId="71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3" fontId="12" fillId="0" borderId="66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1" fontId="43" fillId="0" borderId="11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66" xfId="0" applyNumberFormat="1" applyFont="1" applyFill="1" applyBorder="1" applyAlignment="1">
      <alignment vertical="center"/>
    </xf>
    <xf numFmtId="164" fontId="43" fillId="0" borderId="0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vertical="center"/>
    </xf>
    <xf numFmtId="3" fontId="13" fillId="0" borderId="66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" fontId="17" fillId="0" borderId="16" xfId="0" applyNumberFormat="1" applyFont="1" applyBorder="1" applyAlignment="1">
      <alignment vertical="center"/>
    </xf>
    <xf numFmtId="164" fontId="17" fillId="0" borderId="85" xfId="0" applyNumberFormat="1" applyFont="1" applyBorder="1" applyAlignment="1">
      <alignment vertical="center" wrapText="1"/>
    </xf>
    <xf numFmtId="3" fontId="17" fillId="0" borderId="85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1" fillId="0" borderId="92" xfId="0" applyNumberFormat="1" applyFont="1" applyFill="1" applyBorder="1" applyAlignment="1" applyProtection="1">
      <alignment horizontal="centerContinuous" vertical="center"/>
      <protection/>
    </xf>
    <xf numFmtId="0" fontId="21" fillId="0" borderId="23" xfId="0" applyNumberFormat="1" applyFont="1" applyFill="1" applyBorder="1" applyAlignment="1" applyProtection="1">
      <alignment horizontal="centerContinuous" vertical="center"/>
      <protection/>
    </xf>
    <xf numFmtId="164" fontId="38" fillId="0" borderId="29" xfId="0" applyNumberFormat="1" applyFont="1" applyFill="1" applyBorder="1" applyAlignment="1" applyProtection="1">
      <alignment horizontal="centerContinuous" vertical="center"/>
      <protection/>
    </xf>
    <xf numFmtId="0" fontId="21" fillId="0" borderId="30" xfId="0" applyNumberFormat="1" applyFont="1" applyFill="1" applyBorder="1" applyAlignment="1" applyProtection="1">
      <alignment horizontal="centerContinuous" vertical="center"/>
      <protection/>
    </xf>
    <xf numFmtId="0" fontId="38" fillId="0" borderId="29" xfId="0" applyNumberFormat="1" applyFont="1" applyFill="1" applyBorder="1" applyAlignment="1" applyProtection="1">
      <alignment horizontal="centerContinuous" vertical="center"/>
      <protection/>
    </xf>
    <xf numFmtId="0" fontId="21" fillId="0" borderId="3" xfId="0" applyNumberFormat="1" applyFont="1" applyFill="1" applyBorder="1" applyAlignment="1" applyProtection="1">
      <alignment horizontal="centerContinuous" vertical="center"/>
      <protection/>
    </xf>
    <xf numFmtId="0" fontId="12" fillId="0" borderId="111" xfId="0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5" fillId="0" borderId="112" xfId="0" applyNumberFormat="1" applyFont="1" applyFill="1" applyBorder="1" applyAlignment="1" applyProtection="1">
      <alignment horizontal="center" vertical="center" wrapText="1"/>
      <protection/>
    </xf>
    <xf numFmtId="0" fontId="15" fillId="0" borderId="11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1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1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116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117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vertical="center"/>
      <protection/>
    </xf>
    <xf numFmtId="3" fontId="13" fillId="0" borderId="118" xfId="0" applyNumberFormat="1" applyFont="1" applyFill="1" applyBorder="1" applyAlignment="1" applyProtection="1">
      <alignment vertical="center"/>
      <protection/>
    </xf>
    <xf numFmtId="3" fontId="13" fillId="0" borderId="44" xfId="0" applyNumberFormat="1" applyFont="1" applyFill="1" applyBorder="1" applyAlignment="1" applyProtection="1">
      <alignment vertical="center"/>
      <protection/>
    </xf>
    <xf numFmtId="3" fontId="4" fillId="0" borderId="119" xfId="0" applyNumberFormat="1" applyFont="1" applyFill="1" applyBorder="1" applyAlignment="1" applyProtection="1">
      <alignment vertical="center"/>
      <protection/>
    </xf>
    <xf numFmtId="3" fontId="4" fillId="0" borderId="120" xfId="0" applyNumberFormat="1" applyFont="1" applyFill="1" applyBorder="1" applyAlignment="1" applyProtection="1">
      <alignment vertical="center"/>
      <protection/>
    </xf>
    <xf numFmtId="3" fontId="12" fillId="0" borderId="121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12" fillId="0" borderId="122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123" xfId="0" applyNumberFormat="1" applyFont="1" applyFill="1" applyBorder="1" applyAlignment="1" applyProtection="1">
      <alignment vertical="center"/>
      <protection/>
    </xf>
    <xf numFmtId="0" fontId="15" fillId="0" borderId="44" xfId="0" applyNumberFormat="1" applyFont="1" applyFill="1" applyBorder="1" applyAlignment="1" applyProtection="1">
      <alignment vertical="center" wrapText="1"/>
      <protection/>
    </xf>
    <xf numFmtId="49" fontId="11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40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24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12" fillId="0" borderId="125" xfId="0" applyNumberFormat="1" applyFont="1" applyFill="1" applyBorder="1" applyAlignment="1" applyProtection="1">
      <alignment vertical="center"/>
      <protection/>
    </xf>
    <xf numFmtId="3" fontId="4" fillId="0" borderId="37" xfId="0" applyNumberFormat="1" applyFont="1" applyFill="1" applyBorder="1" applyAlignment="1" applyProtection="1">
      <alignment vertical="center"/>
      <protection/>
    </xf>
    <xf numFmtId="0" fontId="15" fillId="0" borderId="44" xfId="0" applyNumberFormat="1" applyFont="1" applyFill="1" applyBorder="1" applyAlignment="1" applyProtection="1">
      <alignment horizontal="left" vertical="center" wrapText="1"/>
      <protection/>
    </xf>
    <xf numFmtId="3" fontId="13" fillId="0" borderId="41" xfId="0" applyNumberFormat="1" applyFont="1" applyFill="1" applyBorder="1" applyAlignment="1" applyProtection="1">
      <alignment vertical="center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3" fontId="4" fillId="0" borderId="126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3" fontId="13" fillId="0" borderId="24" xfId="0" applyNumberFormat="1" applyFont="1" applyFill="1" applyBorder="1" applyAlignment="1" applyProtection="1">
      <alignment vertical="center"/>
      <protection/>
    </xf>
    <xf numFmtId="3" fontId="13" fillId="0" borderId="115" xfId="0" applyNumberFormat="1" applyFont="1" applyFill="1" applyBorder="1" applyAlignment="1" applyProtection="1">
      <alignment vertical="center"/>
      <protection/>
    </xf>
    <xf numFmtId="3" fontId="43" fillId="0" borderId="25" xfId="0" applyNumberFormat="1" applyFont="1" applyFill="1" applyBorder="1" applyAlignment="1" applyProtection="1">
      <alignment vertical="center"/>
      <protection/>
    </xf>
    <xf numFmtId="3" fontId="13" fillId="0" borderId="26" xfId="0" applyNumberFormat="1" applyFont="1" applyFill="1" applyBorder="1" applyAlignment="1" applyProtection="1">
      <alignment vertical="center"/>
      <protection/>
    </xf>
    <xf numFmtId="3" fontId="43" fillId="0" borderId="116" xfId="0" applyNumberFormat="1" applyFont="1" applyFill="1" applyBorder="1" applyAlignment="1" applyProtection="1">
      <alignment vertical="center"/>
      <protection/>
    </xf>
    <xf numFmtId="3" fontId="13" fillId="0" borderId="3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2" fillId="0" borderId="3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Continuous" wrapText="1"/>
    </xf>
    <xf numFmtId="0" fontId="2" fillId="0" borderId="127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3" fontId="12" fillId="0" borderId="10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vertical="center" wrapText="1"/>
    </xf>
    <xf numFmtId="1" fontId="5" fillId="0" borderId="50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03" xfId="0" applyNumberFormat="1" applyFont="1" applyBorder="1" applyAlignment="1">
      <alignment horizontal="center" vertical="center"/>
    </xf>
    <xf numFmtId="0" fontId="3" fillId="0" borderId="127" xfId="0" applyFont="1" applyBorder="1" applyAlignment="1">
      <alignment vertical="center" wrapText="1"/>
    </xf>
    <xf numFmtId="3" fontId="3" fillId="0" borderId="129" xfId="0" applyNumberFormat="1" applyFont="1" applyBorder="1" applyAlignment="1">
      <alignment horizontal="right" vertical="center" wrapText="1"/>
    </xf>
    <xf numFmtId="1" fontId="3" fillId="0" borderId="129" xfId="0" applyNumberFormat="1" applyFont="1" applyBorder="1" applyAlignment="1">
      <alignment horizontal="right" vertical="center" wrapText="1"/>
    </xf>
    <xf numFmtId="3" fontId="3" fillId="0" borderId="127" xfId="0" applyNumberFormat="1" applyFont="1" applyBorder="1" applyAlignment="1">
      <alignment vertical="center" wrapText="1"/>
    </xf>
    <xf numFmtId="3" fontId="3" fillId="0" borderId="128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42" fillId="0" borderId="37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vertical="center" wrapText="1"/>
    </xf>
    <xf numFmtId="1" fontId="5" fillId="0" borderId="50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37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13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3" fontId="3" fillId="0" borderId="131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31" xfId="0" applyNumberFormat="1" applyFont="1" applyFill="1" applyBorder="1" applyAlignment="1" applyProtection="1">
      <alignment horizontal="right" vertical="center"/>
      <protection locked="0"/>
    </xf>
    <xf numFmtId="3" fontId="3" fillId="0" borderId="5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23" xfId="0" applyNumberFormat="1" applyFont="1" applyBorder="1" applyAlignment="1">
      <alignment vertical="center"/>
    </xf>
    <xf numFmtId="1" fontId="21" fillId="0" borderId="50" xfId="0" applyNumberFormat="1" applyFont="1" applyBorder="1" applyAlignment="1">
      <alignment vertical="center"/>
    </xf>
    <xf numFmtId="3" fontId="21" fillId="0" borderId="50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Continuous" vertical="center" wrapText="1"/>
    </xf>
    <xf numFmtId="0" fontId="42" fillId="0" borderId="0" xfId="0" applyFont="1" applyAlignment="1">
      <alignment horizontal="center"/>
    </xf>
    <xf numFmtId="1" fontId="5" fillId="0" borderId="50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27" xfId="0" applyNumberFormat="1" applyFont="1" applyBorder="1" applyAlignment="1">
      <alignment horizontal="right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1" fontId="5" fillId="0" borderId="5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" fontId="3" fillId="0" borderId="37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31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" fontId="3" fillId="0" borderId="8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right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3" fontId="3" fillId="0" borderId="49" xfId="0" applyNumberFormat="1" applyFont="1" applyBorder="1" applyAlignment="1">
      <alignment horizontal="right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vertical="center"/>
    </xf>
    <xf numFmtId="3" fontId="2" fillId="0" borderId="106" xfId="0" applyNumberFormat="1" applyFont="1" applyBorder="1" applyAlignment="1">
      <alignment horizontal="right" vertical="center" wrapText="1"/>
    </xf>
    <xf numFmtId="3" fontId="2" fillId="0" borderId="8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 wrapText="1"/>
    </xf>
    <xf numFmtId="3" fontId="9" fillId="0" borderId="44" xfId="0" applyNumberFormat="1" applyFont="1" applyBorder="1" applyAlignment="1">
      <alignment horizontal="right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9" fillId="0" borderId="37" xfId="0" applyNumberFormat="1" applyFont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/>
    </xf>
    <xf numFmtId="49" fontId="3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30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center" vertical="center"/>
    </xf>
    <xf numFmtId="0" fontId="3" fillId="0" borderId="106" xfId="0" applyFont="1" applyBorder="1" applyAlignment="1">
      <alignment vertical="center" wrapText="1"/>
    </xf>
    <xf numFmtId="3" fontId="3" fillId="0" borderId="106" xfId="0" applyNumberFormat="1" applyFont="1" applyBorder="1" applyAlignment="1">
      <alignment horizontal="right" vertical="center" wrapText="1"/>
    </xf>
    <xf numFmtId="3" fontId="3" fillId="0" borderId="8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22" fillId="0" borderId="4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4" xfId="0" applyNumberFormat="1" applyFont="1" applyFill="1" applyBorder="1" applyAlignment="1" applyProtection="1">
      <alignment vertical="center" wrapText="1"/>
      <protection locked="0"/>
    </xf>
    <xf numFmtId="3" fontId="3" fillId="0" borderId="83" xfId="0" applyNumberFormat="1" applyFont="1" applyBorder="1" applyAlignment="1">
      <alignment horizontal="right" vertical="center" wrapText="1"/>
    </xf>
    <xf numFmtId="1" fontId="3" fillId="0" borderId="83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vertical="center" wrapText="1"/>
    </xf>
    <xf numFmtId="3" fontId="3" fillId="0" borderId="45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vertical="center"/>
    </xf>
    <xf numFmtId="1" fontId="21" fillId="0" borderId="50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3" fontId="4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Continuous" wrapText="1"/>
    </xf>
    <xf numFmtId="3" fontId="41" fillId="0" borderId="0" xfId="0" applyNumberFormat="1" applyFont="1" applyAlignment="1">
      <alignment horizontal="right" wrapText="1"/>
    </xf>
    <xf numFmtId="0" fontId="9" fillId="0" borderId="54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46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3" fillId="0" borderId="13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vertical="center"/>
    </xf>
    <xf numFmtId="1" fontId="21" fillId="0" borderId="5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85" xfId="0" applyFont="1" applyBorder="1" applyAlignment="1">
      <alignment vertical="center" wrapText="1"/>
    </xf>
    <xf numFmtId="1" fontId="3" fillId="0" borderId="85" xfId="0" applyNumberFormat="1" applyFont="1" applyBorder="1" applyAlignment="1">
      <alignment horizontal="center" vertical="center" wrapText="1"/>
    </xf>
    <xf numFmtId="3" fontId="3" fillId="0" borderId="85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horizontal="center" vertical="center"/>
    </xf>
    <xf numFmtId="16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04" xfId="0" applyFont="1" applyBorder="1" applyAlignment="1">
      <alignment horizontal="centerContinuous" vertical="center" wrapText="1"/>
    </xf>
    <xf numFmtId="0" fontId="41" fillId="0" borderId="128" xfId="0" applyFont="1" applyBorder="1" applyAlignment="1">
      <alignment horizontal="centerContinuous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2" fillId="0" borderId="36" xfId="0" applyNumberFormat="1" applyFont="1" applyFill="1" applyBorder="1" applyAlignment="1" applyProtection="1">
      <alignment horizontal="center" vertical="center"/>
      <protection locked="0"/>
    </xf>
    <xf numFmtId="1" fontId="12" fillId="0" borderId="7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1" fontId="12" fillId="0" borderId="56" xfId="0" applyNumberFormat="1" applyFont="1" applyBorder="1" applyAlignment="1">
      <alignment horizontal="center"/>
    </xf>
    <xf numFmtId="3" fontId="20" fillId="0" borderId="22" xfId="0" applyNumberFormat="1" applyFont="1" applyFill="1" applyBorder="1" applyAlignment="1" applyProtection="1">
      <alignment horizontal="center" vertical="center"/>
      <protection locked="0"/>
    </xf>
    <xf numFmtId="1" fontId="48" fillId="0" borderId="23" xfId="0" applyNumberFormat="1" applyFont="1" applyBorder="1" applyAlignment="1">
      <alignment horizontal="left"/>
    </xf>
    <xf numFmtId="1" fontId="20" fillId="0" borderId="50" xfId="0" applyNumberFormat="1" applyFont="1" applyBorder="1" applyAlignment="1">
      <alignment horizontal="center"/>
    </xf>
    <xf numFmtId="3" fontId="48" fillId="0" borderId="50" xfId="0" applyNumberFormat="1" applyFont="1" applyBorder="1" applyAlignment="1">
      <alignment horizontal="right" vertical="center"/>
    </xf>
    <xf numFmtId="3" fontId="48" fillId="0" borderId="26" xfId="0" applyNumberFormat="1" applyFont="1" applyBorder="1" applyAlignment="1">
      <alignment vertical="center"/>
    </xf>
    <xf numFmtId="164" fontId="17" fillId="0" borderId="0" xfId="0" applyNumberFormat="1" applyFont="1" applyAlignment="1">
      <alignment/>
    </xf>
    <xf numFmtId="1" fontId="5" fillId="0" borderId="50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" applyFont="1" applyBorder="1" applyAlignment="1">
      <alignment horizontal="left" vertical="center" wrapText="1"/>
      <protection/>
    </xf>
    <xf numFmtId="1" fontId="3" fillId="0" borderId="37" xfId="21" applyNumberFormat="1" applyFont="1" applyFill="1" applyBorder="1" applyAlignment="1" applyProtection="1">
      <alignment horizontal="center" vertical="center" wrapText="1"/>
      <protection locked="0"/>
    </xf>
    <xf numFmtId="164" fontId="48" fillId="0" borderId="0" xfId="0" applyNumberFormat="1" applyFont="1" applyBorder="1" applyAlignment="1">
      <alignment/>
    </xf>
    <xf numFmtId="0" fontId="48" fillId="0" borderId="22" xfId="18" applyFont="1" applyBorder="1" applyAlignment="1">
      <alignment horizontal="center" vertical="center"/>
      <protection/>
    </xf>
    <xf numFmtId="0" fontId="48" fillId="0" borderId="23" xfId="18" applyFont="1" applyBorder="1" applyAlignment="1">
      <alignment horizontal="left" vertical="center" wrapText="1"/>
      <protection/>
    </xf>
    <xf numFmtId="1" fontId="48" fillId="0" borderId="50" xfId="21" applyNumberFormat="1" applyFont="1" applyFill="1" applyBorder="1" applyAlignment="1" applyProtection="1">
      <alignment horizontal="center" vertical="center" wrapText="1"/>
      <protection locked="0"/>
    </xf>
    <xf numFmtId="3" fontId="48" fillId="0" borderId="50" xfId="0" applyNumberFormat="1" applyFont="1" applyFill="1" applyBorder="1" applyAlignment="1" applyProtection="1">
      <alignment vertical="center"/>
      <protection locked="0"/>
    </xf>
    <xf numFmtId="164" fontId="48" fillId="0" borderId="0" xfId="0" applyNumberFormat="1" applyFont="1" applyAlignment="1">
      <alignment/>
    </xf>
    <xf numFmtId="1" fontId="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02" xfId="21" applyNumberFormat="1" applyFont="1" applyFill="1" applyBorder="1" applyAlignment="1" applyProtection="1">
      <alignment vertical="center" wrapText="1"/>
      <protection locked="0"/>
    </xf>
    <xf numFmtId="1" fontId="3" fillId="0" borderId="30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3" fillId="0" borderId="10" xfId="21" applyNumberFormat="1" applyFont="1" applyFill="1" applyBorder="1" applyAlignment="1" applyProtection="1">
      <alignment vertical="center" wrapText="1"/>
      <protection locked="0"/>
    </xf>
    <xf numFmtId="1" fontId="21" fillId="0" borderId="22" xfId="0" applyNumberFormat="1" applyFont="1" applyFill="1" applyBorder="1" applyAlignment="1" applyProtection="1">
      <alignment horizontal="centerContinuous" vertical="center"/>
      <protection locked="0"/>
    </xf>
    <xf numFmtId="1" fontId="21" fillId="0" borderId="23" xfId="0" applyNumberFormat="1" applyFont="1" applyFill="1" applyBorder="1" applyAlignment="1" applyProtection="1">
      <alignment horizontal="left" vertical="center"/>
      <protection locked="0"/>
    </xf>
    <xf numFmtId="1" fontId="5" fillId="0" borderId="5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17" fillId="0" borderId="0" xfId="0" applyNumberFormat="1" applyFont="1" applyAlignment="1">
      <alignment/>
    </xf>
    <xf numFmtId="0" fontId="50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3" fontId="9" fillId="0" borderId="37" xfId="0" applyNumberFormat="1" applyFont="1" applyBorder="1" applyAlignment="1">
      <alignment/>
    </xf>
    <xf numFmtId="3" fontId="2" fillId="0" borderId="13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130" xfId="0" applyNumberFormat="1" applyFont="1" applyBorder="1" applyAlignment="1">
      <alignment/>
    </xf>
    <xf numFmtId="0" fontId="16" fillId="0" borderId="37" xfId="0" applyFont="1" applyBorder="1" applyAlignment="1">
      <alignment/>
    </xf>
    <xf numFmtId="3" fontId="16" fillId="0" borderId="37" xfId="0" applyNumberFormat="1" applyFont="1" applyBorder="1" applyAlignment="1">
      <alignment/>
    </xf>
    <xf numFmtId="0" fontId="51" fillId="0" borderId="37" xfId="0" applyFont="1" applyBorder="1" applyAlignment="1">
      <alignment/>
    </xf>
    <xf numFmtId="3" fontId="51" fillId="0" borderId="37" xfId="0" applyNumberFormat="1" applyFont="1" applyBorder="1" applyAlignment="1">
      <alignment/>
    </xf>
    <xf numFmtId="3" fontId="38" fillId="0" borderId="130" xfId="0" applyNumberFormat="1" applyFont="1" applyBorder="1" applyAlignment="1">
      <alignment/>
    </xf>
    <xf numFmtId="3" fontId="51" fillId="0" borderId="3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37" xfId="0" applyFont="1" applyBorder="1" applyAlignment="1">
      <alignment horizontal="left" vertical="center"/>
    </xf>
    <xf numFmtId="3" fontId="9" fillId="0" borderId="37" xfId="0" applyNumberFormat="1" applyFont="1" applyBorder="1" applyAlignment="1">
      <alignment horizontal="right" vertical="center"/>
    </xf>
    <xf numFmtId="3" fontId="9" fillId="0" borderId="13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9" fillId="0" borderId="37" xfId="0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/>
    </xf>
    <xf numFmtId="3" fontId="9" fillId="0" borderId="130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42" fillId="0" borderId="37" xfId="0" applyFont="1" applyBorder="1" applyAlignment="1">
      <alignment wrapText="1"/>
    </xf>
    <xf numFmtId="3" fontId="52" fillId="0" borderId="0" xfId="0" applyNumberFormat="1" applyFont="1" applyAlignment="1">
      <alignment/>
    </xf>
    <xf numFmtId="3" fontId="42" fillId="0" borderId="15" xfId="0" applyNumberFormat="1" applyFont="1" applyBorder="1" applyAlignment="1">
      <alignment/>
    </xf>
    <xf numFmtId="3" fontId="52" fillId="0" borderId="37" xfId="0" applyNumberFormat="1" applyFont="1" applyBorder="1" applyAlignment="1">
      <alignment/>
    </xf>
    <xf numFmtId="3" fontId="42" fillId="0" borderId="130" xfId="0" applyNumberFormat="1" applyFont="1" applyBorder="1" applyAlignment="1">
      <alignment/>
    </xf>
    <xf numFmtId="0" fontId="42" fillId="0" borderId="37" xfId="0" applyFont="1" applyBorder="1" applyAlignment="1">
      <alignment/>
    </xf>
    <xf numFmtId="3" fontId="42" fillId="0" borderId="37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8" fillId="0" borderId="131" xfId="0" applyFont="1" applyBorder="1" applyAlignment="1">
      <alignment/>
    </xf>
    <xf numFmtId="3" fontId="38" fillId="0" borderId="131" xfId="0" applyNumberFormat="1" applyFont="1" applyBorder="1" applyAlignment="1">
      <alignment/>
    </xf>
    <xf numFmtId="3" fontId="38" fillId="0" borderId="5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9" fillId="0" borderId="23" xfId="0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centerContinuous" vertical="center"/>
    </xf>
    <xf numFmtId="4" fontId="9" fillId="0" borderId="29" xfId="0" applyNumberFormat="1" applyFont="1" applyBorder="1" applyAlignment="1">
      <alignment horizontal="centerContinuous"/>
    </xf>
    <xf numFmtId="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42" fillId="0" borderId="0" xfId="0" applyFont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" fontId="42" fillId="0" borderId="37" xfId="0" applyNumberFormat="1" applyFont="1" applyBorder="1" applyAlignment="1">
      <alignment vertical="center"/>
    </xf>
    <xf numFmtId="3" fontId="42" fillId="0" borderId="13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3" fontId="9" fillId="0" borderId="109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30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4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36" xfId="0" applyFont="1" applyBorder="1" applyAlignment="1">
      <alignment horizontal="centerContinuous"/>
    </xf>
    <xf numFmtId="0" fontId="21" fillId="0" borderId="7" xfId="0" applyFont="1" applyBorder="1" applyAlignment="1">
      <alignment horizontal="center"/>
    </xf>
    <xf numFmtId="0" fontId="50" fillId="0" borderId="16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31" xfId="0" applyFont="1" applyBorder="1" applyAlignment="1">
      <alignment horizontal="centerContinuous" vertical="center"/>
    </xf>
    <xf numFmtId="0" fontId="21" fillId="0" borderId="132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Continuous" vertical="center"/>
    </xf>
    <xf numFmtId="0" fontId="38" fillId="0" borderId="52" xfId="0" applyFont="1" applyBorder="1" applyAlignment="1">
      <alignment vertical="center"/>
    </xf>
    <xf numFmtId="0" fontId="38" fillId="0" borderId="103" xfId="0" applyFont="1" applyBorder="1" applyAlignment="1">
      <alignment horizontal="center" vertical="center"/>
    </xf>
    <xf numFmtId="3" fontId="2" fillId="0" borderId="106" xfId="0" applyNumberFormat="1" applyFont="1" applyBorder="1" applyAlignment="1">
      <alignment vertical="center"/>
    </xf>
    <xf numFmtId="0" fontId="38" fillId="0" borderId="42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3" fontId="2" fillId="0" borderId="49" xfId="0" applyNumberFormat="1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9" fillId="0" borderId="50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38" fillId="0" borderId="0" xfId="18" applyFont="1" applyAlignment="1">
      <alignment horizontal="center"/>
      <protection/>
    </xf>
    <xf numFmtId="0" fontId="38" fillId="0" borderId="0" xfId="18" applyFont="1" applyAlignment="1">
      <alignment wrapText="1"/>
      <protection/>
    </xf>
    <xf numFmtId="0" fontId="38" fillId="0" borderId="0" xfId="18" applyFont="1">
      <alignment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18" applyFont="1">
      <alignment/>
      <protection/>
    </xf>
    <xf numFmtId="0" fontId="6" fillId="0" borderId="0" xfId="18" applyFont="1" applyAlignment="1">
      <alignment horizontal="centerContinuous" vertical="center"/>
      <protection/>
    </xf>
    <xf numFmtId="0" fontId="41" fillId="0" borderId="0" xfId="18" applyFont="1" applyAlignment="1">
      <alignment horizontal="centerContinuous" vertical="center" wrapText="1"/>
      <protection/>
    </xf>
    <xf numFmtId="0" fontId="41" fillId="0" borderId="0" xfId="18" applyFont="1" applyAlignment="1">
      <alignment horizontal="centerContinuous" vertical="center"/>
      <protection/>
    </xf>
    <xf numFmtId="0" fontId="55" fillId="0" borderId="0" xfId="0" applyFont="1" applyAlignment="1">
      <alignment horizontal="centerContinuous" vertical="center"/>
    </xf>
    <xf numFmtId="0" fontId="7" fillId="0" borderId="0" xfId="18" applyFont="1" applyAlignment="1">
      <alignment vertical="center"/>
      <protection/>
    </xf>
    <xf numFmtId="0" fontId="6" fillId="0" borderId="0" xfId="18" applyFont="1" applyAlignment="1">
      <alignment horizontal="centerContinuous" vertical="center" wrapText="1"/>
      <protection/>
    </xf>
    <xf numFmtId="0" fontId="41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vertical="center"/>
      <protection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18" applyFont="1" applyAlignment="1">
      <alignment horizontal="centerContinuous" vertical="center"/>
      <protection/>
    </xf>
    <xf numFmtId="0" fontId="3" fillId="0" borderId="0" xfId="18" applyFont="1" applyAlignment="1">
      <alignment horizontal="centerContinuous"/>
      <protection/>
    </xf>
    <xf numFmtId="0" fontId="21" fillId="0" borderId="0" xfId="18" applyFont="1">
      <alignment/>
      <protection/>
    </xf>
    <xf numFmtId="0" fontId="5" fillId="0" borderId="0" xfId="18" applyFont="1">
      <alignment/>
      <protection/>
    </xf>
    <xf numFmtId="0" fontId="11" fillId="0" borderId="103" xfId="18" applyFont="1" applyBorder="1" applyAlignment="1">
      <alignment horizontal="center" vertical="center" wrapText="1"/>
      <protection/>
    </xf>
    <xf numFmtId="0" fontId="41" fillId="0" borderId="129" xfId="18" applyFont="1" applyBorder="1" applyAlignment="1">
      <alignment horizontal="center" vertical="center" wrapText="1"/>
      <protection/>
    </xf>
    <xf numFmtId="0" fontId="9" fillId="0" borderId="133" xfId="18" applyFont="1" applyBorder="1" applyAlignment="1">
      <alignment horizontal="center" vertical="center" wrapText="1"/>
      <protection/>
    </xf>
    <xf numFmtId="0" fontId="9" fillId="0" borderId="54" xfId="18" applyFont="1" applyBorder="1" applyAlignment="1">
      <alignment horizontal="center" vertical="center" wrapText="1"/>
      <protection/>
    </xf>
    <xf numFmtId="0" fontId="9" fillId="0" borderId="56" xfId="18" applyFont="1" applyBorder="1" applyAlignment="1">
      <alignment horizontal="center" vertical="center" wrapText="1"/>
      <protection/>
    </xf>
    <xf numFmtId="1" fontId="15" fillId="0" borderId="36" xfId="18" applyNumberFormat="1" applyFont="1" applyBorder="1" applyAlignment="1">
      <alignment horizontal="center" vertical="center" wrapText="1"/>
      <protection/>
    </xf>
    <xf numFmtId="1" fontId="15" fillId="0" borderId="7" xfId="18" applyNumberFormat="1" applyFont="1" applyBorder="1" applyAlignment="1">
      <alignment horizontal="center" vertical="center" wrapText="1"/>
      <protection/>
    </xf>
    <xf numFmtId="1" fontId="15" fillId="0" borderId="39" xfId="18" applyNumberFormat="1" applyFont="1" applyBorder="1" applyAlignment="1">
      <alignment horizontal="center" vertical="center" wrapText="1"/>
      <protection/>
    </xf>
    <xf numFmtId="1" fontId="15" fillId="0" borderId="5" xfId="18" applyNumberFormat="1" applyFont="1" applyBorder="1" applyAlignment="1">
      <alignment horizontal="center" vertical="center" wrapText="1"/>
      <protection/>
    </xf>
    <xf numFmtId="1" fontId="15" fillId="0" borderId="8" xfId="18" applyNumberFormat="1" applyFont="1" applyBorder="1" applyAlignment="1">
      <alignment horizontal="center" vertical="center" wrapText="1"/>
      <protection/>
    </xf>
    <xf numFmtId="0" fontId="12" fillId="0" borderId="0" xfId="18" applyFont="1">
      <alignment/>
      <protection/>
    </xf>
    <xf numFmtId="0" fontId="5" fillId="0" borderId="35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left" vertical="center" wrapText="1"/>
      <protection/>
    </xf>
    <xf numFmtId="3" fontId="5" fillId="0" borderId="114" xfId="18" applyNumberFormat="1" applyFont="1" applyBorder="1" applyAlignment="1">
      <alignment horizontal="right" vertical="center"/>
      <protection/>
    </xf>
    <xf numFmtId="3" fontId="5" fillId="0" borderId="50" xfId="18" applyNumberFormat="1" applyFont="1" applyBorder="1" applyAlignment="1">
      <alignment horizontal="right" vertical="center"/>
      <protection/>
    </xf>
    <xf numFmtId="3" fontId="5" fillId="0" borderId="26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vertical="center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left" vertical="center" wrapText="1"/>
      <protection/>
    </xf>
    <xf numFmtId="3" fontId="5" fillId="0" borderId="39" xfId="18" applyNumberFormat="1" applyFont="1" applyBorder="1" applyAlignment="1">
      <alignment horizontal="right" vertical="center"/>
      <protection/>
    </xf>
    <xf numFmtId="3" fontId="5" fillId="0" borderId="5" xfId="18" applyNumberFormat="1" applyFont="1" applyBorder="1" applyAlignment="1">
      <alignment horizontal="right" vertical="center"/>
      <protection/>
    </xf>
    <xf numFmtId="3" fontId="5" fillId="0" borderId="8" xfId="18" applyNumberFormat="1" applyFont="1" applyBorder="1" applyAlignment="1">
      <alignment horizontal="center" vertical="center"/>
      <protection/>
    </xf>
    <xf numFmtId="0" fontId="4" fillId="0" borderId="36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left" vertical="center" wrapText="1"/>
      <protection/>
    </xf>
    <xf numFmtId="3" fontId="4" fillId="0" borderId="39" xfId="18" applyNumberFormat="1" applyFont="1" applyBorder="1" applyAlignment="1">
      <alignment horizontal="right" vertical="center"/>
      <protection/>
    </xf>
    <xf numFmtId="3" fontId="4" fillId="0" borderId="5" xfId="18" applyNumberFormat="1" applyFont="1" applyBorder="1" applyAlignment="1">
      <alignment horizontal="right" vertical="center"/>
      <protection/>
    </xf>
    <xf numFmtId="3" fontId="3" fillId="0" borderId="8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5" fillId="0" borderId="103" xfId="18" applyFont="1" applyBorder="1" applyAlignment="1">
      <alignment horizontal="center" vertical="center"/>
      <protection/>
    </xf>
    <xf numFmtId="0" fontId="5" fillId="0" borderId="129" xfId="18" applyFont="1" applyBorder="1" applyAlignment="1">
      <alignment horizontal="left" vertical="center" wrapText="1"/>
      <protection/>
    </xf>
    <xf numFmtId="3" fontId="5" fillId="0" borderId="133" xfId="18" applyNumberFormat="1" applyFont="1" applyBorder="1" applyAlignment="1">
      <alignment horizontal="right" vertical="center"/>
      <protection/>
    </xf>
    <xf numFmtId="3" fontId="5" fillId="0" borderId="54" xfId="18" applyNumberFormat="1" applyFont="1" applyBorder="1" applyAlignment="1">
      <alignment horizontal="right" vertical="center"/>
      <protection/>
    </xf>
    <xf numFmtId="3" fontId="5" fillId="0" borderId="56" xfId="18" applyNumberFormat="1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left" vertical="center" wrapText="1"/>
      <protection/>
    </xf>
    <xf numFmtId="3" fontId="4" fillId="0" borderId="40" xfId="18" applyNumberFormat="1" applyFont="1" applyBorder="1" applyAlignment="1">
      <alignment horizontal="right" vertical="center"/>
      <protection/>
    </xf>
    <xf numFmtId="3" fontId="4" fillId="0" borderId="14" xfId="18" applyNumberFormat="1" applyFont="1" applyBorder="1" applyAlignment="1">
      <alignment horizontal="right" vertical="center"/>
      <protection/>
    </xf>
    <xf numFmtId="3" fontId="2" fillId="0" borderId="15" xfId="18" applyNumberFormat="1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3" fontId="5" fillId="0" borderId="35" xfId="18" applyNumberFormat="1" applyFont="1" applyBorder="1" applyAlignment="1">
      <alignment horizontal="right" vertical="center"/>
      <protection/>
    </xf>
    <xf numFmtId="3" fontId="5" fillId="0" borderId="29" xfId="18" applyNumberFormat="1" applyFont="1" applyBorder="1" applyAlignment="1">
      <alignment horizontal="center" vertical="center"/>
      <protection/>
    </xf>
    <xf numFmtId="3" fontId="5" fillId="0" borderId="103" xfId="18" applyNumberFormat="1" applyFont="1" applyBorder="1" applyAlignment="1">
      <alignment horizontal="right" vertical="center"/>
      <protection/>
    </xf>
    <xf numFmtId="3" fontId="5" fillId="0" borderId="128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3" fontId="4" fillId="0" borderId="11" xfId="18" applyNumberFormat="1" applyFont="1" applyBorder="1" applyAlignment="1">
      <alignment horizontal="right" vertical="center"/>
      <protection/>
    </xf>
    <xf numFmtId="3" fontId="2" fillId="0" borderId="130" xfId="18" applyNumberFormat="1" applyFont="1" applyBorder="1" applyAlignment="1">
      <alignment horizontal="center" vertical="center"/>
      <protection/>
    </xf>
    <xf numFmtId="0" fontId="5" fillId="0" borderId="28" xfId="18" applyFont="1" applyBorder="1" applyAlignment="1">
      <alignment vertical="center" wrapText="1"/>
      <protection/>
    </xf>
    <xf numFmtId="3" fontId="5" fillId="0" borderId="114" xfId="18" applyNumberFormat="1" applyFont="1" applyBorder="1" applyAlignment="1">
      <alignment vertical="center"/>
      <protection/>
    </xf>
    <xf numFmtId="3" fontId="5" fillId="0" borderId="35" xfId="18" applyNumberFormat="1" applyFont="1" applyBorder="1" applyAlignment="1">
      <alignment vertical="center"/>
      <protection/>
    </xf>
    <xf numFmtId="3" fontId="5" fillId="0" borderId="29" xfId="18" applyNumberFormat="1" applyFont="1" applyBorder="1" applyAlignment="1">
      <alignment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0" xfId="18" applyFont="1" applyBorder="1" applyAlignment="1">
      <alignment vertical="center" wrapText="1"/>
      <protection/>
    </xf>
    <xf numFmtId="3" fontId="5" fillId="0" borderId="40" xfId="18" applyNumberFormat="1" applyFont="1" applyBorder="1" applyAlignment="1">
      <alignment vertical="center"/>
      <protection/>
    </xf>
    <xf numFmtId="3" fontId="5" fillId="0" borderId="14" xfId="18" applyNumberFormat="1" applyFont="1" applyBorder="1" applyAlignment="1">
      <alignment vertical="center"/>
      <protection/>
    </xf>
    <xf numFmtId="3" fontId="5" fillId="0" borderId="15" xfId="18" applyNumberFormat="1" applyFont="1" applyBorder="1" applyAlignment="1">
      <alignment vertical="center"/>
      <protection/>
    </xf>
    <xf numFmtId="0" fontId="4" fillId="0" borderId="42" xfId="18" applyFont="1" applyBorder="1" applyAlignment="1">
      <alignment horizontal="center" vertical="center"/>
      <protection/>
    </xf>
    <xf numFmtId="0" fontId="4" fillId="0" borderId="83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4" fillId="0" borderId="43" xfId="18" applyNumberFormat="1" applyFont="1" applyBorder="1" applyAlignment="1">
      <alignment vertical="center"/>
      <protection/>
    </xf>
    <xf numFmtId="3" fontId="4" fillId="0" borderId="45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5" fillId="0" borderId="42" xfId="18" applyFont="1" applyBorder="1" applyAlignment="1">
      <alignment horizontal="center" vertical="center"/>
      <protection/>
    </xf>
    <xf numFmtId="0" fontId="5" fillId="0" borderId="83" xfId="18" applyFont="1" applyBorder="1" applyAlignment="1">
      <alignment vertical="center" wrapText="1"/>
      <protection/>
    </xf>
    <xf numFmtId="3" fontId="5" fillId="0" borderId="118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45" xfId="18" applyNumberFormat="1" applyFont="1" applyBorder="1" applyAlignment="1">
      <alignment vertical="center"/>
      <protection/>
    </xf>
    <xf numFmtId="0" fontId="4" fillId="0" borderId="10" xfId="18" applyFont="1" applyBorder="1" applyAlignment="1">
      <alignment vertical="center" wrapText="1"/>
      <protection/>
    </xf>
    <xf numFmtId="3" fontId="4" fillId="0" borderId="41" xfId="18" applyNumberFormat="1" applyFont="1" applyBorder="1" applyAlignment="1">
      <alignment vertical="center"/>
      <protection/>
    </xf>
    <xf numFmtId="3" fontId="4" fillId="0" borderId="14" xfId="18" applyNumberFormat="1" applyFont="1" applyBorder="1" applyAlignment="1">
      <alignment vertical="center"/>
      <protection/>
    </xf>
    <xf numFmtId="3" fontId="2" fillId="0" borderId="15" xfId="18" applyNumberFormat="1" applyFont="1" applyBorder="1" applyAlignment="1">
      <alignment vertical="center"/>
      <protection/>
    </xf>
    <xf numFmtId="3" fontId="5" fillId="0" borderId="50" xfId="18" applyNumberFormat="1" applyFont="1" applyBorder="1" applyAlignment="1">
      <alignment vertical="center"/>
      <protection/>
    </xf>
    <xf numFmtId="3" fontId="5" fillId="0" borderId="26" xfId="18" applyNumberFormat="1" applyFont="1" applyBorder="1" applyAlignment="1">
      <alignment vertical="center"/>
      <protection/>
    </xf>
    <xf numFmtId="3" fontId="10" fillId="0" borderId="130" xfId="0" applyNumberFormat="1" applyFont="1" applyBorder="1" applyAlignment="1">
      <alignment vertical="center"/>
    </xf>
    <xf numFmtId="0" fontId="5" fillId="0" borderId="31" xfId="18" applyFont="1" applyBorder="1" applyAlignment="1">
      <alignment horizontal="center" vertical="center"/>
      <protection/>
    </xf>
    <xf numFmtId="0" fontId="5" fillId="0" borderId="102" xfId="18" applyFont="1" applyBorder="1" applyAlignment="1">
      <alignment vertical="center" wrapText="1"/>
      <protection/>
    </xf>
    <xf numFmtId="3" fontId="5" fillId="0" borderId="134" xfId="18" applyNumberFormat="1" applyFont="1" applyBorder="1" applyAlignment="1">
      <alignment vertical="center"/>
      <protection/>
    </xf>
    <xf numFmtId="3" fontId="5" fillId="0" borderId="80" xfId="18" applyNumberFormat="1" applyFont="1" applyBorder="1" applyAlignment="1">
      <alignment vertical="center"/>
      <protection/>
    </xf>
    <xf numFmtId="3" fontId="5" fillId="0" borderId="32" xfId="18" applyNumberFormat="1" applyFont="1" applyBorder="1" applyAlignment="1">
      <alignment vertical="center"/>
      <protection/>
    </xf>
    <xf numFmtId="0" fontId="4" fillId="0" borderId="47" xfId="18" applyFont="1" applyBorder="1" applyAlignment="1">
      <alignment horizontal="center" vertical="center"/>
      <protection/>
    </xf>
    <xf numFmtId="0" fontId="4" fillId="0" borderId="110" xfId="18" applyFont="1" applyBorder="1" applyAlignment="1">
      <alignment vertical="center" wrapText="1"/>
      <protection/>
    </xf>
    <xf numFmtId="3" fontId="5" fillId="0" borderId="42" xfId="18" applyNumberFormat="1" applyFont="1" applyBorder="1" applyAlignment="1">
      <alignment vertical="center"/>
      <protection/>
    </xf>
    <xf numFmtId="3" fontId="5" fillId="0" borderId="108" xfId="18" applyNumberFormat="1" applyFont="1" applyBorder="1" applyAlignment="1">
      <alignment vertical="center"/>
      <protection/>
    </xf>
    <xf numFmtId="0" fontId="4" fillId="0" borderId="102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horizontal="right" vertical="center"/>
      <protection/>
    </xf>
    <xf numFmtId="3" fontId="4" fillId="0" borderId="80" xfId="18" applyNumberFormat="1" applyFont="1" applyBorder="1" applyAlignment="1">
      <alignment vertical="center"/>
      <protection/>
    </xf>
    <xf numFmtId="0" fontId="5" fillId="0" borderId="47" xfId="18" applyFont="1" applyBorder="1" applyAlignment="1">
      <alignment horizontal="center" vertical="center"/>
      <protection/>
    </xf>
    <xf numFmtId="0" fontId="4" fillId="0" borderId="47" xfId="18" applyFont="1" applyBorder="1" applyAlignment="1">
      <alignment horizontal="center" vertical="center"/>
      <protection/>
    </xf>
    <xf numFmtId="0" fontId="4" fillId="0" borderId="31" xfId="18" applyFont="1" applyBorder="1" applyAlignment="1">
      <alignment horizontal="center" vertical="center"/>
      <protection/>
    </xf>
    <xf numFmtId="0" fontId="4" fillId="0" borderId="102" xfId="18" applyFont="1" applyBorder="1" applyAlignment="1">
      <alignment horizontal="left" vertical="center" wrapText="1"/>
      <protection/>
    </xf>
    <xf numFmtId="3" fontId="4" fillId="0" borderId="134" xfId="18" applyNumberFormat="1" applyFont="1" applyBorder="1" applyAlignment="1">
      <alignment horizontal="right" vertical="center"/>
      <protection/>
    </xf>
    <xf numFmtId="3" fontId="2" fillId="0" borderId="32" xfId="18" applyNumberFormat="1" applyFont="1" applyBorder="1" applyAlignment="1">
      <alignment vertical="center"/>
      <protection/>
    </xf>
    <xf numFmtId="3" fontId="2" fillId="0" borderId="45" xfId="18" applyNumberFormat="1" applyFont="1" applyBorder="1" applyAlignment="1">
      <alignment vertical="center"/>
      <protection/>
    </xf>
    <xf numFmtId="0" fontId="5" fillId="0" borderId="42" xfId="18" applyFont="1" applyBorder="1" applyAlignment="1">
      <alignment horizontal="center" vertical="center"/>
      <protection/>
    </xf>
    <xf numFmtId="0" fontId="4" fillId="0" borderId="42" xfId="18" applyFont="1" applyBorder="1" applyAlignment="1">
      <alignment horizontal="center" vertical="center"/>
      <protection/>
    </xf>
    <xf numFmtId="0" fontId="4" fillId="0" borderId="83" xfId="18" applyFont="1" applyBorder="1" applyAlignment="1">
      <alignment vertical="center" wrapText="1"/>
      <protection/>
    </xf>
    <xf numFmtId="3" fontId="4" fillId="0" borderId="45" xfId="18" applyNumberFormat="1" applyFont="1" applyBorder="1" applyAlignment="1">
      <alignment vertical="center"/>
      <protection/>
    </xf>
    <xf numFmtId="0" fontId="4" fillId="0" borderId="110" xfId="18" applyFont="1" applyBorder="1" applyAlignment="1">
      <alignment vertical="center" wrapText="1"/>
      <protection/>
    </xf>
    <xf numFmtId="3" fontId="4" fillId="0" borderId="41" xfId="18" applyNumberFormat="1" applyFont="1" applyBorder="1" applyAlignment="1">
      <alignment horizontal="right"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6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4" fillId="0" borderId="32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horizontal="center" vertical="center"/>
      <protection/>
    </xf>
    <xf numFmtId="0" fontId="4" fillId="0" borderId="17" xfId="18" applyFont="1" applyBorder="1" applyAlignment="1">
      <alignment horizontal="left" vertical="center" wrapText="1"/>
      <protection/>
    </xf>
    <xf numFmtId="3" fontId="4" fillId="0" borderId="135" xfId="18" applyNumberFormat="1" applyFont="1" applyBorder="1" applyAlignment="1">
      <alignment horizontal="right"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9" fillId="0" borderId="103" xfId="18" applyFont="1" applyBorder="1" applyAlignment="1">
      <alignment horizontal="center" vertical="center"/>
      <protection/>
    </xf>
    <xf numFmtId="0" fontId="9" fillId="0" borderId="129" xfId="18" applyFont="1" applyBorder="1" applyAlignment="1">
      <alignment vertical="center" wrapText="1"/>
      <protection/>
    </xf>
    <xf numFmtId="3" fontId="9" fillId="0" borderId="133" xfId="18" applyNumberFormat="1" applyFont="1" applyBorder="1" applyAlignment="1">
      <alignment vertical="center"/>
      <protection/>
    </xf>
    <xf numFmtId="3" fontId="9" fillId="0" borderId="54" xfId="18" applyNumberFormat="1" applyFont="1" applyBorder="1" applyAlignment="1">
      <alignment vertical="center"/>
      <protection/>
    </xf>
    <xf numFmtId="3" fontId="9" fillId="0" borderId="56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3" fontId="2" fillId="0" borderId="134" xfId="18" applyNumberFormat="1" applyFont="1" applyBorder="1" applyAlignment="1">
      <alignment horizontal="right" vertical="center"/>
      <protection/>
    </xf>
    <xf numFmtId="3" fontId="2" fillId="0" borderId="80" xfId="18" applyNumberFormat="1" applyFont="1" applyBorder="1" applyAlignment="1">
      <alignment vertical="center"/>
      <protection/>
    </xf>
    <xf numFmtId="3" fontId="2" fillId="0" borderId="32" xfId="18" applyNumberFormat="1" applyFont="1" applyBorder="1" applyAlignment="1">
      <alignment vertical="center"/>
      <protection/>
    </xf>
    <xf numFmtId="0" fontId="5" fillId="0" borderId="42" xfId="18" applyFont="1" applyBorder="1" applyAlignment="1">
      <alignment horizontal="center" vertical="center"/>
      <protection/>
    </xf>
    <xf numFmtId="0" fontId="5" fillId="0" borderId="83" xfId="18" applyFont="1" applyBorder="1" applyAlignment="1">
      <alignment vertical="center" wrapText="1"/>
      <protection/>
    </xf>
    <xf numFmtId="3" fontId="5" fillId="0" borderId="118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45" xfId="18" applyNumberFormat="1" applyFont="1" applyBorder="1" applyAlignment="1">
      <alignment vertical="center"/>
      <protection/>
    </xf>
    <xf numFmtId="0" fontId="4" fillId="0" borderId="42" xfId="18" applyFont="1" applyBorder="1" applyAlignment="1">
      <alignment horizontal="center" vertical="center"/>
      <protection/>
    </xf>
    <xf numFmtId="3" fontId="2" fillId="0" borderId="45" xfId="18" applyNumberFormat="1" applyFont="1" applyBorder="1" applyAlignment="1">
      <alignment vertical="center"/>
      <protection/>
    </xf>
    <xf numFmtId="0" fontId="5" fillId="0" borderId="42" xfId="18" applyFont="1" applyBorder="1" applyAlignment="1">
      <alignment horizontal="center" vertical="center"/>
      <protection/>
    </xf>
    <xf numFmtId="3" fontId="5" fillId="0" borderId="45" xfId="18" applyNumberFormat="1" applyFont="1" applyBorder="1" applyAlignment="1">
      <alignment vertical="center"/>
      <protection/>
    </xf>
    <xf numFmtId="3" fontId="4" fillId="0" borderId="46" xfId="0" applyNumberFormat="1" applyFont="1" applyBorder="1" applyAlignment="1">
      <alignment vertical="center"/>
    </xf>
    <xf numFmtId="3" fontId="5" fillId="0" borderId="114" xfId="18" applyNumberFormat="1" applyFont="1" applyBorder="1" applyAlignment="1">
      <alignment vertical="center"/>
      <protection/>
    </xf>
    <xf numFmtId="3" fontId="5" fillId="0" borderId="35" xfId="18" applyNumberFormat="1" applyFont="1" applyBorder="1" applyAlignment="1">
      <alignment vertical="center"/>
      <protection/>
    </xf>
    <xf numFmtId="3" fontId="5" fillId="0" borderId="29" xfId="18" applyNumberFormat="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3" fontId="5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4" fillId="0" borderId="136" xfId="18" applyNumberFormat="1" applyFont="1" applyBorder="1" applyAlignment="1">
      <alignment vertical="center"/>
      <protection/>
    </xf>
    <xf numFmtId="0" fontId="13" fillId="0" borderId="31" xfId="18" applyFont="1" applyBorder="1" applyAlignment="1">
      <alignment horizontal="center" vertical="center"/>
      <protection/>
    </xf>
    <xf numFmtId="0" fontId="13" fillId="0" borderId="102" xfId="18" applyFont="1" applyBorder="1" applyAlignment="1">
      <alignment vertical="center" wrapText="1"/>
      <protection/>
    </xf>
    <xf numFmtId="3" fontId="13" fillId="0" borderId="134" xfId="18" applyNumberFormat="1" applyFont="1" applyBorder="1" applyAlignment="1">
      <alignment horizontal="right" vertical="center"/>
      <protection/>
    </xf>
    <xf numFmtId="3" fontId="13" fillId="0" borderId="80" xfId="18" applyNumberFormat="1" applyFont="1" applyBorder="1" applyAlignment="1">
      <alignment vertical="center"/>
      <protection/>
    </xf>
    <xf numFmtId="3" fontId="13" fillId="0" borderId="136" xfId="18" applyNumberFormat="1" applyFont="1" applyBorder="1" applyAlignment="1">
      <alignment vertical="center"/>
      <protection/>
    </xf>
    <xf numFmtId="3" fontId="5" fillId="0" borderId="80" xfId="18" applyNumberFormat="1" applyFont="1" applyBorder="1" applyAlignment="1">
      <alignment vertical="center"/>
      <protection/>
    </xf>
    <xf numFmtId="3" fontId="5" fillId="0" borderId="136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vertical="center"/>
      <protection/>
    </xf>
    <xf numFmtId="0" fontId="5" fillId="0" borderId="42" xfId="0" applyFont="1" applyBorder="1" applyAlignment="1">
      <alignment vertical="center"/>
    </xf>
    <xf numFmtId="0" fontId="5" fillId="0" borderId="43" xfId="18" applyFont="1" applyBorder="1" applyAlignment="1">
      <alignment horizontal="left" vertical="center" wrapText="1"/>
      <protection/>
    </xf>
    <xf numFmtId="0" fontId="5" fillId="0" borderId="42" xfId="18" applyFont="1" applyBorder="1" applyAlignment="1">
      <alignment horizontal="center" vertical="center"/>
      <protection/>
    </xf>
    <xf numFmtId="3" fontId="5" fillId="0" borderId="45" xfId="18" applyNumberFormat="1" applyFont="1" applyBorder="1" applyAlignment="1">
      <alignment vertical="center"/>
      <protection/>
    </xf>
    <xf numFmtId="0" fontId="5" fillId="0" borderId="42" xfId="18" applyFont="1" applyBorder="1" applyAlignment="1">
      <alignment horizontal="center" vertical="center"/>
      <protection/>
    </xf>
    <xf numFmtId="3" fontId="5" fillId="0" borderId="108" xfId="0" applyNumberFormat="1" applyFont="1" applyBorder="1" applyAlignment="1">
      <alignment vertical="center"/>
    </xf>
    <xf numFmtId="3" fontId="2" fillId="0" borderId="46" xfId="18" applyNumberFormat="1" applyFont="1" applyBorder="1" applyAlignment="1">
      <alignment vertical="center"/>
      <protection/>
    </xf>
    <xf numFmtId="3" fontId="4" fillId="0" borderId="15" xfId="18" applyNumberFormat="1" applyFont="1" applyBorder="1" applyAlignment="1">
      <alignment vertical="center"/>
      <protection/>
    </xf>
    <xf numFmtId="0" fontId="13" fillId="0" borderId="42" xfId="18" applyFont="1" applyBorder="1" applyAlignment="1">
      <alignment horizontal="center" vertical="center"/>
      <protection/>
    </xf>
    <xf numFmtId="0" fontId="13" fillId="0" borderId="83" xfId="18" applyFont="1" applyBorder="1" applyAlignment="1">
      <alignment horizontal="left" vertical="center" wrapText="1"/>
      <protection/>
    </xf>
    <xf numFmtId="3" fontId="5" fillId="0" borderId="118" xfId="18" applyNumberFormat="1" applyFont="1" applyBorder="1" applyAlignment="1">
      <alignment horizontal="right" vertical="center"/>
      <protection/>
    </xf>
    <xf numFmtId="3" fontId="4" fillId="0" borderId="21" xfId="18" applyNumberFormat="1" applyFont="1" applyBorder="1" applyAlignment="1">
      <alignment vertical="center"/>
      <protection/>
    </xf>
    <xf numFmtId="0" fontId="5" fillId="0" borderId="129" xfId="18" applyFont="1" applyBorder="1" applyAlignment="1">
      <alignment vertical="center" wrapText="1"/>
      <protection/>
    </xf>
    <xf numFmtId="3" fontId="5" fillId="0" borderId="133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42" xfId="18" applyFont="1" applyBorder="1" applyAlignment="1">
      <alignment horizontal="center" vertical="center"/>
      <protection/>
    </xf>
    <xf numFmtId="0" fontId="4" fillId="0" borderId="83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4" fillId="0" borderId="43" xfId="18" applyNumberFormat="1" applyFont="1" applyBorder="1" applyAlignment="1">
      <alignment vertical="center"/>
      <protection/>
    </xf>
    <xf numFmtId="3" fontId="4" fillId="0" borderId="45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3" fontId="4" fillId="0" borderId="14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5" fillId="0" borderId="83" xfId="18" applyFont="1" applyBorder="1" applyAlignment="1">
      <alignment vertical="center" wrapText="1"/>
      <protection/>
    </xf>
    <xf numFmtId="3" fontId="5" fillId="0" borderId="118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45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6" xfId="18" applyNumberFormat="1" applyFont="1" applyBorder="1" applyAlignment="1">
      <alignment vertical="center"/>
      <protection/>
    </xf>
    <xf numFmtId="0" fontId="5" fillId="0" borderId="45" xfId="18" applyFont="1" applyBorder="1" applyAlignment="1">
      <alignment vertical="center" wrapText="1"/>
      <protection/>
    </xf>
    <xf numFmtId="3" fontId="56" fillId="0" borderId="0" xfId="0" applyNumberFormat="1" applyFont="1" applyBorder="1" applyAlignment="1">
      <alignment vertical="center"/>
    </xf>
    <xf numFmtId="0" fontId="32" fillId="0" borderId="11" xfId="18" applyFont="1" applyBorder="1" applyAlignment="1">
      <alignment horizontal="center" vertical="center"/>
      <protection/>
    </xf>
    <xf numFmtId="0" fontId="32" fillId="0" borderId="10" xfId="18" applyFont="1" applyBorder="1" applyAlignment="1">
      <alignment vertical="center" wrapText="1"/>
      <protection/>
    </xf>
    <xf numFmtId="3" fontId="32" fillId="0" borderId="40" xfId="18" applyNumberFormat="1" applyFont="1" applyBorder="1" applyAlignment="1">
      <alignment horizontal="right" vertical="center"/>
      <protection/>
    </xf>
    <xf numFmtId="3" fontId="31" fillId="0" borderId="0" xfId="0" applyNumberFormat="1" applyFont="1" applyBorder="1" applyAlignment="1">
      <alignment vertical="center"/>
    </xf>
    <xf numFmtId="3" fontId="32" fillId="0" borderId="15" xfId="18" applyNumberFormat="1" applyFont="1" applyBorder="1" applyAlignment="1">
      <alignment vertical="center"/>
      <protection/>
    </xf>
    <xf numFmtId="0" fontId="24" fillId="0" borderId="0" xfId="18" applyFont="1" applyAlignment="1">
      <alignment vertical="center"/>
      <protection/>
    </xf>
    <xf numFmtId="0" fontId="24" fillId="0" borderId="42" xfId="18" applyFont="1" applyBorder="1" applyAlignment="1">
      <alignment horizontal="center" vertical="center"/>
      <protection/>
    </xf>
    <xf numFmtId="0" fontId="24" fillId="0" borderId="83" xfId="18" applyFont="1" applyBorder="1" applyAlignment="1">
      <alignment vertical="center" wrapText="1"/>
      <protection/>
    </xf>
    <xf numFmtId="3" fontId="24" fillId="0" borderId="118" xfId="18" applyNumberFormat="1" applyFont="1" applyBorder="1" applyAlignment="1">
      <alignment horizontal="right" vertical="center"/>
      <protection/>
    </xf>
    <xf numFmtId="3" fontId="24" fillId="0" borderId="67" xfId="0" applyNumberFormat="1" applyFont="1" applyBorder="1" applyAlignment="1">
      <alignment vertical="center"/>
    </xf>
    <xf numFmtId="3" fontId="24" fillId="0" borderId="45" xfId="18" applyNumberFormat="1" applyFont="1" applyBorder="1" applyAlignment="1">
      <alignment vertical="center"/>
      <protection/>
    </xf>
    <xf numFmtId="0" fontId="32" fillId="0" borderId="110" xfId="18" applyFont="1" applyBorder="1" applyAlignment="1">
      <alignment vertical="center" wrapText="1"/>
      <protection/>
    </xf>
    <xf numFmtId="3" fontId="32" fillId="0" borderId="0" xfId="0" applyNumberFormat="1" applyFont="1" applyBorder="1" applyAlignment="1">
      <alignment vertical="center"/>
    </xf>
    <xf numFmtId="0" fontId="5" fillId="0" borderId="47" xfId="18" applyFont="1" applyBorder="1" applyAlignment="1">
      <alignment horizontal="center" vertical="center"/>
      <protection/>
    </xf>
    <xf numFmtId="0" fontId="5" fillId="0" borderId="110" xfId="18" applyFont="1" applyBorder="1" applyAlignment="1">
      <alignment vertical="center" wrapText="1"/>
      <protection/>
    </xf>
    <xf numFmtId="3" fontId="5" fillId="0" borderId="48" xfId="18" applyNumberFormat="1" applyFont="1" applyBorder="1" applyAlignment="1">
      <alignment vertical="center"/>
      <protection/>
    </xf>
    <xf numFmtId="3" fontId="5" fillId="0" borderId="46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vertical="center" wrapText="1"/>
      <protection/>
    </xf>
    <xf numFmtId="3" fontId="9" fillId="0" borderId="39" xfId="18" applyNumberFormat="1" applyFont="1" applyBorder="1" applyAlignment="1">
      <alignment vertical="center"/>
      <protection/>
    </xf>
    <xf numFmtId="3" fontId="9" fillId="0" borderId="5" xfId="18" applyNumberFormat="1" applyFont="1" applyBorder="1" applyAlignment="1">
      <alignment vertical="center"/>
      <protection/>
    </xf>
    <xf numFmtId="3" fontId="9" fillId="0" borderId="8" xfId="18" applyNumberFormat="1" applyFont="1" applyBorder="1" applyAlignment="1">
      <alignment vertical="center"/>
      <protection/>
    </xf>
    <xf numFmtId="0" fontId="1" fillId="0" borderId="9" xfId="0" applyFont="1" applyBorder="1" applyAlignment="1">
      <alignment/>
    </xf>
    <xf numFmtId="0" fontId="17" fillId="0" borderId="130" xfId="0" applyNumberFormat="1" applyFont="1" applyFill="1" applyBorder="1" applyAlignment="1" applyProtection="1">
      <alignment/>
      <protection/>
    </xf>
    <xf numFmtId="0" fontId="17" fillId="0" borderId="40" xfId="18" applyFont="1" applyBorder="1">
      <alignment/>
      <protection/>
    </xf>
    <xf numFmtId="0" fontId="17" fillId="0" borderId="14" xfId="18" applyFont="1" applyBorder="1">
      <alignment/>
      <protection/>
    </xf>
    <xf numFmtId="0" fontId="17" fillId="0" borderId="15" xfId="18" applyFont="1" applyBorder="1">
      <alignment/>
      <protection/>
    </xf>
    <xf numFmtId="3" fontId="17" fillId="0" borderId="40" xfId="18" applyNumberFormat="1" applyFont="1" applyBorder="1">
      <alignment/>
      <protection/>
    </xf>
    <xf numFmtId="3" fontId="17" fillId="0" borderId="14" xfId="18" applyNumberFormat="1" applyFont="1" applyBorder="1">
      <alignment/>
      <protection/>
    </xf>
    <xf numFmtId="3" fontId="17" fillId="0" borderId="15" xfId="18" applyNumberFormat="1" applyFont="1" applyBorder="1">
      <alignment/>
      <protection/>
    </xf>
    <xf numFmtId="0" fontId="38" fillId="0" borderId="51" xfId="18" applyFont="1" applyBorder="1" applyAlignment="1">
      <alignment horizontal="center"/>
      <protection/>
    </xf>
    <xf numFmtId="3" fontId="17" fillId="0" borderId="52" xfId="18" applyNumberFormat="1" applyFont="1" applyBorder="1" applyAlignment="1">
      <alignment wrapText="1"/>
      <protection/>
    </xf>
    <xf numFmtId="3" fontId="17" fillId="0" borderId="135" xfId="18" applyNumberFormat="1" applyFont="1" applyBorder="1">
      <alignment/>
      <protection/>
    </xf>
    <xf numFmtId="3" fontId="17" fillId="0" borderId="20" xfId="18" applyNumberFormat="1" applyFont="1" applyBorder="1">
      <alignment/>
      <protection/>
    </xf>
    <xf numFmtId="3" fontId="17" fillId="0" borderId="21" xfId="18" applyNumberFormat="1" applyFont="1" applyBorder="1">
      <alignment/>
      <protection/>
    </xf>
    <xf numFmtId="0" fontId="57" fillId="0" borderId="0" xfId="18" applyFont="1" applyBorder="1" applyAlignment="1">
      <alignment horizontal="center" wrapText="1"/>
      <protection/>
    </xf>
    <xf numFmtId="0" fontId="38" fillId="0" borderId="0" xfId="18" applyFont="1" applyBorder="1">
      <alignment/>
      <protection/>
    </xf>
    <xf numFmtId="0" fontId="38" fillId="0" borderId="0" xfId="18" applyFont="1" applyBorder="1" applyAlignment="1">
      <alignment wrapText="1"/>
      <protection/>
    </xf>
    <xf numFmtId="0" fontId="4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Continuous" vertical="top" wrapText="1"/>
    </xf>
    <xf numFmtId="0" fontId="15" fillId="0" borderId="12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3" fillId="0" borderId="72" xfId="0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67" xfId="0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45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3" fillId="0" borderId="100" xfId="0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164" fontId="5" fillId="0" borderId="132" xfId="0" applyNumberFormat="1" applyFont="1" applyBorder="1" applyAlignment="1">
      <alignment vertical="center"/>
    </xf>
    <xf numFmtId="3" fontId="3" fillId="0" borderId="13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9" fontId="11" fillId="0" borderId="36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11" fillId="0" borderId="31" xfId="0" applyNumberFormat="1" applyFont="1" applyFill="1" applyBorder="1" applyAlignment="1" applyProtection="1">
      <alignment horizontal="center" vertical="top" wrapText="1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3" fontId="12" fillId="0" borderId="49" xfId="0" applyNumberFormat="1" applyFont="1" applyFill="1" applyBorder="1" applyAlignment="1" applyProtection="1">
      <alignment horizontal="center" vertical="center"/>
      <protection/>
    </xf>
    <xf numFmtId="3" fontId="12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6" xfId="0" applyNumberFormat="1" applyFont="1" applyFill="1" applyBorder="1" applyAlignment="1" applyProtection="1">
      <alignment vertical="center"/>
      <protection/>
    </xf>
    <xf numFmtId="3" fontId="9" fillId="0" borderId="106" xfId="0" applyNumberFormat="1" applyFont="1" applyFill="1" applyBorder="1" applyAlignment="1" applyProtection="1">
      <alignment horizontal="center" vertical="center"/>
      <protection/>
    </xf>
    <xf numFmtId="3" fontId="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42" fillId="0" borderId="47" xfId="0" applyNumberFormat="1" applyFont="1" applyFill="1" applyBorder="1" applyAlignment="1" applyProtection="1">
      <alignment vertical="center" wrapText="1"/>
      <protection/>
    </xf>
    <xf numFmtId="0" fontId="16" fillId="0" borderId="49" xfId="0" applyNumberFormat="1" applyFont="1" applyFill="1" applyBorder="1" applyAlignment="1" applyProtection="1">
      <alignment vertical="center" wrapText="1"/>
      <protection/>
    </xf>
    <xf numFmtId="3" fontId="42" fillId="0" borderId="49" xfId="0" applyNumberFormat="1" applyFont="1" applyFill="1" applyBorder="1" applyAlignment="1" applyProtection="1">
      <alignment horizontal="center" vertical="center"/>
      <protection/>
    </xf>
    <xf numFmtId="3" fontId="42" fillId="0" borderId="46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vertical="center" wrapText="1"/>
      <protection/>
    </xf>
    <xf numFmtId="3" fontId="3" fillId="0" borderId="37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30" xfId="0" applyNumberFormat="1" applyFont="1" applyFill="1" applyBorder="1" applyAlignment="1" applyProtection="1">
      <alignment vertical="center" wrapText="1"/>
      <protection/>
    </xf>
    <xf numFmtId="3" fontId="6" fillId="0" borderId="30" xfId="0" applyNumberFormat="1" applyFont="1" applyFill="1" applyBorder="1" applyAlignment="1" applyProtection="1">
      <alignment horizontal="right"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06" xfId="0" applyNumberFormat="1" applyFont="1" applyFill="1" applyBorder="1" applyAlignment="1" applyProtection="1">
      <alignment vertical="center" wrapText="1"/>
      <protection/>
    </xf>
    <xf numFmtId="3" fontId="9" fillId="0" borderId="106" xfId="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vertical="center" wrapText="1"/>
      <protection/>
    </xf>
    <xf numFmtId="3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vertical="center"/>
      <protection/>
    </xf>
    <xf numFmtId="3" fontId="9" fillId="0" borderId="44" xfId="0" applyNumberFormat="1" applyFont="1" applyFill="1" applyBorder="1" applyAlignment="1" applyProtection="1">
      <alignment horizontal="center" vertical="center"/>
      <protection/>
    </xf>
    <xf numFmtId="3" fontId="9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2" fillId="0" borderId="13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/>
    </xf>
    <xf numFmtId="3" fontId="17" fillId="0" borderId="37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36" xfId="0" applyFont="1" applyBorder="1" applyAlignment="1">
      <alignment/>
    </xf>
    <xf numFmtId="0" fontId="51" fillId="0" borderId="3" xfId="0" applyFont="1" applyBorder="1" applyAlignment="1">
      <alignment/>
    </xf>
    <xf numFmtId="0" fontId="21" fillId="0" borderId="129" xfId="0" applyFont="1" applyBorder="1" applyAlignment="1">
      <alignment horizontal="centerContinuous" vertical="center"/>
    </xf>
    <xf numFmtId="0" fontId="51" fillId="0" borderId="104" xfId="0" applyFont="1" applyBorder="1" applyAlignment="1">
      <alignment horizontal="centerContinuous" vertical="center"/>
    </xf>
    <xf numFmtId="0" fontId="51" fillId="0" borderId="128" xfId="0" applyFont="1" applyBorder="1" applyAlignment="1">
      <alignment horizontal="centerContinuous" vertical="center"/>
    </xf>
    <xf numFmtId="0" fontId="51" fillId="0" borderId="0" xfId="0" applyFont="1" applyAlignment="1">
      <alignment/>
    </xf>
    <xf numFmtId="0" fontId="9" fillId="0" borderId="16" xfId="0" applyFont="1" applyBorder="1" applyAlignment="1">
      <alignment horizontal="centerContinuous" vertical="center"/>
    </xf>
    <xf numFmtId="0" fontId="50" fillId="0" borderId="14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 wrapText="1"/>
    </xf>
    <xf numFmtId="0" fontId="9" fillId="0" borderId="44" xfId="0" applyFont="1" applyBorder="1" applyAlignment="1">
      <alignment horizontal="centerContinuous" vertical="center" wrapText="1"/>
    </xf>
    <xf numFmtId="0" fontId="5" fillId="0" borderId="45" xfId="0" applyFont="1" applyBorder="1" applyAlignment="1">
      <alignment horizontal="centerContinuous" vertical="center" wrapText="1"/>
    </xf>
    <xf numFmtId="0" fontId="21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44" xfId="0" applyFont="1" applyBorder="1" applyAlignment="1">
      <alignment vertical="center" wrapText="1"/>
    </xf>
    <xf numFmtId="0" fontId="41" fillId="0" borderId="35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3" fontId="6" fillId="0" borderId="29" xfId="0" applyNumberFormat="1" applyFont="1" applyBorder="1" applyAlignment="1">
      <alignment vertical="center"/>
    </xf>
    <xf numFmtId="0" fontId="59" fillId="0" borderId="0" xfId="0" applyFont="1" applyAlignment="1">
      <alignment horizontal="centerContinuous" vertical="center"/>
    </xf>
    <xf numFmtId="0" fontId="5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3" fontId="6" fillId="0" borderId="5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" fontId="3" fillId="0" borderId="130" xfId="0" applyNumberFormat="1" applyFont="1" applyBorder="1" applyAlignment="1">
      <alignment vertical="center"/>
    </xf>
    <xf numFmtId="0" fontId="3" fillId="0" borderId="117" xfId="0" applyFont="1" applyBorder="1" applyAlignment="1">
      <alignment horizontal="center" vertical="center"/>
    </xf>
    <xf numFmtId="3" fontId="3" fillId="0" borderId="108" xfId="0" applyNumberFormat="1" applyFont="1" applyBorder="1" applyAlignment="1">
      <alignment vertical="center"/>
    </xf>
    <xf numFmtId="0" fontId="3" fillId="0" borderId="139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137" xfId="0" applyFont="1" applyBorder="1" applyAlignment="1">
      <alignment horizontal="center" vertical="center"/>
    </xf>
    <xf numFmtId="0" fontId="3" fillId="0" borderId="132" xfId="0" applyFont="1" applyBorder="1" applyAlignment="1">
      <alignment vertical="center" wrapText="1"/>
    </xf>
    <xf numFmtId="3" fontId="3" fillId="0" borderId="138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12" fillId="0" borderId="4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3" fillId="0" borderId="37" xfId="21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6" fillId="0" borderId="72" xfId="0" applyFont="1" applyFill="1" applyBorder="1" applyAlignment="1">
      <alignment horizontal="center" vertical="center" wrapText="1"/>
    </xf>
    <xf numFmtId="0" fontId="0" fillId="0" borderId="1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164" fontId="53" fillId="0" borderId="67" xfId="0" applyNumberFormat="1" applyFont="1" applyFill="1" applyBorder="1" applyAlignment="1">
      <alignment horizontal="center"/>
    </xf>
    <xf numFmtId="164" fontId="53" fillId="0" borderId="67" xfId="0" applyNumberFormat="1" applyFont="1" applyFill="1" applyBorder="1" applyAlignment="1">
      <alignment horizontal="centerContinuous"/>
    </xf>
    <xf numFmtId="164" fontId="53" fillId="0" borderId="43" xfId="0" applyNumberFormat="1" applyFont="1" applyFill="1" applyBorder="1" applyAlignment="1">
      <alignment horizontal="centerContinuous"/>
    </xf>
    <xf numFmtId="164" fontId="53" fillId="0" borderId="44" xfId="0" applyNumberFormat="1" applyFont="1" applyFill="1" applyBorder="1" applyAlignment="1">
      <alignment vertical="center"/>
    </xf>
    <xf numFmtId="164" fontId="53" fillId="0" borderId="45" xfId="0" applyNumberFormat="1" applyFont="1" applyFill="1" applyBorder="1" applyAlignment="1">
      <alignment vertical="center"/>
    </xf>
    <xf numFmtId="164" fontId="53" fillId="0" borderId="117" xfId="0" applyNumberFormat="1" applyFont="1" applyFill="1" applyBorder="1" applyAlignment="1">
      <alignment vertical="center"/>
    </xf>
    <xf numFmtId="164" fontId="53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42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vertical="center" wrapText="1"/>
    </xf>
    <xf numFmtId="0" fontId="42" fillId="0" borderId="44" xfId="0" applyNumberFormat="1" applyFont="1" applyFill="1" applyBorder="1" applyAlignment="1">
      <alignment horizontal="center" vertical="center"/>
    </xf>
    <xf numFmtId="164" fontId="42" fillId="0" borderId="44" xfId="0" applyNumberFormat="1" applyFont="1" applyFill="1" applyBorder="1" applyAlignment="1">
      <alignment horizontal="right" vertical="center"/>
    </xf>
    <xf numFmtId="164" fontId="42" fillId="0" borderId="44" xfId="0" applyNumberFormat="1" applyFont="1" applyFill="1" applyBorder="1" applyAlignment="1">
      <alignment vertical="center"/>
    </xf>
    <xf numFmtId="164" fontId="42" fillId="0" borderId="45" xfId="0" applyNumberFormat="1" applyFont="1" applyFill="1" applyBorder="1" applyAlignment="1">
      <alignment vertical="center"/>
    </xf>
    <xf numFmtId="164" fontId="42" fillId="0" borderId="117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67" xfId="0" applyFont="1" applyFill="1" applyBorder="1" applyAlignment="1">
      <alignment horizontal="center" vertical="center"/>
    </xf>
    <xf numFmtId="164" fontId="42" fillId="0" borderId="44" xfId="21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>
      <alignment vertical="center"/>
    </xf>
    <xf numFmtId="0" fontId="42" fillId="0" borderId="83" xfId="0" applyNumberFormat="1" applyFont="1" applyFill="1" applyBorder="1" applyAlignment="1">
      <alignment horizontal="center" vertical="center"/>
    </xf>
    <xf numFmtId="49" fontId="42" fillId="0" borderId="44" xfId="0" applyNumberFormat="1" applyFont="1" applyFill="1" applyBorder="1" applyAlignment="1">
      <alignment horizontal="center" vertical="center"/>
    </xf>
    <xf numFmtId="164" fontId="42" fillId="0" borderId="45" xfId="0" applyNumberFormat="1" applyFont="1" applyFill="1" applyBorder="1" applyAlignment="1">
      <alignment horizontal="right" vertical="center"/>
    </xf>
    <xf numFmtId="164" fontId="42" fillId="0" borderId="117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42" fillId="0" borderId="44" xfId="0" applyFont="1" applyFill="1" applyBorder="1" applyAlignment="1">
      <alignment vertical="center"/>
    </xf>
    <xf numFmtId="0" fontId="42" fillId="0" borderId="44" xfId="0" applyNumberFormat="1" applyFont="1" applyFill="1" applyBorder="1" applyAlignment="1">
      <alignment horizontal="center" vertical="center"/>
    </xf>
    <xf numFmtId="1" fontId="42" fillId="0" borderId="44" xfId="0" applyNumberFormat="1" applyFont="1" applyFill="1" applyBorder="1" applyAlignment="1">
      <alignment horizontal="center" vertical="center"/>
    </xf>
    <xf numFmtId="1" fontId="42" fillId="0" borderId="67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vertical="center"/>
    </xf>
    <xf numFmtId="164" fontId="42" fillId="0" borderId="44" xfId="0" applyNumberFormat="1" applyFont="1" applyFill="1" applyBorder="1" applyAlignment="1">
      <alignment horizontal="right" vertical="center"/>
    </xf>
    <xf numFmtId="164" fontId="42" fillId="0" borderId="44" xfId="0" applyNumberFormat="1" applyFont="1" applyFill="1" applyBorder="1" applyAlignment="1">
      <alignment vertical="center"/>
    </xf>
    <xf numFmtId="164" fontId="42" fillId="0" borderId="45" xfId="0" applyNumberFormat="1" applyFont="1" applyFill="1" applyBorder="1" applyAlignment="1">
      <alignment vertical="center"/>
    </xf>
    <xf numFmtId="164" fontId="42" fillId="0" borderId="117" xfId="0" applyNumberFormat="1" applyFont="1" applyFill="1" applyBorder="1" applyAlignment="1">
      <alignment vertical="center"/>
    </xf>
    <xf numFmtId="164" fontId="42" fillId="0" borderId="9" xfId="0" applyNumberFormat="1" applyFont="1" applyFill="1" applyBorder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4" xfId="0" applyNumberFormat="1" applyFont="1" applyBorder="1" applyAlignment="1">
      <alignment horizontal="center" vertical="center"/>
    </xf>
    <xf numFmtId="164" fontId="42" fillId="0" borderId="44" xfId="0" applyNumberFormat="1" applyFont="1" applyBorder="1" applyAlignment="1">
      <alignment horizontal="right" vertical="center"/>
    </xf>
    <xf numFmtId="164" fontId="42" fillId="0" borderId="44" xfId="0" applyNumberFormat="1" applyFont="1" applyBorder="1" applyAlignment="1">
      <alignment vertical="center"/>
    </xf>
    <xf numFmtId="164" fontId="42" fillId="0" borderId="45" xfId="0" applyNumberFormat="1" applyFont="1" applyBorder="1" applyAlignment="1">
      <alignment vertical="center"/>
    </xf>
    <xf numFmtId="166" fontId="42" fillId="0" borderId="45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42" fillId="0" borderId="4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2" fillId="0" borderId="49" xfId="0" applyNumberFormat="1" applyFont="1" applyFill="1" applyBorder="1" applyAlignment="1">
      <alignment horizontal="center" vertical="center"/>
    </xf>
    <xf numFmtId="0" fontId="42" fillId="0" borderId="49" xfId="0" applyNumberFormat="1" applyFont="1" applyFill="1" applyBorder="1" applyAlignment="1">
      <alignment horizontal="center" vertical="center"/>
    </xf>
    <xf numFmtId="164" fontId="42" fillId="0" borderId="49" xfId="0" applyNumberFormat="1" applyFont="1" applyFill="1" applyBorder="1" applyAlignment="1">
      <alignment horizontal="right" vertical="center"/>
    </xf>
    <xf numFmtId="164" fontId="42" fillId="0" borderId="49" xfId="0" applyNumberFormat="1" applyFont="1" applyFill="1" applyBorder="1" applyAlignment="1">
      <alignment vertical="center"/>
    </xf>
    <xf numFmtId="164" fontId="42" fillId="0" borderId="46" xfId="0" applyNumberFormat="1" applyFont="1" applyFill="1" applyBorder="1" applyAlignment="1">
      <alignment vertical="center"/>
    </xf>
    <xf numFmtId="164" fontId="42" fillId="0" borderId="9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42" fillId="0" borderId="44" xfId="0" applyNumberFormat="1" applyFont="1" applyFill="1" applyBorder="1" applyAlignment="1">
      <alignment horizontal="center" vertical="center" wrapText="1"/>
    </xf>
    <xf numFmtId="164" fontId="42" fillId="0" borderId="46" xfId="0" applyNumberFormat="1" applyFont="1" applyFill="1" applyBorder="1" applyAlignment="1">
      <alignment vertical="center"/>
    </xf>
    <xf numFmtId="164" fontId="42" fillId="0" borderId="139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4" fontId="42" fillId="0" borderId="15" xfId="0" applyNumberFormat="1" applyFont="1" applyFill="1" applyBorder="1" applyAlignment="1">
      <alignment vertical="center"/>
    </xf>
    <xf numFmtId="164" fontId="42" fillId="0" borderId="32" xfId="0" applyNumberFormat="1" applyFont="1" applyFill="1" applyBorder="1" applyAlignment="1">
      <alignment vertical="center"/>
    </xf>
    <xf numFmtId="164" fontId="42" fillId="0" borderId="140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53" fillId="0" borderId="67" xfId="0" applyNumberFormat="1" applyFont="1" applyFill="1" applyBorder="1" applyAlignment="1">
      <alignment horizontal="center" vertical="center"/>
    </xf>
    <xf numFmtId="164" fontId="53" fillId="0" borderId="67" xfId="0" applyNumberFormat="1" applyFont="1" applyFill="1" applyBorder="1" applyAlignment="1">
      <alignment horizontal="centerContinuous" vertical="center"/>
    </xf>
    <xf numFmtId="164" fontId="53" fillId="0" borderId="44" xfId="0" applyNumberFormat="1" applyFont="1" applyFill="1" applyBorder="1" applyAlignment="1">
      <alignment vertical="center"/>
    </xf>
    <xf numFmtId="164" fontId="53" fillId="0" borderId="45" xfId="0" applyNumberFormat="1" applyFont="1" applyFill="1" applyBorder="1" applyAlignment="1">
      <alignment vertical="center"/>
    </xf>
    <xf numFmtId="164" fontId="53" fillId="0" borderId="117" xfId="0" applyNumberFormat="1" applyFont="1" applyFill="1" applyBorder="1" applyAlignment="1">
      <alignment vertical="center"/>
    </xf>
    <xf numFmtId="164" fontId="53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164" fontId="53" fillId="0" borderId="9" xfId="0" applyNumberFormat="1" applyFont="1" applyFill="1" applyBorder="1" applyAlignment="1">
      <alignment vertical="center"/>
    </xf>
    <xf numFmtId="164" fontId="53" fillId="0" borderId="15" xfId="0" applyNumberFormat="1" applyFont="1" applyFill="1" applyBorder="1" applyAlignment="1">
      <alignment vertical="center"/>
    </xf>
    <xf numFmtId="164" fontId="60" fillId="0" borderId="0" xfId="0" applyNumberFormat="1" applyFont="1" applyFill="1" applyAlignment="1">
      <alignment vertical="center"/>
    </xf>
    <xf numFmtId="164" fontId="53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2" fillId="0" borderId="43" xfId="0" applyFont="1" applyFill="1" applyBorder="1" applyAlignment="1">
      <alignment horizontal="center" vertical="center"/>
    </xf>
    <xf numFmtId="164" fontId="42" fillId="0" borderId="67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/>
    </xf>
    <xf numFmtId="0" fontId="53" fillId="0" borderId="72" xfId="0" applyNumberFormat="1" applyFont="1" applyFill="1" applyBorder="1" applyAlignment="1">
      <alignment horizontal="center" vertical="center"/>
    </xf>
    <xf numFmtId="164" fontId="53" fillId="0" borderId="72" xfId="0" applyNumberFormat="1" applyFont="1" applyFill="1" applyBorder="1" applyAlignment="1">
      <alignment horizontal="centerContinuous" vertical="center"/>
    </xf>
    <xf numFmtId="164" fontId="53" fillId="0" borderId="106" xfId="0" applyNumberFormat="1" applyFont="1" applyFill="1" applyBorder="1" applyAlignment="1">
      <alignment vertical="center"/>
    </xf>
    <xf numFmtId="164" fontId="42" fillId="0" borderId="0" xfId="0" applyNumberFormat="1" applyFont="1" applyFill="1" applyAlignment="1">
      <alignment vertical="center"/>
    </xf>
    <xf numFmtId="49" fontId="42" fillId="0" borderId="67" xfId="0" applyNumberFormat="1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7" xfId="0" applyNumberFormat="1" applyFont="1" applyFill="1" applyBorder="1" applyAlignment="1">
      <alignment horizontal="center" vertical="center"/>
    </xf>
    <xf numFmtId="0" fontId="42" fillId="0" borderId="37" xfId="0" applyNumberFormat="1" applyFont="1" applyFill="1" applyBorder="1" applyAlignment="1">
      <alignment horizontal="center" vertical="center"/>
    </xf>
    <xf numFmtId="164" fontId="42" fillId="0" borderId="37" xfId="0" applyNumberFormat="1" applyFont="1" applyFill="1" applyBorder="1" applyAlignment="1">
      <alignment horizontal="right" vertical="center"/>
    </xf>
    <xf numFmtId="164" fontId="42" fillId="0" borderId="37" xfId="0" applyNumberFormat="1" applyFont="1" applyFill="1" applyBorder="1" applyAlignment="1">
      <alignment vertical="center"/>
    </xf>
    <xf numFmtId="166" fontId="42" fillId="0" borderId="15" xfId="0" applyNumberFormat="1" applyFont="1" applyFill="1" applyBorder="1" applyAlignment="1">
      <alignment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102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34" fillId="0" borderId="0" xfId="0" applyFont="1" applyAlignment="1">
      <alignment horizontal="centerContinuous" vertical="center" wrapText="1"/>
    </xf>
    <xf numFmtId="0" fontId="3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2" fillId="0" borderId="0" xfId="0" applyFont="1" applyAlignment="1">
      <alignment horizontal="right"/>
    </xf>
    <xf numFmtId="0" fontId="5" fillId="0" borderId="3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top" wrapText="1"/>
    </xf>
    <xf numFmtId="0" fontId="9" fillId="0" borderId="10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4" fillId="0" borderId="136" xfId="0" applyFont="1" applyBorder="1" applyAlignment="1">
      <alignment wrapText="1"/>
    </xf>
    <xf numFmtId="0" fontId="12" fillId="0" borderId="4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62" fillId="0" borderId="10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0" fillId="0" borderId="10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right" vertical="center"/>
    </xf>
    <xf numFmtId="164" fontId="63" fillId="0" borderId="108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30" fillId="0" borderId="10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" fontId="64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63" fillId="0" borderId="28" xfId="21" applyNumberFormat="1" applyFont="1" applyFill="1" applyBorder="1" applyAlignment="1" applyProtection="1">
      <alignment vertical="center" wrapText="1"/>
      <protection locked="0"/>
    </xf>
    <xf numFmtId="3" fontId="9" fillId="0" borderId="30" xfId="0" applyNumberFormat="1" applyFont="1" applyBorder="1" applyAlignment="1">
      <alignment horizontal="center" vertical="center"/>
    </xf>
    <xf numFmtId="164" fontId="24" fillId="0" borderId="10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2" fillId="0" borderId="10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3" fontId="2" fillId="0" borderId="108" xfId="0" applyNumberFormat="1" applyFont="1" applyBorder="1" applyAlignment="1">
      <alignment vertical="center"/>
    </xf>
    <xf numFmtId="0" fontId="9" fillId="0" borderId="14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3" fillId="0" borderId="35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50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/>
    </xf>
    <xf numFmtId="3" fontId="63" fillId="0" borderId="30" xfId="0" applyNumberFormat="1" applyFont="1" applyBorder="1" applyAlignment="1">
      <alignment vertical="center"/>
    </xf>
    <xf numFmtId="3" fontId="63" fillId="0" borderId="26" xfId="0" applyNumberFormat="1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62" fillId="0" borderId="22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0" fontId="24" fillId="0" borderId="26" xfId="0" applyFont="1" applyBorder="1" applyAlignment="1">
      <alignment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0" fontId="24" fillId="0" borderId="29" xfId="0" applyFont="1" applyBorder="1" applyAlignment="1">
      <alignment vertical="center" wrapText="1"/>
    </xf>
    <xf numFmtId="4" fontId="24" fillId="0" borderId="35" xfId="0" applyNumberFormat="1" applyFont="1" applyBorder="1" applyAlignment="1">
      <alignment vertical="center" wrapText="1"/>
    </xf>
    <xf numFmtId="4" fontId="29" fillId="0" borderId="30" xfId="0" applyNumberFormat="1" applyFont="1" applyBorder="1" applyAlignment="1">
      <alignment vertical="center" wrapText="1"/>
    </xf>
    <xf numFmtId="4" fontId="24" fillId="0" borderId="26" xfId="0" applyNumberFormat="1" applyFont="1" applyBorder="1" applyAlignment="1">
      <alignment vertical="center" wrapText="1"/>
    </xf>
    <xf numFmtId="4" fontId="24" fillId="0" borderId="50" xfId="0" applyNumberFormat="1" applyFont="1" applyBorder="1" applyAlignment="1">
      <alignment vertical="center" wrapText="1"/>
    </xf>
    <xf numFmtId="165" fontId="29" fillId="0" borderId="26" xfId="0" applyNumberFormat="1" applyFont="1" applyBorder="1" applyAlignment="1">
      <alignment vertical="center" wrapText="1"/>
    </xf>
    <xf numFmtId="165" fontId="29" fillId="0" borderId="28" xfId="0" applyNumberFormat="1" applyFont="1" applyBorder="1" applyAlignment="1">
      <alignment vertical="center" wrapText="1"/>
    </xf>
    <xf numFmtId="165" fontId="24" fillId="0" borderId="50" xfId="0" applyNumberFormat="1" applyFont="1" applyBorder="1" applyAlignment="1">
      <alignment vertical="center" wrapText="1"/>
    </xf>
    <xf numFmtId="3" fontId="24" fillId="0" borderId="50" xfId="0" applyNumberFormat="1" applyFont="1" applyBorder="1" applyAlignment="1">
      <alignment vertical="center" wrapText="1"/>
    </xf>
    <xf numFmtId="164" fontId="29" fillId="0" borderId="63" xfId="0" applyNumberFormat="1" applyFont="1" applyBorder="1" applyAlignment="1">
      <alignment vertical="center" wrapText="1"/>
    </xf>
    <xf numFmtId="164" fontId="29" fillId="0" borderId="28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49" fontId="4" fillId="0" borderId="40" xfId="0" applyNumberFormat="1" applyFont="1" applyFill="1" applyBorder="1" applyAlignment="1" applyProtection="1">
      <alignment horizontal="centerContinuous" vertical="center"/>
      <protection locked="0"/>
    </xf>
    <xf numFmtId="1" fontId="5" fillId="0" borderId="35" xfId="0" applyNumberFormat="1" applyFont="1" applyFill="1" applyBorder="1" applyAlignment="1" applyProtection="1">
      <alignment horizontal="centerContinuous" vertical="center"/>
      <protection locked="0"/>
    </xf>
    <xf numFmtId="1" fontId="5" fillId="0" borderId="50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" fontId="3" fillId="0" borderId="14" xfId="21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31" xfId="21" applyNumberFormat="1" applyFont="1" applyFill="1" applyBorder="1" applyAlignment="1" applyProtection="1">
      <alignment vertical="center" wrapText="1"/>
      <protection locked="0"/>
    </xf>
    <xf numFmtId="4" fontId="9" fillId="0" borderId="37" xfId="0" applyNumberFormat="1" applyFont="1" applyBorder="1" applyAlignment="1">
      <alignment vertical="center"/>
    </xf>
    <xf numFmtId="4" fontId="9" fillId="0" borderId="130" xfId="0" applyNumberFormat="1" applyFont="1" applyBorder="1" applyAlignment="1">
      <alignment vertical="center"/>
    </xf>
    <xf numFmtId="4" fontId="42" fillId="0" borderId="130" xfId="0" applyNumberFormat="1" applyFont="1" applyBorder="1" applyAlignment="1">
      <alignment vertical="center"/>
    </xf>
    <xf numFmtId="4" fontId="4" fillId="0" borderId="130" xfId="0" applyNumberFormat="1" applyFont="1" applyBorder="1" applyAlignment="1">
      <alignment vertical="center"/>
    </xf>
    <xf numFmtId="4" fontId="9" fillId="0" borderId="110" xfId="0" applyNumberFormat="1" applyFont="1" applyBorder="1" applyAlignment="1">
      <alignment vertical="center"/>
    </xf>
    <xf numFmtId="4" fontId="9" fillId="0" borderId="109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0" fontId="41" fillId="0" borderId="0" xfId="0" applyFont="1" applyAlignment="1">
      <alignment horizontal="centerContinuous" vertical="center" wrapText="1"/>
    </xf>
    <xf numFmtId="0" fontId="21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8" fillId="0" borderId="106" xfId="0" applyFont="1" applyBorder="1" applyAlignment="1">
      <alignment horizontal="left" vertical="center"/>
    </xf>
    <xf numFmtId="3" fontId="21" fillId="0" borderId="136" xfId="0" applyNumberFormat="1" applyFont="1" applyBorder="1" applyAlignment="1">
      <alignment vertical="center"/>
    </xf>
    <xf numFmtId="0" fontId="48" fillId="0" borderId="44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3" fontId="2" fillId="0" borderId="46" xfId="18" applyNumberFormat="1" applyFont="1" applyBorder="1" applyAlignment="1">
      <alignment vertical="center"/>
      <protection/>
    </xf>
    <xf numFmtId="3" fontId="5" fillId="0" borderId="50" xfId="18" applyNumberFormat="1" applyFont="1" applyBorder="1" applyAlignment="1">
      <alignment vertical="center"/>
      <protection/>
    </xf>
    <xf numFmtId="3" fontId="5" fillId="0" borderId="26" xfId="18" applyNumberFormat="1" applyFont="1" applyBorder="1" applyAlignment="1">
      <alignment vertical="center"/>
      <protection/>
    </xf>
    <xf numFmtId="0" fontId="5" fillId="0" borderId="83" xfId="18" applyFont="1" applyBorder="1" applyAlignment="1">
      <alignment horizontal="left" vertical="center" wrapText="1"/>
      <protection/>
    </xf>
    <xf numFmtId="164" fontId="32" fillId="0" borderId="46" xfId="21" applyNumberFormat="1" applyFont="1" applyFill="1" applyBorder="1" applyAlignment="1" applyProtection="1">
      <alignment vertical="center" wrapText="1"/>
      <protection locked="0"/>
    </xf>
    <xf numFmtId="3" fontId="4" fillId="0" borderId="46" xfId="18" applyNumberFormat="1" applyFont="1" applyBorder="1" applyAlignment="1">
      <alignment vertical="center"/>
      <protection/>
    </xf>
    <xf numFmtId="164" fontId="32" fillId="0" borderId="15" xfId="21" applyNumberFormat="1" applyFont="1" applyFill="1" applyBorder="1" applyAlignment="1" applyProtection="1">
      <alignment vertical="center" wrapText="1"/>
      <protection locked="0"/>
    </xf>
    <xf numFmtId="164" fontId="32" fillId="0" borderId="37" xfId="21" applyNumberFormat="1" applyFont="1" applyFill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horizontal="centerContinuous" vertical="center"/>
    </xf>
    <xf numFmtId="0" fontId="38" fillId="0" borderId="0" xfId="0" applyFont="1" applyAlignment="1">
      <alignment vertical="center"/>
    </xf>
    <xf numFmtId="0" fontId="42" fillId="0" borderId="72" xfId="0" applyFont="1" applyFill="1" applyBorder="1" applyAlignment="1">
      <alignment horizontal="center" vertical="center"/>
    </xf>
    <xf numFmtId="0" fontId="13" fillId="0" borderId="16" xfId="18" applyFont="1" applyBorder="1" applyAlignment="1">
      <alignment horizontal="center" vertical="center"/>
      <protection/>
    </xf>
    <xf numFmtId="0" fontId="13" fillId="0" borderId="17" xfId="18" applyFont="1" applyBorder="1" applyAlignment="1">
      <alignment horizontal="left" vertical="center" wrapText="1"/>
      <protection/>
    </xf>
    <xf numFmtId="3" fontId="13" fillId="0" borderId="135" xfId="18" applyNumberFormat="1" applyFont="1" applyBorder="1" applyAlignment="1">
      <alignment horizontal="right" vertical="center"/>
      <protection/>
    </xf>
    <xf numFmtId="3" fontId="13" fillId="0" borderId="35" xfId="18" applyNumberFormat="1" applyFont="1" applyBorder="1" applyAlignment="1">
      <alignment vertical="center"/>
      <protection/>
    </xf>
    <xf numFmtId="3" fontId="9" fillId="0" borderId="26" xfId="18" applyNumberFormat="1" applyFont="1" applyBorder="1" applyAlignment="1">
      <alignment vertical="center"/>
      <protection/>
    </xf>
    <xf numFmtId="3" fontId="13" fillId="0" borderId="16" xfId="18" applyNumberFormat="1" applyFont="1" applyBorder="1" applyAlignment="1">
      <alignment vertical="center"/>
      <protection/>
    </xf>
    <xf numFmtId="3" fontId="9" fillId="0" borderId="21" xfId="18" applyNumberFormat="1" applyFont="1" applyBorder="1" applyAlignment="1">
      <alignment vertical="center"/>
      <protection/>
    </xf>
    <xf numFmtId="3" fontId="4" fillId="0" borderId="16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25" fillId="0" borderId="0" xfId="0" applyFont="1" applyAlignment="1">
      <alignment vertical="center" wrapText="1"/>
    </xf>
    <xf numFmtId="0" fontId="42" fillId="0" borderId="106" xfId="0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vertical="center" wrapText="1"/>
    </xf>
    <xf numFmtId="0" fontId="42" fillId="0" borderId="80" xfId="0" applyFont="1" applyFill="1" applyBorder="1" applyAlignment="1">
      <alignment horizontal="center" vertical="center"/>
    </xf>
    <xf numFmtId="164" fontId="3" fillId="0" borderId="106" xfId="21" applyNumberFormat="1" applyFont="1" applyFill="1" applyBorder="1" applyAlignment="1" applyProtection="1">
      <alignment vertical="center" wrapText="1"/>
      <protection locked="0"/>
    </xf>
    <xf numFmtId="0" fontId="42" fillId="0" borderId="67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164" fontId="5" fillId="0" borderId="28" xfId="21" applyNumberFormat="1" applyFont="1" applyFill="1" applyBorder="1" applyAlignment="1" applyProtection="1">
      <alignment vertical="center" wrapText="1"/>
      <protection locked="0"/>
    </xf>
    <xf numFmtId="0" fontId="4" fillId="0" borderId="11" xfId="18" applyFont="1" applyBorder="1" applyAlignment="1">
      <alignment horizontal="center" vertical="center"/>
      <protection/>
    </xf>
    <xf numFmtId="3" fontId="4" fillId="0" borderId="40" xfId="18" applyNumberFormat="1" applyFont="1" applyBorder="1" applyAlignment="1">
      <alignment horizontal="right" vertical="center"/>
      <protection/>
    </xf>
    <xf numFmtId="3" fontId="4" fillId="0" borderId="14" xfId="18" applyNumberFormat="1" applyFont="1" applyBorder="1" applyAlignment="1">
      <alignment horizontal="right" vertical="center"/>
      <protection/>
    </xf>
    <xf numFmtId="3" fontId="4" fillId="0" borderId="15" xfId="18" applyNumberFormat="1" applyFont="1" applyBorder="1" applyAlignment="1">
      <alignment horizontal="center" vertical="center"/>
      <protection/>
    </xf>
    <xf numFmtId="0" fontId="31" fillId="0" borderId="42" xfId="18" applyFont="1" applyBorder="1" applyAlignment="1">
      <alignment horizontal="center" vertical="center"/>
      <protection/>
    </xf>
    <xf numFmtId="0" fontId="31" fillId="0" borderId="83" xfId="18" applyFont="1" applyBorder="1" applyAlignment="1">
      <alignment vertical="center" wrapText="1"/>
      <protection/>
    </xf>
    <xf numFmtId="3" fontId="31" fillId="0" borderId="118" xfId="18" applyNumberFormat="1" applyFont="1" applyBorder="1" applyAlignment="1">
      <alignment horizontal="right" vertical="center"/>
      <protection/>
    </xf>
    <xf numFmtId="3" fontId="31" fillId="0" borderId="67" xfId="0" applyNumberFormat="1" applyFont="1" applyBorder="1" applyAlignment="1">
      <alignment vertical="center"/>
    </xf>
    <xf numFmtId="3" fontId="31" fillId="0" borderId="45" xfId="18" applyNumberFormat="1" applyFont="1" applyBorder="1" applyAlignment="1">
      <alignment vertical="center"/>
      <protection/>
    </xf>
    <xf numFmtId="0" fontId="13" fillId="0" borderId="42" xfId="18" applyFont="1" applyBorder="1" applyAlignment="1">
      <alignment horizontal="center" vertical="center"/>
      <protection/>
    </xf>
    <xf numFmtId="0" fontId="13" fillId="0" borderId="45" xfId="18" applyFont="1" applyBorder="1" applyAlignment="1">
      <alignment vertical="center" wrapText="1"/>
      <protection/>
    </xf>
    <xf numFmtId="3" fontId="13" fillId="0" borderId="118" xfId="18" applyNumberFormat="1" applyFont="1" applyBorder="1" applyAlignment="1">
      <alignment horizontal="right" vertical="center"/>
      <protection/>
    </xf>
    <xf numFmtId="3" fontId="13" fillId="0" borderId="42" xfId="18" applyNumberFormat="1" applyFont="1" applyBorder="1" applyAlignment="1">
      <alignment vertical="center"/>
      <protection/>
    </xf>
    <xf numFmtId="3" fontId="9" fillId="0" borderId="45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horizontal="center" vertical="center"/>
      <protection/>
    </xf>
    <xf numFmtId="164" fontId="22" fillId="0" borderId="136" xfId="0" applyNumberFormat="1" applyFont="1" applyBorder="1" applyAlignment="1">
      <alignment vertical="center"/>
    </xf>
    <xf numFmtId="0" fontId="9" fillId="0" borderId="5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12" fillId="0" borderId="38" xfId="21" applyNumberFormat="1" applyFont="1" applyFill="1" applyBorder="1" applyAlignment="1" applyProtection="1">
      <alignment vertical="center" wrapText="1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164" fontId="13" fillId="0" borderId="85" xfId="21" applyNumberFormat="1" applyFont="1" applyFill="1" applyBorder="1" applyAlignment="1" applyProtection="1">
      <alignment vertical="center" wrapText="1"/>
      <protection locked="0"/>
    </xf>
    <xf numFmtId="3" fontId="5" fillId="0" borderId="77" xfId="0" applyNumberFormat="1" applyFont="1" applyFill="1" applyBorder="1" applyAlignment="1" applyProtection="1">
      <alignment vertical="center"/>
      <protection locked="0"/>
    </xf>
    <xf numFmtId="1" fontId="17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3" fontId="20" fillId="0" borderId="66" xfId="0" applyNumberFormat="1" applyFont="1" applyFill="1" applyBorder="1" applyAlignment="1" applyProtection="1">
      <alignment horizontal="right" vertical="center"/>
      <protection locked="0"/>
    </xf>
    <xf numFmtId="3" fontId="20" fillId="0" borderId="86" xfId="0" applyNumberFormat="1" applyFont="1" applyFill="1" applyBorder="1" applyAlignment="1" applyProtection="1">
      <alignment horizontal="right" vertical="center"/>
      <protection locked="0"/>
    </xf>
    <xf numFmtId="3" fontId="20" fillId="0" borderId="15" xfId="0" applyNumberFormat="1" applyFont="1" applyFill="1" applyBorder="1" applyAlignment="1" applyProtection="1">
      <alignment horizontal="right" vertical="center"/>
      <protection locked="0"/>
    </xf>
    <xf numFmtId="3" fontId="20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71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64" fontId="17" fillId="0" borderId="66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17" fillId="0" borderId="76" xfId="0" applyNumberFormat="1" applyFont="1" applyFill="1" applyBorder="1" applyAlignment="1">
      <alignment vertical="center"/>
    </xf>
    <xf numFmtId="3" fontId="17" fillId="0" borderId="77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114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18" xfId="0" applyNumberFormat="1" applyFont="1" applyFill="1" applyBorder="1" applyAlignment="1" applyProtection="1">
      <alignment vertical="center" wrapText="1"/>
      <protection locked="0"/>
    </xf>
    <xf numFmtId="49" fontId="13" fillId="0" borderId="40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134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3" fontId="12" fillId="0" borderId="47" xfId="0" applyNumberFormat="1" applyFont="1" applyFill="1" applyBorder="1" applyAlignment="1" applyProtection="1">
      <alignment vertical="center" wrapText="1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134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2" fillId="0" borderId="106" xfId="0" applyNumberFormat="1" applyFont="1" applyFill="1" applyBorder="1" applyAlignment="1" applyProtection="1">
      <alignment vertical="center"/>
      <protection locked="0"/>
    </xf>
    <xf numFmtId="0" fontId="12" fillId="0" borderId="118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3" fillId="0" borderId="44" xfId="0" applyNumberFormat="1" applyFont="1" applyFill="1" applyBorder="1" applyAlignment="1" applyProtection="1">
      <alignment vertical="center"/>
      <protection locked="0"/>
    </xf>
    <xf numFmtId="0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vertical="center"/>
      <protection locked="0"/>
    </xf>
    <xf numFmtId="0" fontId="12" fillId="0" borderId="37" xfId="0" applyNumberFormat="1" applyFont="1" applyFill="1" applyBorder="1" applyAlignment="1" applyProtection="1">
      <alignment vertical="center"/>
      <protection locked="0"/>
    </xf>
    <xf numFmtId="3" fontId="12" fillId="0" borderId="37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9" fontId="11" fillId="0" borderId="135" xfId="0" applyNumberFormat="1" applyFont="1" applyFill="1" applyBorder="1" applyAlignment="1" applyProtection="1">
      <alignment horizontal="centerContinuous" vertical="center"/>
      <protection locked="0"/>
    </xf>
    <xf numFmtId="3" fontId="3" fillId="0" borderId="33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3" fillId="0" borderId="85" xfId="0" applyNumberFormat="1" applyFont="1" applyBorder="1" applyAlignment="1">
      <alignment horizontal="right" vertical="center" wrapText="1"/>
    </xf>
    <xf numFmtId="1" fontId="3" fillId="0" borderId="131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3" fillId="0" borderId="5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4" fillId="0" borderId="10" xfId="18" applyFont="1" applyBorder="1" applyAlignment="1">
      <alignment vertical="center" wrapText="1"/>
      <protection/>
    </xf>
    <xf numFmtId="3" fontId="4" fillId="0" borderId="40" xfId="18" applyNumberFormat="1" applyFont="1" applyBorder="1" applyAlignment="1">
      <alignment vertical="center"/>
      <protection/>
    </xf>
    <xf numFmtId="0" fontId="5" fillId="0" borderId="35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vertical="center" wrapText="1"/>
      <protection/>
    </xf>
    <xf numFmtId="0" fontId="5" fillId="0" borderId="103" xfId="18" applyFont="1" applyBorder="1" applyAlignment="1">
      <alignment horizontal="center" vertical="center"/>
      <protection/>
    </xf>
    <xf numFmtId="0" fontId="5" fillId="0" borderId="129" xfId="18" applyFont="1" applyBorder="1" applyAlignment="1">
      <alignment vertical="center" wrapText="1"/>
      <protection/>
    </xf>
    <xf numFmtId="0" fontId="4" fillId="0" borderId="31" xfId="18" applyFont="1" applyBorder="1" applyAlignment="1">
      <alignment horizontal="center" vertical="center"/>
      <protection/>
    </xf>
    <xf numFmtId="0" fontId="32" fillId="0" borderId="102" xfId="18" applyFont="1" applyBorder="1" applyAlignment="1">
      <alignment vertical="center" wrapText="1"/>
      <protection/>
    </xf>
    <xf numFmtId="3" fontId="4" fillId="0" borderId="134" xfId="18" applyNumberFormat="1" applyFont="1" applyBorder="1" applyAlignment="1">
      <alignment horizontal="right" vertical="center"/>
      <protection/>
    </xf>
    <xf numFmtId="3" fontId="4" fillId="0" borderId="80" xfId="18" applyNumberFormat="1" applyFont="1" applyBorder="1" applyAlignment="1">
      <alignment vertical="center"/>
      <protection/>
    </xf>
    <xf numFmtId="3" fontId="4" fillId="0" borderId="32" xfId="18" applyNumberFormat="1" applyFont="1" applyBorder="1" applyAlignment="1">
      <alignment vertical="center"/>
      <protection/>
    </xf>
    <xf numFmtId="0" fontId="4" fillId="0" borderId="47" xfId="18" applyFont="1" applyBorder="1" applyAlignment="1">
      <alignment horizontal="center" vertical="center"/>
      <protection/>
    </xf>
    <xf numFmtId="3" fontId="4" fillId="0" borderId="47" xfId="18" applyNumberFormat="1" applyFont="1" applyBorder="1" applyAlignment="1">
      <alignment vertical="center"/>
      <protection/>
    </xf>
    <xf numFmtId="3" fontId="2" fillId="0" borderId="46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0" fontId="24" fillId="0" borderId="117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3" fontId="24" fillId="0" borderId="44" xfId="0" applyNumberFormat="1" applyFont="1" applyBorder="1" applyAlignment="1">
      <alignment vertical="center"/>
    </xf>
    <xf numFmtId="3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4" fontId="5" fillId="0" borderId="63" xfId="0" applyNumberFormat="1" applyFont="1" applyFill="1" applyBorder="1" applyAlignment="1" applyProtection="1">
      <alignment vertical="center"/>
      <protection locked="0"/>
    </xf>
    <xf numFmtId="4" fontId="5" fillId="0" borderId="62" xfId="0" applyNumberFormat="1" applyFont="1" applyFill="1" applyBorder="1" applyAlignment="1" applyProtection="1">
      <alignment vertical="center"/>
      <protection locked="0"/>
    </xf>
    <xf numFmtId="4" fontId="5" fillId="0" borderId="50" xfId="0" applyNumberFormat="1" applyFont="1" applyFill="1" applyBorder="1" applyAlignment="1" applyProtection="1">
      <alignment vertical="center"/>
      <protection locked="0"/>
    </xf>
    <xf numFmtId="4" fontId="5" fillId="0" borderId="92" xfId="0" applyNumberFormat="1" applyFont="1" applyFill="1" applyBorder="1" applyAlignment="1" applyProtection="1">
      <alignment vertical="center"/>
      <protection locked="0"/>
    </xf>
    <xf numFmtId="4" fontId="5" fillId="0" borderId="34" xfId="0" applyNumberFormat="1" applyFont="1" applyFill="1" applyBorder="1" applyAlignment="1">
      <alignment vertical="center"/>
    </xf>
    <xf numFmtId="4" fontId="17" fillId="0" borderId="38" xfId="0" applyNumberFormat="1" applyFont="1" applyFill="1" applyBorder="1" applyAlignment="1">
      <alignment vertical="center"/>
    </xf>
    <xf numFmtId="4" fontId="17" fillId="0" borderId="86" xfId="0" applyNumberFormat="1" applyFont="1" applyFill="1" applyBorder="1" applyAlignment="1">
      <alignment vertical="center"/>
    </xf>
    <xf numFmtId="4" fontId="12" fillId="0" borderId="86" xfId="0" applyNumberFormat="1" applyFont="1" applyFill="1" applyBorder="1" applyAlignment="1">
      <alignment vertical="center"/>
    </xf>
    <xf numFmtId="4" fontId="4" fillId="0" borderId="86" xfId="0" applyNumberFormat="1" applyFont="1" applyFill="1" applyBorder="1" applyAlignment="1">
      <alignment vertical="center"/>
    </xf>
    <xf numFmtId="4" fontId="11" fillId="0" borderId="38" xfId="0" applyNumberFormat="1" applyFont="1" applyFill="1" applyBorder="1" applyAlignment="1">
      <alignment vertical="center"/>
    </xf>
    <xf numFmtId="4" fontId="12" fillId="0" borderId="38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5" fillId="0" borderId="90" xfId="0" applyNumberFormat="1" applyFont="1" applyFill="1" applyBorder="1" applyAlignment="1">
      <alignment vertical="center"/>
    </xf>
    <xf numFmtId="4" fontId="17" fillId="0" borderId="65" xfId="0" applyNumberFormat="1" applyFont="1" applyFill="1" applyBorder="1" applyAlignment="1">
      <alignment vertical="center"/>
    </xf>
    <xf numFmtId="4" fontId="12" fillId="0" borderId="65" xfId="0" applyNumberFormat="1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vertical="center"/>
    </xf>
    <xf numFmtId="4" fontId="11" fillId="0" borderId="65" xfId="0" applyNumberFormat="1" applyFont="1" applyFill="1" applyBorder="1" applyAlignment="1">
      <alignment vertical="center"/>
    </xf>
    <xf numFmtId="4" fontId="13" fillId="0" borderId="65" xfId="0" applyNumberFormat="1" applyFont="1" applyFill="1" applyBorder="1" applyAlignment="1">
      <alignment vertical="center"/>
    </xf>
    <xf numFmtId="4" fontId="5" fillId="0" borderId="65" xfId="0" applyNumberFormat="1" applyFont="1" applyFill="1" applyBorder="1" applyAlignment="1">
      <alignment vertical="center"/>
    </xf>
    <xf numFmtId="4" fontId="17" fillId="0" borderId="75" xfId="0" applyNumberFormat="1" applyFont="1" applyFill="1" applyBorder="1" applyAlignment="1">
      <alignment vertical="center"/>
    </xf>
    <xf numFmtId="4" fontId="13" fillId="0" borderId="38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0" fontId="25" fillId="0" borderId="0" xfId="0" applyFont="1" applyAlignment="1">
      <alignment horizontal="justify"/>
    </xf>
    <xf numFmtId="3" fontId="20" fillId="0" borderId="86" xfId="0" applyNumberFormat="1" applyFont="1" applyFill="1" applyBorder="1" applyAlignment="1" applyProtection="1">
      <alignment vertical="center"/>
      <protection locked="0"/>
    </xf>
    <xf numFmtId="3" fontId="20" fillId="0" borderId="38" xfId="0" applyNumberFormat="1" applyFont="1" applyFill="1" applyBorder="1" applyAlignment="1" applyProtection="1">
      <alignment horizontal="right" vertical="center"/>
      <protection locked="0"/>
    </xf>
    <xf numFmtId="3" fontId="20" fillId="0" borderId="71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4" fontId="16" fillId="0" borderId="36" xfId="0" applyNumberFormat="1" applyFont="1" applyFill="1" applyBorder="1" applyAlignment="1" applyProtection="1">
      <alignment horizontal="right" vertical="center"/>
      <protection/>
    </xf>
    <xf numFmtId="4" fontId="17" fillId="0" borderId="141" xfId="0" applyNumberFormat="1" applyFont="1" applyFill="1" applyBorder="1" applyAlignment="1" applyProtection="1">
      <alignment horizontal="right" vertical="center"/>
      <protection/>
    </xf>
    <xf numFmtId="4" fontId="17" fillId="0" borderId="14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17" fillId="0" borderId="8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vertical="center"/>
      <protection/>
    </xf>
    <xf numFmtId="4" fontId="5" fillId="0" borderId="50" xfId="0" applyNumberFormat="1" applyFont="1" applyFill="1" applyBorder="1" applyAlignment="1" applyProtection="1">
      <alignment vertical="center"/>
      <protection/>
    </xf>
    <xf numFmtId="4" fontId="12" fillId="0" borderId="14" xfId="0" applyNumberFormat="1" applyFont="1" applyFill="1" applyBorder="1" applyAlignment="1" applyProtection="1">
      <alignment vertical="center"/>
      <protection/>
    </xf>
    <xf numFmtId="4" fontId="12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fill" wrapText="1"/>
    </xf>
    <xf numFmtId="0" fontId="22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4" fontId="22" fillId="0" borderId="0" xfId="0" applyNumberFormat="1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2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2" fillId="0" borderId="0" xfId="0" applyFont="1" applyBorder="1" applyAlignment="1">
      <alignment horizontal="centerContinuous" wrapText="1"/>
    </xf>
    <xf numFmtId="4" fontId="22" fillId="0" borderId="0" xfId="0" applyNumberFormat="1" applyFont="1" applyAlignment="1">
      <alignment horizontal="centerContinuous"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horizontal="left" vertical="top"/>
    </xf>
    <xf numFmtId="1" fontId="3" fillId="0" borderId="0" xfId="0" applyNumberFormat="1" applyFont="1" applyFill="1" applyBorder="1" applyAlignment="1" applyProtection="1">
      <alignment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29" fillId="0" borderId="26" xfId="0" applyFont="1" applyBorder="1" applyAlignment="1">
      <alignment horizontal="centerContinuous" vertical="center" wrapText="1"/>
    </xf>
    <xf numFmtId="0" fontId="29" fillId="0" borderId="28" xfId="0" applyFont="1" applyBorder="1" applyAlignment="1">
      <alignment horizontal="centerContinuous" vertical="center" wrapText="1"/>
    </xf>
    <xf numFmtId="4" fontId="29" fillId="0" borderId="26" xfId="0" applyNumberFormat="1" applyFont="1" applyBorder="1" applyAlignment="1">
      <alignment horizontal="centerContinuous" vertical="center" wrapText="1"/>
    </xf>
    <xf numFmtId="0" fontId="24" fillId="0" borderId="28" xfId="0" applyFont="1" applyBorder="1" applyAlignment="1">
      <alignment horizontal="centerContinuous" vertical="center" wrapText="1"/>
    </xf>
    <xf numFmtId="0" fontId="25" fillId="0" borderId="63" xfId="0" applyFont="1" applyBorder="1" applyAlignment="1">
      <alignment horizontal="centerContinuous" vertical="center" wrapText="1"/>
    </xf>
    <xf numFmtId="0" fontId="22" fillId="0" borderId="23" xfId="0" applyFont="1" applyBorder="1" applyAlignment="1">
      <alignment horizontal="centerContinuous" vertical="center"/>
    </xf>
    <xf numFmtId="4" fontId="22" fillId="0" borderId="29" xfId="0" applyNumberFormat="1" applyFont="1" applyBorder="1" applyAlignment="1">
      <alignment horizontal="centerContinuous" vertical="center"/>
    </xf>
    <xf numFmtId="4" fontId="13" fillId="0" borderId="143" xfId="0" applyNumberFormat="1" applyFont="1" applyBorder="1" applyAlignment="1">
      <alignment horizontal="centerContinuous" vertical="center" wrapText="1"/>
    </xf>
    <xf numFmtId="0" fontId="69" fillId="0" borderId="10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4" fontId="27" fillId="0" borderId="32" xfId="0" applyNumberFormat="1" applyFont="1" applyBorder="1" applyAlignment="1">
      <alignment horizontal="center" vertical="center" wrapText="1"/>
    </xf>
    <xf numFmtId="4" fontId="4" fillId="0" borderId="143" xfId="0" applyNumberFormat="1" applyFont="1" applyBorder="1" applyAlignment="1">
      <alignment horizontal="centerContinuous" vertical="center" wrapText="1"/>
    </xf>
    <xf numFmtId="0" fontId="69" fillId="0" borderId="32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4" fontId="28" fillId="0" borderId="56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 wrapText="1"/>
    </xf>
    <xf numFmtId="4" fontId="28" fillId="0" borderId="32" xfId="0" applyNumberFormat="1" applyFont="1" applyBorder="1" applyAlignment="1">
      <alignment horizontal="center" vertical="center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1" fontId="22" fillId="0" borderId="50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1" fontId="22" fillId="0" borderId="63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2" fillId="0" borderId="9" xfId="0" applyNumberFormat="1" applyFont="1" applyBorder="1" applyAlignment="1">
      <alignment horizontal="center" vertical="center" wrapText="1"/>
    </xf>
    <xf numFmtId="165" fontId="24" fillId="0" borderId="15" xfId="0" applyNumberFormat="1" applyFont="1" applyBorder="1" applyAlignment="1">
      <alignment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165" fontId="25" fillId="0" borderId="37" xfId="0" applyNumberFormat="1" applyFont="1" applyBorder="1" applyAlignment="1">
      <alignment horizontal="right" vertical="center" wrapText="1"/>
    </xf>
    <xf numFmtId="165" fontId="22" fillId="0" borderId="15" xfId="0" applyNumberFormat="1" applyFont="1" applyBorder="1" applyAlignment="1">
      <alignment horizontal="right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>
      <alignment horizontal="right" vertical="center" wrapText="1"/>
    </xf>
    <xf numFmtId="165" fontId="22" fillId="0" borderId="14" xfId="0" applyNumberFormat="1" applyFont="1" applyBorder="1" applyAlignment="1">
      <alignment horizontal="right" vertical="center" wrapText="1"/>
    </xf>
    <xf numFmtId="165" fontId="25" fillId="0" borderId="86" xfId="0" applyNumberFormat="1" applyFont="1" applyBorder="1" applyAlignment="1">
      <alignment vertical="center" wrapText="1"/>
    </xf>
    <xf numFmtId="165" fontId="25" fillId="0" borderId="10" xfId="0" applyNumberFormat="1" applyFont="1" applyBorder="1" applyAlignment="1">
      <alignment vertical="center" wrapText="1"/>
    </xf>
    <xf numFmtId="165" fontId="22" fillId="0" borderId="0" xfId="0" applyNumberFormat="1" applyFont="1" applyAlignment="1">
      <alignment vertical="center"/>
    </xf>
    <xf numFmtId="0" fontId="24" fillId="0" borderId="144" xfId="0" applyFont="1" applyBorder="1" applyAlignment="1">
      <alignment horizontal="center" vertical="center" wrapText="1"/>
    </xf>
    <xf numFmtId="0" fontId="24" fillId="0" borderId="56" xfId="0" applyFont="1" applyBorder="1" applyAlignment="1">
      <alignment vertical="center" wrapText="1"/>
    </xf>
    <xf numFmtId="3" fontId="24" fillId="0" borderId="54" xfId="0" applyNumberFormat="1" applyFont="1" applyBorder="1" applyAlignment="1">
      <alignment horizontal="right" vertical="center" wrapText="1"/>
    </xf>
    <xf numFmtId="165" fontId="29" fillId="0" borderId="127" xfId="0" applyNumberFormat="1" applyFont="1" applyBorder="1" applyAlignment="1">
      <alignment vertical="center" wrapText="1"/>
    </xf>
    <xf numFmtId="165" fontId="24" fillId="0" borderId="56" xfId="0" applyNumberFormat="1" applyFont="1" applyBorder="1" applyAlignment="1">
      <alignment vertical="center" wrapText="1"/>
    </xf>
    <xf numFmtId="164" fontId="24" fillId="0" borderId="56" xfId="0" applyNumberFormat="1" applyFont="1" applyBorder="1" applyAlignment="1">
      <alignment horizontal="center" vertical="center" wrapText="1"/>
    </xf>
    <xf numFmtId="164" fontId="29" fillId="0" borderId="56" xfId="0" applyNumberFormat="1" applyFont="1" applyBorder="1" applyAlignment="1">
      <alignment vertical="center" wrapText="1"/>
    </xf>
    <xf numFmtId="164" fontId="29" fillId="0" borderId="129" xfId="0" applyNumberFormat="1" applyFont="1" applyBorder="1" applyAlignment="1">
      <alignment vertical="center" wrapText="1"/>
    </xf>
    <xf numFmtId="164" fontId="24" fillId="0" borderId="54" xfId="0" applyNumberFormat="1" applyFont="1" applyBorder="1" applyAlignment="1">
      <alignment vertical="center" wrapText="1"/>
    </xf>
    <xf numFmtId="3" fontId="24" fillId="0" borderId="127" xfId="0" applyNumberFormat="1" applyFont="1" applyBorder="1" applyAlignment="1">
      <alignment vertical="center" wrapText="1"/>
    </xf>
    <xf numFmtId="164" fontId="29" fillId="0" borderId="145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165" fontId="25" fillId="0" borderId="0" xfId="0" applyNumberFormat="1" applyFont="1" applyBorder="1" applyAlignment="1">
      <alignment vertical="center" wrapText="1"/>
    </xf>
    <xf numFmtId="165" fontId="22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45" xfId="0" applyFont="1" applyBorder="1" applyAlignment="1">
      <alignment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65" fontId="29" fillId="0" borderId="44" xfId="0" applyNumberFormat="1" applyFont="1" applyBorder="1" applyAlignment="1">
      <alignment horizontal="center" vertical="center" wrapText="1"/>
    </xf>
    <xf numFmtId="165" fontId="24" fillId="0" borderId="45" xfId="0" applyNumberFormat="1" applyFont="1" applyBorder="1" applyAlignment="1">
      <alignment horizontal="center" vertical="center" wrapText="1"/>
    </xf>
    <xf numFmtId="164" fontId="24" fillId="0" borderId="45" xfId="0" applyNumberFormat="1" applyFont="1" applyBorder="1" applyAlignment="1">
      <alignment horizontal="center" vertical="center" wrapText="1"/>
    </xf>
    <xf numFmtId="165" fontId="29" fillId="0" borderId="45" xfId="0" applyNumberFormat="1" applyFont="1" applyBorder="1" applyAlignment="1">
      <alignment vertical="center" wrapText="1"/>
    </xf>
    <xf numFmtId="165" fontId="29" fillId="0" borderId="83" xfId="0" applyNumberFormat="1" applyFont="1" applyBorder="1" applyAlignment="1">
      <alignment vertical="center" wrapText="1"/>
    </xf>
    <xf numFmtId="165" fontId="24" fillId="0" borderId="43" xfId="0" applyNumberFormat="1" applyFont="1" applyBorder="1" applyAlignment="1">
      <alignment vertical="center" wrapText="1"/>
    </xf>
    <xf numFmtId="3" fontId="24" fillId="0" borderId="44" xfId="0" applyNumberFormat="1" applyFont="1" applyBorder="1" applyAlignment="1">
      <alignment vertical="center" wrapText="1"/>
    </xf>
    <xf numFmtId="164" fontId="29" fillId="0" borderId="69" xfId="0" applyNumberFormat="1" applyFont="1" applyBorder="1" applyAlignment="1">
      <alignment horizontal="center" vertical="center" wrapText="1"/>
    </xf>
    <xf numFmtId="164" fontId="29" fillId="0" borderId="83" xfId="0" applyNumberFormat="1" applyFont="1" applyBorder="1" applyAlignment="1">
      <alignment vertical="center" wrapText="1"/>
    </xf>
    <xf numFmtId="164" fontId="29" fillId="0" borderId="45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vertical="center" wrapText="1"/>
    </xf>
    <xf numFmtId="165" fontId="25" fillId="0" borderId="37" xfId="0" applyNumberFormat="1" applyFont="1" applyBorder="1" applyAlignment="1">
      <alignment vertical="center" wrapText="1"/>
    </xf>
    <xf numFmtId="165" fontId="22" fillId="0" borderId="15" xfId="0" applyNumberFormat="1" applyFont="1" applyBorder="1" applyAlignment="1">
      <alignment vertical="center" wrapText="1"/>
    </xf>
    <xf numFmtId="164" fontId="25" fillId="0" borderId="15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vertical="center" wrapText="1"/>
    </xf>
    <xf numFmtId="164" fontId="22" fillId="0" borderId="14" xfId="0" applyNumberFormat="1" applyFont="1" applyBorder="1" applyAlignment="1">
      <alignment vertical="center" wrapText="1"/>
    </xf>
    <xf numFmtId="3" fontId="22" fillId="0" borderId="37" xfId="0" applyNumberFormat="1" applyFont="1" applyBorder="1" applyAlignment="1">
      <alignment vertical="center" wrapText="1"/>
    </xf>
    <xf numFmtId="164" fontId="25" fillId="0" borderId="38" xfId="0" applyNumberFormat="1" applyFont="1" applyBorder="1" applyAlignment="1">
      <alignment vertical="center" wrapText="1"/>
    </xf>
    <xf numFmtId="0" fontId="24" fillId="0" borderId="139" xfId="0" applyFont="1" applyBorder="1" applyAlignment="1">
      <alignment horizontal="center" vertical="center" wrapText="1"/>
    </xf>
    <xf numFmtId="0" fontId="24" fillId="0" borderId="46" xfId="0" applyFont="1" applyBorder="1" applyAlignment="1">
      <alignment vertical="center" wrapText="1"/>
    </xf>
    <xf numFmtId="3" fontId="24" fillId="0" borderId="48" xfId="0" applyNumberFormat="1" applyFont="1" applyBorder="1" applyAlignment="1">
      <alignment horizontal="right" vertical="center" wrapText="1"/>
    </xf>
    <xf numFmtId="165" fontId="29" fillId="0" borderId="49" xfId="0" applyNumberFormat="1" applyFont="1" applyBorder="1" applyAlignment="1">
      <alignment horizontal="center" vertical="center" wrapText="1"/>
    </xf>
    <xf numFmtId="165" fontId="24" fillId="0" borderId="46" xfId="0" applyNumberFormat="1" applyFont="1" applyBorder="1" applyAlignment="1">
      <alignment horizontal="center" vertical="center" wrapText="1"/>
    </xf>
    <xf numFmtId="164" fontId="24" fillId="0" borderId="46" xfId="0" applyNumberFormat="1" applyFont="1" applyBorder="1" applyAlignment="1">
      <alignment horizontal="center" vertical="center" wrapText="1"/>
    </xf>
    <xf numFmtId="164" fontId="29" fillId="0" borderId="46" xfId="0" applyNumberFormat="1" applyFont="1" applyBorder="1" applyAlignment="1">
      <alignment vertical="center" wrapText="1"/>
    </xf>
    <xf numFmtId="164" fontId="29" fillId="0" borderId="110" xfId="0" applyNumberFormat="1" applyFont="1" applyBorder="1" applyAlignment="1">
      <alignment vertical="center" wrapText="1"/>
    </xf>
    <xf numFmtId="164" fontId="24" fillId="0" borderId="48" xfId="0" applyNumberFormat="1" applyFont="1" applyBorder="1" applyAlignment="1">
      <alignment vertical="center" wrapText="1"/>
    </xf>
    <xf numFmtId="3" fontId="24" fillId="0" borderId="49" xfId="0" applyNumberFormat="1" applyFont="1" applyBorder="1" applyAlignment="1">
      <alignment horizontal="right" vertical="center" wrapText="1"/>
    </xf>
    <xf numFmtId="164" fontId="29" fillId="0" borderId="88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vertical="center" wrapText="1"/>
    </xf>
    <xf numFmtId="165" fontId="25" fillId="0" borderId="37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right" vertical="center" wrapText="1"/>
    </xf>
    <xf numFmtId="164" fontId="25" fillId="0" borderId="38" xfId="0" applyNumberFormat="1" applyFont="1" applyBorder="1" applyAlignment="1">
      <alignment horizontal="center" vertical="center" wrapText="1"/>
    </xf>
    <xf numFmtId="0" fontId="22" fillId="0" borderId="140" xfId="0" applyFont="1" applyBorder="1" applyAlignment="1">
      <alignment horizontal="center" vertical="center" wrapText="1"/>
    </xf>
    <xf numFmtId="165" fontId="22" fillId="0" borderId="32" xfId="0" applyNumberFormat="1" applyFont="1" applyBorder="1" applyAlignment="1">
      <alignment vertical="center" wrapText="1"/>
    </xf>
    <xf numFmtId="3" fontId="22" fillId="0" borderId="80" xfId="0" applyNumberFormat="1" applyFont="1" applyBorder="1" applyAlignment="1">
      <alignment horizontal="right" vertical="center" wrapText="1"/>
    </xf>
    <xf numFmtId="165" fontId="25" fillId="0" borderId="106" xfId="0" applyNumberFormat="1" applyFont="1" applyBorder="1" applyAlignment="1">
      <alignment horizontal="center" vertical="center" wrapText="1"/>
    </xf>
    <xf numFmtId="165" fontId="22" fillId="0" borderId="102" xfId="0" applyNumberFormat="1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5" fillId="0" borderId="32" xfId="0" applyNumberFormat="1" applyFont="1" applyBorder="1" applyAlignment="1">
      <alignment vertical="center" wrapText="1"/>
    </xf>
    <xf numFmtId="164" fontId="25" fillId="0" borderId="102" xfId="0" applyNumberFormat="1" applyFont="1" applyBorder="1" applyAlignment="1">
      <alignment vertical="center" wrapText="1"/>
    </xf>
    <xf numFmtId="164" fontId="22" fillId="0" borderId="80" xfId="0" applyNumberFormat="1" applyFont="1" applyBorder="1" applyAlignment="1">
      <alignment vertical="center" wrapText="1"/>
    </xf>
    <xf numFmtId="3" fontId="22" fillId="0" borderId="106" xfId="0" applyNumberFormat="1" applyFont="1" applyBorder="1" applyAlignment="1">
      <alignment horizontal="right" vertical="center" wrapText="1"/>
    </xf>
    <xf numFmtId="164" fontId="25" fillId="0" borderId="8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32" xfId="0" applyFont="1" applyBorder="1" applyAlignment="1">
      <alignment vertical="center" wrapText="1"/>
    </xf>
    <xf numFmtId="3" fontId="22" fillId="0" borderId="80" xfId="0" applyNumberFormat="1" applyFont="1" applyBorder="1" applyAlignment="1">
      <alignment vertical="center" wrapText="1"/>
    </xf>
    <xf numFmtId="165" fontId="25" fillId="0" borderId="106" xfId="0" applyNumberFormat="1" applyFont="1" applyBorder="1" applyAlignment="1">
      <alignment vertical="center" wrapText="1"/>
    </xf>
    <xf numFmtId="165" fontId="22" fillId="0" borderId="32" xfId="0" applyNumberFormat="1" applyFont="1" applyBorder="1" applyAlignment="1">
      <alignment vertical="center" wrapText="1"/>
    </xf>
    <xf numFmtId="3" fontId="22" fillId="0" borderId="106" xfId="0" applyNumberFormat="1" applyFont="1" applyBorder="1" applyAlignment="1">
      <alignment vertical="center" wrapText="1"/>
    </xf>
    <xf numFmtId="164" fontId="25" fillId="0" borderId="81" xfId="0" applyNumberFormat="1" applyFont="1" applyBorder="1" applyAlignment="1">
      <alignment vertical="center" wrapText="1"/>
    </xf>
    <xf numFmtId="3" fontId="24" fillId="0" borderId="42" xfId="0" applyNumberFormat="1" applyFont="1" applyBorder="1" applyAlignment="1">
      <alignment horizontal="right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65" fontId="29" fillId="0" borderId="45" xfId="0" applyNumberFormat="1" applyFont="1" applyBorder="1" applyAlignment="1">
      <alignment horizontal="center" vertical="center" wrapText="1"/>
    </xf>
    <xf numFmtId="165" fontId="29" fillId="0" borderId="83" xfId="0" applyNumberFormat="1" applyFont="1" applyBorder="1" applyAlignment="1">
      <alignment horizontal="center" vertical="center" wrapText="1"/>
    </xf>
    <xf numFmtId="165" fontId="24" fillId="0" borderId="43" xfId="0" applyNumberFormat="1" applyFont="1" applyBorder="1" applyAlignment="1">
      <alignment horizontal="center" vertical="center" wrapText="1"/>
    </xf>
    <xf numFmtId="3" fontId="24" fillId="0" borderId="44" xfId="0" applyNumberFormat="1" applyFont="1" applyBorder="1" applyAlignment="1">
      <alignment horizontal="right" vertical="center" wrapText="1"/>
    </xf>
    <xf numFmtId="164" fontId="29" fillId="0" borderId="69" xfId="0" applyNumberFormat="1" applyFont="1" applyBorder="1" applyAlignment="1">
      <alignment vertical="center" wrapText="1"/>
    </xf>
    <xf numFmtId="3" fontId="22" fillId="0" borderId="47" xfId="0" applyNumberFormat="1" applyFont="1" applyBorder="1" applyAlignment="1">
      <alignment horizontal="right" vertical="center" wrapText="1"/>
    </xf>
    <xf numFmtId="165" fontId="25" fillId="0" borderId="49" xfId="0" applyNumberFormat="1" applyFont="1" applyBorder="1" applyAlignment="1">
      <alignment vertical="center" wrapText="1"/>
    </xf>
    <xf numFmtId="165" fontId="22" fillId="0" borderId="46" xfId="0" applyNumberFormat="1" applyFont="1" applyBorder="1" applyAlignment="1">
      <alignment vertical="center" wrapText="1"/>
    </xf>
    <xf numFmtId="164" fontId="22" fillId="0" borderId="46" xfId="0" applyNumberFormat="1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vertical="center" wrapText="1"/>
    </xf>
    <xf numFmtId="165" fontId="25" fillId="0" borderId="46" xfId="0" applyNumberFormat="1" applyFont="1" applyBorder="1" applyAlignment="1">
      <alignment vertical="center" wrapText="1"/>
    </xf>
    <xf numFmtId="165" fontId="25" fillId="0" borderId="110" xfId="0" applyNumberFormat="1" applyFont="1" applyBorder="1" applyAlignment="1">
      <alignment vertical="center" wrapText="1"/>
    </xf>
    <xf numFmtId="165" fontId="22" fillId="0" borderId="48" xfId="0" applyNumberFormat="1" applyFont="1" applyBorder="1" applyAlignment="1">
      <alignment vertical="center" wrapText="1"/>
    </xf>
    <xf numFmtId="3" fontId="22" fillId="0" borderId="49" xfId="0" applyNumberFormat="1" applyFont="1" applyBorder="1" applyAlignment="1">
      <alignment vertical="center" wrapText="1"/>
    </xf>
    <xf numFmtId="164" fontId="25" fillId="0" borderId="88" xfId="0" applyNumberFormat="1" applyFont="1" applyBorder="1" applyAlignment="1">
      <alignment vertical="center" wrapText="1"/>
    </xf>
    <xf numFmtId="164" fontId="25" fillId="0" borderId="110" xfId="0" applyNumberFormat="1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165" fontId="25" fillId="0" borderId="15" xfId="0" applyNumberFormat="1" applyFont="1" applyBorder="1" applyAlignment="1">
      <alignment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5" fontId="22" fillId="0" borderId="14" xfId="0" applyNumberFormat="1" applyFont="1" applyBorder="1" applyAlignment="1">
      <alignment vertical="center" wrapText="1"/>
    </xf>
    <xf numFmtId="165" fontId="24" fillId="0" borderId="139" xfId="0" applyNumberFormat="1" applyFont="1" applyBorder="1" applyAlignment="1">
      <alignment horizontal="center" vertical="center" wrapText="1"/>
    </xf>
    <xf numFmtId="165" fontId="24" fillId="0" borderId="46" xfId="0" applyNumberFormat="1" applyFont="1" applyBorder="1" applyAlignment="1">
      <alignment vertical="center" wrapText="1"/>
    </xf>
    <xf numFmtId="165" fontId="29" fillId="0" borderId="46" xfId="0" applyNumberFormat="1" applyFont="1" applyBorder="1" applyAlignment="1">
      <alignment horizontal="center" vertical="center" wrapText="1"/>
    </xf>
    <xf numFmtId="165" fontId="29" fillId="0" borderId="110" xfId="0" applyNumberFormat="1" applyFont="1" applyBorder="1" applyAlignment="1">
      <alignment horizontal="center" vertical="center" wrapText="1"/>
    </xf>
    <xf numFmtId="165" fontId="24" fillId="0" borderId="48" xfId="0" applyNumberFormat="1" applyFont="1" applyBorder="1" applyAlignment="1">
      <alignment horizontal="center" vertical="center" wrapText="1"/>
    </xf>
    <xf numFmtId="164" fontId="29" fillId="0" borderId="88" xfId="0" applyNumberFormat="1" applyFont="1" applyBorder="1" applyAlignment="1">
      <alignment vertical="center" wrapText="1"/>
    </xf>
    <xf numFmtId="165" fontId="24" fillId="0" borderId="9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vertical="center" wrapText="1"/>
    </xf>
    <xf numFmtId="3" fontId="22" fillId="0" borderId="16" xfId="0" applyNumberFormat="1" applyFont="1" applyBorder="1" applyAlignment="1">
      <alignment vertical="center" wrapText="1"/>
    </xf>
    <xf numFmtId="165" fontId="29" fillId="0" borderId="37" xfId="0" applyNumberFormat="1" applyFont="1" applyBorder="1" applyAlignment="1">
      <alignment horizontal="center" vertical="center" wrapText="1"/>
    </xf>
    <xf numFmtId="165" fontId="24" fillId="0" borderId="15" xfId="0" applyNumberFormat="1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165" fontId="29" fillId="0" borderId="15" xfId="0" applyNumberFormat="1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164" fontId="29" fillId="0" borderId="38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165" fontId="25" fillId="0" borderId="8" xfId="0" applyNumberFormat="1" applyFont="1" applyBorder="1" applyAlignment="1">
      <alignment vertical="center" wrapText="1"/>
    </xf>
    <xf numFmtId="165" fontId="25" fillId="0" borderId="7" xfId="0" applyNumberFormat="1" applyFont="1" applyBorder="1" applyAlignment="1">
      <alignment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vertical="center" wrapText="1"/>
    </xf>
    <xf numFmtId="3" fontId="22" fillId="0" borderId="33" xfId="0" applyNumberFormat="1" applyFont="1" applyBorder="1" applyAlignment="1">
      <alignment vertical="center" wrapText="1"/>
    </xf>
    <xf numFmtId="3" fontId="22" fillId="0" borderId="37" xfId="0" applyNumberFormat="1" applyFont="1" applyBorder="1" applyAlignment="1">
      <alignment vertical="center" wrapText="1"/>
    </xf>
    <xf numFmtId="0" fontId="22" fillId="0" borderId="130" xfId="0" applyFont="1" applyBorder="1" applyAlignment="1">
      <alignment vertical="center" wrapText="1"/>
    </xf>
    <xf numFmtId="165" fontId="25" fillId="0" borderId="21" xfId="0" applyNumberFormat="1" applyFont="1" applyBorder="1" applyAlignment="1">
      <alignment vertical="center" wrapText="1"/>
    </xf>
    <xf numFmtId="165" fontId="25" fillId="0" borderId="17" xfId="0" applyNumberFormat="1" applyFont="1" applyBorder="1" applyAlignment="1">
      <alignment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vertical="center" wrapText="1"/>
    </xf>
    <xf numFmtId="3" fontId="22" fillId="0" borderId="20" xfId="0" applyNumberFormat="1" applyFont="1" applyBorder="1" applyAlignment="1">
      <alignment vertical="center" wrapText="1"/>
    </xf>
    <xf numFmtId="164" fontId="25" fillId="0" borderId="76" xfId="0" applyNumberFormat="1" applyFont="1" applyBorder="1" applyAlignment="1">
      <alignment vertical="center" wrapText="1"/>
    </xf>
    <xf numFmtId="164" fontId="25" fillId="0" borderId="17" xfId="0" applyNumberFormat="1" applyFont="1" applyBorder="1" applyAlignment="1">
      <alignment vertical="center" wrapText="1"/>
    </xf>
    <xf numFmtId="0" fontId="24" fillId="0" borderId="36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vertical="center" wrapText="1"/>
    </xf>
    <xf numFmtId="0" fontId="24" fillId="0" borderId="11" xfId="0" applyFont="1" applyBorder="1" applyAlignment="1">
      <alignment horizontal="centerContinuous" vertical="center" wrapText="1"/>
    </xf>
    <xf numFmtId="165" fontId="24" fillId="0" borderId="37" xfId="0" applyNumberFormat="1" applyFont="1" applyBorder="1" applyAlignment="1">
      <alignment vertical="center" wrapText="1"/>
    </xf>
    <xf numFmtId="165" fontId="22" fillId="0" borderId="10" xfId="0" applyNumberFormat="1" applyFont="1" applyBorder="1" applyAlignment="1">
      <alignment vertical="center" wrapText="1"/>
    </xf>
    <xf numFmtId="0" fontId="22" fillId="0" borderId="16" xfId="0" applyFont="1" applyBorder="1" applyAlignment="1">
      <alignment horizontal="centerContinuous" vertical="center" wrapText="1"/>
    </xf>
    <xf numFmtId="165" fontId="22" fillId="0" borderId="131" xfId="0" applyNumberFormat="1" applyFont="1" applyBorder="1" applyAlignment="1">
      <alignment vertical="center" wrapText="1"/>
    </xf>
    <xf numFmtId="165" fontId="22" fillId="0" borderId="21" xfId="0" applyNumberFormat="1" applyFont="1" applyBorder="1" applyAlignment="1">
      <alignment vertical="center" wrapText="1"/>
    </xf>
    <xf numFmtId="164" fontId="22" fillId="0" borderId="20" xfId="0" applyNumberFormat="1" applyFont="1" applyBorder="1" applyAlignment="1">
      <alignment horizontal="right" vertical="center" wrapText="1"/>
    </xf>
    <xf numFmtId="165" fontId="22" fillId="0" borderId="17" xfId="0" applyNumberFormat="1" applyFont="1" applyBorder="1" applyAlignment="1">
      <alignment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164" fontId="22" fillId="0" borderId="76" xfId="0" applyNumberFormat="1" applyFont="1" applyBorder="1" applyAlignment="1">
      <alignment vertical="center" wrapText="1"/>
    </xf>
    <xf numFmtId="164" fontId="22" fillId="0" borderId="17" xfId="0" applyNumberFormat="1" applyFont="1" applyBorder="1" applyAlignment="1">
      <alignment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2" fillId="0" borderId="130" xfId="0" applyFont="1" applyBorder="1" applyAlignment="1">
      <alignment horizontal="left" vertical="center" wrapText="1"/>
    </xf>
    <xf numFmtId="165" fontId="22" fillId="0" borderId="37" xfId="0" applyNumberFormat="1" applyFont="1" applyBorder="1" applyAlignment="1">
      <alignment vertical="center" wrapText="1"/>
    </xf>
    <xf numFmtId="164" fontId="22" fillId="0" borderId="38" xfId="0" applyNumberFormat="1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3" fontId="25" fillId="0" borderId="37" xfId="0" applyNumberFormat="1" applyFont="1" applyBorder="1" applyAlignment="1">
      <alignment vertical="center" wrapText="1"/>
    </xf>
    <xf numFmtId="3" fontId="25" fillId="0" borderId="15" xfId="0" applyNumberFormat="1" applyFont="1" applyBorder="1" applyAlignment="1">
      <alignment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0" fontId="22" fillId="0" borderId="9" xfId="0" applyFont="1" applyBorder="1" applyAlignment="1">
      <alignment horizontal="centerContinuous" vertical="center" wrapText="1"/>
    </xf>
    <xf numFmtId="165" fontId="24" fillId="0" borderId="130" xfId="0" applyNumberFormat="1" applyFont="1" applyBorder="1" applyAlignment="1">
      <alignment vertical="center" wrapText="1"/>
    </xf>
    <xf numFmtId="165" fontId="22" fillId="0" borderId="130" xfId="0" applyNumberFormat="1" applyFont="1" applyBorder="1" applyAlignment="1">
      <alignment vertical="center" wrapText="1"/>
    </xf>
    <xf numFmtId="164" fontId="22" fillId="0" borderId="0" xfId="0" applyNumberFormat="1" applyFont="1" applyBorder="1" applyAlignment="1">
      <alignment vertical="center" wrapText="1"/>
    </xf>
    <xf numFmtId="0" fontId="22" fillId="0" borderId="51" xfId="0" applyFont="1" applyBorder="1" applyAlignment="1">
      <alignment horizontal="centerContinuous" vertical="center" wrapText="1"/>
    </xf>
    <xf numFmtId="165" fontId="24" fillId="0" borderId="52" xfId="0" applyNumberFormat="1" applyFont="1" applyBorder="1" applyAlignment="1">
      <alignment vertical="center" wrapText="1"/>
    </xf>
    <xf numFmtId="4" fontId="22" fillId="0" borderId="16" xfId="0" applyNumberFormat="1" applyFont="1" applyBorder="1" applyAlignment="1">
      <alignment vertical="center" wrapText="1"/>
    </xf>
    <xf numFmtId="165" fontId="25" fillId="0" borderId="135" xfId="0" applyNumberFormat="1" applyFont="1" applyBorder="1" applyAlignment="1">
      <alignment horizontal="center" vertical="center" wrapText="1"/>
    </xf>
    <xf numFmtId="165" fontId="22" fillId="0" borderId="135" xfId="0" applyNumberFormat="1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165" fontId="25" fillId="0" borderId="51" xfId="0" applyNumberFormat="1" applyFont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165" fontId="22" fillId="0" borderId="85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165" fontId="25" fillId="0" borderId="135" xfId="0" applyNumberFormat="1" applyFont="1" applyBorder="1" applyAlignment="1">
      <alignment vertical="center" wrapText="1"/>
    </xf>
    <xf numFmtId="165" fontId="25" fillId="0" borderId="51" xfId="0" applyNumberFormat="1" applyFont="1" applyBorder="1" applyAlignment="1">
      <alignment vertical="center" wrapText="1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" fontId="13" fillId="0" borderId="42" xfId="0" applyNumberFormat="1" applyFont="1" applyFill="1" applyBorder="1" applyAlignment="1" applyProtection="1">
      <alignment vertical="center" wrapText="1"/>
      <protection locked="0"/>
    </xf>
    <xf numFmtId="0" fontId="13" fillId="0" borderId="103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127" xfId="0" applyNumberFormat="1" applyFont="1" applyFill="1" applyBorder="1" applyAlignment="1" applyProtection="1">
      <alignment horizontal="right" vertical="center"/>
      <protection locked="0"/>
    </xf>
    <xf numFmtId="0" fontId="13" fillId="0" borderId="129" xfId="0" applyNumberFormat="1" applyFont="1" applyFill="1" applyBorder="1" applyAlignment="1" applyProtection="1">
      <alignment horizontal="right" vertical="center"/>
      <protection locked="0"/>
    </xf>
    <xf numFmtId="0" fontId="13" fillId="0" borderId="127" xfId="0" applyNumberFormat="1" applyFont="1" applyFill="1" applyBorder="1" applyAlignment="1" applyProtection="1">
      <alignment horizontal="center" vertical="center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" fontId="5" fillId="0" borderId="22" xfId="0" applyNumberFormat="1" applyFont="1" applyFill="1" applyBorder="1" applyAlignment="1" applyProtection="1">
      <alignment vertical="center"/>
      <protection locked="0"/>
    </xf>
    <xf numFmtId="4" fontId="13" fillId="0" borderId="30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4" fontId="13" fillId="0" borderId="118" xfId="0" applyNumberFormat="1" applyFont="1" applyFill="1" applyBorder="1" applyAlignment="1" applyProtection="1">
      <alignment vertical="center"/>
      <protection/>
    </xf>
    <xf numFmtId="4" fontId="13" fillId="0" borderId="44" xfId="0" applyNumberFormat="1" applyFont="1" applyFill="1" applyBorder="1" applyAlignment="1" applyProtection="1">
      <alignment vertical="center"/>
      <protection/>
    </xf>
    <xf numFmtId="4" fontId="4" fillId="0" borderId="119" xfId="0" applyNumberFormat="1" applyFont="1" applyFill="1" applyBorder="1" applyAlignment="1" applyProtection="1">
      <alignment vertical="center"/>
      <protection/>
    </xf>
    <xf numFmtId="4" fontId="4" fillId="0" borderId="120" xfId="0" applyNumberFormat="1" applyFont="1" applyFill="1" applyBorder="1" applyAlignment="1" applyProtection="1">
      <alignment vertical="center"/>
      <protection/>
    </xf>
    <xf numFmtId="4" fontId="12" fillId="0" borderId="121" xfId="0" applyNumberFormat="1" applyFont="1" applyFill="1" applyBorder="1" applyAlignment="1" applyProtection="1">
      <alignment vertical="center"/>
      <protection/>
    </xf>
    <xf numFmtId="4" fontId="4" fillId="0" borderId="43" xfId="0" applyNumberFormat="1" applyFont="1" applyFill="1" applyBorder="1" applyAlignment="1" applyProtection="1">
      <alignment vertical="center"/>
      <protection/>
    </xf>
    <xf numFmtId="4" fontId="4" fillId="0" borderId="45" xfId="0" applyNumberFormat="1" applyFont="1" applyFill="1" applyBorder="1" applyAlignment="1" applyProtection="1">
      <alignment vertical="center"/>
      <protection/>
    </xf>
    <xf numFmtId="4" fontId="5" fillId="0" borderId="114" xfId="0" applyNumberFormat="1" applyFont="1" applyFill="1" applyBorder="1" applyAlignment="1" applyProtection="1">
      <alignment vertical="center"/>
      <protection/>
    </xf>
    <xf numFmtId="4" fontId="5" fillId="0" borderId="30" xfId="0" applyNumberFormat="1" applyFont="1" applyFill="1" applyBorder="1" applyAlignment="1" applyProtection="1">
      <alignment vertical="center"/>
      <protection/>
    </xf>
    <xf numFmtId="4" fontId="13" fillId="0" borderId="50" xfId="0" applyNumberFormat="1" applyFont="1" applyFill="1" applyBorder="1" applyAlignment="1" applyProtection="1">
      <alignment vertical="center"/>
      <protection/>
    </xf>
    <xf numFmtId="49" fontId="5" fillId="0" borderId="3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30" xfId="0" applyNumberFormat="1" applyFont="1" applyBorder="1" applyAlignment="1">
      <alignment horizontal="right" vertical="center"/>
    </xf>
    <xf numFmtId="4" fontId="21" fillId="0" borderId="5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" fontId="3" fillId="0" borderId="33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Border="1" applyAlignment="1">
      <alignment vertical="center"/>
    </xf>
    <xf numFmtId="164" fontId="4" fillId="0" borderId="131" xfId="0" applyNumberFormat="1" applyFont="1" applyBorder="1" applyAlignment="1">
      <alignment/>
    </xf>
    <xf numFmtId="1" fontId="3" fillId="0" borderId="131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133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3" fillId="0" borderId="42" xfId="18" applyFont="1" applyBorder="1" applyAlignment="1">
      <alignment horizontal="center" vertical="center"/>
      <protection/>
    </xf>
    <xf numFmtId="3" fontId="3" fillId="0" borderId="118" xfId="18" applyNumberFormat="1" applyFont="1" applyBorder="1" applyAlignment="1">
      <alignment vertical="center"/>
      <protection/>
    </xf>
    <xf numFmtId="3" fontId="3" fillId="0" borderId="43" xfId="18" applyNumberFormat="1" applyFont="1" applyBorder="1" applyAlignment="1">
      <alignment vertical="center"/>
      <protection/>
    </xf>
    <xf numFmtId="3" fontId="3" fillId="0" borderId="45" xfId="18" applyNumberFormat="1" applyFont="1" applyBorder="1" applyAlignment="1">
      <alignment vertical="center"/>
      <protection/>
    </xf>
    <xf numFmtId="3" fontId="13" fillId="0" borderId="118" xfId="18" applyNumberFormat="1" applyFont="1" applyBorder="1" applyAlignment="1">
      <alignment vertical="center"/>
      <protection/>
    </xf>
    <xf numFmtId="3" fontId="13" fillId="0" borderId="43" xfId="18" applyNumberFormat="1" applyFont="1" applyBorder="1" applyAlignment="1">
      <alignment vertical="center"/>
      <protection/>
    </xf>
    <xf numFmtId="3" fontId="9" fillId="0" borderId="45" xfId="18" applyNumberFormat="1" applyFont="1" applyBorder="1" applyAlignment="1">
      <alignment vertical="center"/>
      <protection/>
    </xf>
    <xf numFmtId="0" fontId="3" fillId="0" borderId="37" xfId="0" applyFont="1" applyBorder="1" applyAlignment="1">
      <alignment horizontal="left" vertical="center" wrapText="1"/>
    </xf>
    <xf numFmtId="164" fontId="22" fillId="0" borderId="37" xfId="21" applyNumberFormat="1" applyFont="1" applyFill="1" applyBorder="1" applyAlignment="1" applyProtection="1">
      <alignment vertical="center" wrapText="1"/>
      <protection locked="0"/>
    </xf>
    <xf numFmtId="0" fontId="3" fillId="0" borderId="131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/>
    </xf>
    <xf numFmtId="49" fontId="63" fillId="0" borderId="30" xfId="0" applyNumberFormat="1" applyFont="1" applyFill="1" applyBorder="1" applyAlignment="1" applyProtection="1">
      <alignment horizontal="center" vertical="center"/>
      <protection locked="0"/>
    </xf>
    <xf numFmtId="3" fontId="63" fillId="0" borderId="50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Border="1" applyAlignment="1">
      <alignment horizontal="right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49" fontId="30" fillId="0" borderId="150" xfId="0" applyNumberFormat="1" applyFont="1" applyFill="1" applyBorder="1" applyAlignment="1" applyProtection="1">
      <alignment horizontal="center" vertical="center"/>
      <protection locked="0"/>
    </xf>
    <xf numFmtId="3" fontId="30" fillId="0" borderId="149" xfId="0" applyNumberFormat="1" applyFont="1" applyFill="1" applyBorder="1" applyAlignment="1" applyProtection="1">
      <alignment vertical="center" wrapText="1"/>
      <protection locked="0"/>
    </xf>
    <xf numFmtId="0" fontId="2" fillId="0" borderId="150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/>
    </xf>
    <xf numFmtId="3" fontId="2" fillId="0" borderId="150" xfId="0" applyNumberFormat="1" applyFont="1" applyBorder="1" applyAlignment="1">
      <alignment horizontal="right" vertical="center"/>
    </xf>
    <xf numFmtId="3" fontId="2" fillId="0" borderId="151" xfId="0" applyNumberFormat="1" applyFont="1" applyBorder="1" applyAlignment="1">
      <alignment horizontal="right" vertical="center"/>
    </xf>
    <xf numFmtId="164" fontId="42" fillId="0" borderId="32" xfId="0" applyNumberFormat="1" applyFont="1" applyFill="1" applyBorder="1" applyAlignment="1">
      <alignment vertical="center"/>
    </xf>
    <xf numFmtId="164" fontId="42" fillId="0" borderId="106" xfId="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164" fontId="17" fillId="0" borderId="38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30" xfId="0" applyNumberFormat="1" applyFont="1" applyFill="1" applyBorder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 quotePrefix="1">
      <alignment horizontal="right" vertical="center"/>
      <protection/>
    </xf>
    <xf numFmtId="3" fontId="17" fillId="0" borderId="15" xfId="0" applyNumberFormat="1" applyFont="1" applyFill="1" applyBorder="1" applyAlignment="1" applyProtection="1" quotePrefix="1">
      <alignment horizontal="right" vertical="center"/>
      <protection/>
    </xf>
    <xf numFmtId="3" fontId="22" fillId="0" borderId="11" xfId="0" applyNumberFormat="1" applyFont="1" applyBorder="1" applyAlignment="1" quotePrefix="1">
      <alignment horizontal="right" vertical="center" wrapText="1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4" fontId="12" fillId="0" borderId="47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11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47" xfId="0" applyNumberFormat="1" applyFont="1" applyFill="1" applyBorder="1" applyAlignment="1" applyProtection="1">
      <alignment vertical="center" wrapText="1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0" fontId="12" fillId="0" borderId="134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3" fontId="12" fillId="0" borderId="106" xfId="0" applyNumberFormat="1" applyFont="1" applyFill="1" applyBorder="1" applyAlignment="1" applyProtection="1">
      <alignment vertical="center"/>
      <protection locked="0"/>
    </xf>
    <xf numFmtId="3" fontId="12" fillId="0" borderId="37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49" fontId="11" fillId="0" borderId="134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1" xfId="0" applyNumberFormat="1" applyFont="1" applyFill="1" applyBorder="1" applyAlignment="1" applyProtection="1">
      <alignment vertical="center" wrapText="1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0" fontId="13" fillId="0" borderId="43" xfId="0" applyNumberFormat="1" applyFont="1" applyFill="1" applyBorder="1" applyAlignment="1" applyProtection="1">
      <alignment vertical="center"/>
      <protection locked="0"/>
    </xf>
    <xf numFmtId="0" fontId="13" fillId="0" borderId="44" xfId="0" applyNumberFormat="1" applyFont="1" applyFill="1" applyBorder="1" applyAlignment="1" applyProtection="1">
      <alignment vertical="center"/>
      <protection locked="0"/>
    </xf>
    <xf numFmtId="3" fontId="4" fillId="0" borderId="87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41" xfId="18" applyNumberFormat="1" applyFont="1" applyBorder="1" applyAlignment="1">
      <alignment horizontal="right" vertical="center"/>
      <protection/>
    </xf>
    <xf numFmtId="0" fontId="13" fillId="0" borderId="30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/>
    </xf>
    <xf numFmtId="3" fontId="3" fillId="0" borderId="152" xfId="0" applyNumberFormat="1" applyFont="1" applyBorder="1" applyAlignment="1">
      <alignment horizontal="right" vertical="center"/>
    </xf>
    <xf numFmtId="3" fontId="3" fillId="0" borderId="152" xfId="0" applyNumberFormat="1" applyFont="1" applyBorder="1" applyAlignment="1">
      <alignment horizontal="center" vertical="center"/>
    </xf>
    <xf numFmtId="3" fontId="3" fillId="0" borderId="153" xfId="0" applyNumberFormat="1" applyFont="1" applyBorder="1" applyAlignment="1">
      <alignment horizontal="right" vertical="center"/>
    </xf>
    <xf numFmtId="0" fontId="3" fillId="0" borderId="150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left"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/>
    </xf>
    <xf numFmtId="3" fontId="3" fillId="0" borderId="150" xfId="0" applyNumberFormat="1" applyFont="1" applyBorder="1" applyAlignment="1">
      <alignment horizontal="right" vertical="center"/>
    </xf>
    <xf numFmtId="3" fontId="3" fillId="0" borderId="150" xfId="0" applyNumberFormat="1" applyFont="1" applyBorder="1" applyAlignment="1">
      <alignment horizontal="center" vertical="center"/>
    </xf>
    <xf numFmtId="3" fontId="3" fillId="0" borderId="151" xfId="0" applyNumberFormat="1" applyFont="1" applyBorder="1" applyAlignment="1">
      <alignment horizontal="right" vertical="center"/>
    </xf>
    <xf numFmtId="0" fontId="22" fillId="0" borderId="14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4" xfId="0" applyFont="1" applyBorder="1" applyAlignment="1">
      <alignment horizontal="center" vertical="center" wrapText="1"/>
    </xf>
    <xf numFmtId="0" fontId="3" fillId="0" borderId="155" xfId="0" applyFont="1" applyBorder="1" applyAlignment="1">
      <alignment horizontal="left" vertical="center" wrapText="1"/>
    </xf>
    <xf numFmtId="0" fontId="3" fillId="0" borderId="154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/>
    </xf>
    <xf numFmtId="3" fontId="3" fillId="0" borderId="154" xfId="0" applyNumberFormat="1" applyFont="1" applyBorder="1" applyAlignment="1">
      <alignment horizontal="right" vertical="center"/>
    </xf>
    <xf numFmtId="3" fontId="3" fillId="0" borderId="154" xfId="0" applyNumberFormat="1" applyFont="1" applyBorder="1" applyAlignment="1">
      <alignment horizontal="center" vertical="center"/>
    </xf>
    <xf numFmtId="3" fontId="3" fillId="0" borderId="156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2" fillId="0" borderId="33" xfId="0" applyNumberFormat="1" applyFont="1" applyFill="1" applyBorder="1" applyAlignment="1" applyProtection="1">
      <alignment vertical="center" wrapText="1"/>
      <protection locked="0"/>
    </xf>
    <xf numFmtId="0" fontId="9" fillId="0" borderId="152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/>
    </xf>
    <xf numFmtId="3" fontId="9" fillId="0" borderId="152" xfId="0" applyNumberFormat="1" applyFont="1" applyBorder="1" applyAlignment="1">
      <alignment horizontal="right" vertical="center"/>
    </xf>
    <xf numFmtId="3" fontId="9" fillId="0" borderId="152" xfId="0" applyNumberFormat="1" applyFont="1" applyBorder="1" applyAlignment="1">
      <alignment horizontal="center" vertical="center"/>
    </xf>
    <xf numFmtId="3" fontId="2" fillId="0" borderId="15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150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/>
    </xf>
    <xf numFmtId="3" fontId="9" fillId="0" borderId="150" xfId="0" applyNumberFormat="1" applyFont="1" applyBorder="1" applyAlignment="1">
      <alignment horizontal="right" vertical="center"/>
    </xf>
    <xf numFmtId="3" fontId="9" fillId="0" borderId="15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15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52" xfId="0" applyNumberFormat="1" applyFont="1" applyFill="1" applyBorder="1" applyAlignment="1" applyProtection="1">
      <alignment vertical="center" wrapText="1"/>
      <protection locked="0"/>
    </xf>
    <xf numFmtId="0" fontId="5" fillId="0" borderId="152" xfId="0" applyFont="1" applyBorder="1" applyAlignment="1">
      <alignment horizontal="center" vertical="center"/>
    </xf>
    <xf numFmtId="0" fontId="22" fillId="0" borderId="15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50" xfId="0" applyNumberFormat="1" applyFont="1" applyFill="1" applyBorder="1" applyAlignment="1" applyProtection="1">
      <alignment vertical="center" wrapText="1"/>
      <protection locked="0"/>
    </xf>
    <xf numFmtId="0" fontId="5" fillId="0" borderId="150" xfId="0" applyFont="1" applyBorder="1" applyAlignment="1">
      <alignment horizontal="center" vertical="center"/>
    </xf>
    <xf numFmtId="3" fontId="5" fillId="0" borderId="150" xfId="0" applyNumberFormat="1" applyFont="1" applyBorder="1" applyAlignment="1">
      <alignment horizontal="center" vertical="center"/>
    </xf>
    <xf numFmtId="49" fontId="22" fillId="0" borderId="150" xfId="0" applyNumberFormat="1" applyFont="1" applyFill="1" applyBorder="1" applyAlignment="1" applyProtection="1">
      <alignment horizontal="center" vertical="center"/>
      <protection locked="0"/>
    </xf>
    <xf numFmtId="164" fontId="22" fillId="0" borderId="150" xfId="21" applyNumberFormat="1" applyFont="1" applyFill="1" applyBorder="1" applyAlignment="1" applyProtection="1">
      <alignment vertical="center" wrapText="1"/>
      <protection locked="0"/>
    </xf>
    <xf numFmtId="3" fontId="22" fillId="0" borderId="150" xfId="0" applyNumberFormat="1" applyFont="1" applyFill="1" applyBorder="1" applyAlignment="1" applyProtection="1">
      <alignment vertical="center" wrapText="1"/>
      <protection locked="0"/>
    </xf>
    <xf numFmtId="49" fontId="22" fillId="0" borderId="154" xfId="0" applyNumberFormat="1" applyFont="1" applyFill="1" applyBorder="1" applyAlignment="1" applyProtection="1">
      <alignment horizontal="center" vertical="center"/>
      <protection locked="0"/>
    </xf>
    <xf numFmtId="3" fontId="22" fillId="0" borderId="154" xfId="0" applyNumberFormat="1" applyFont="1" applyFill="1" applyBorder="1" applyAlignment="1" applyProtection="1">
      <alignment vertical="center" wrapText="1"/>
      <protection locked="0"/>
    </xf>
    <xf numFmtId="1" fontId="30" fillId="0" borderId="152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152" xfId="21" applyNumberFormat="1" applyFont="1" applyFill="1" applyBorder="1" applyAlignment="1" applyProtection="1">
      <alignment vertical="center" wrapText="1"/>
      <protection locked="0"/>
    </xf>
    <xf numFmtId="0" fontId="5" fillId="0" borderId="152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/>
    </xf>
    <xf numFmtId="3" fontId="2" fillId="0" borderId="152" xfId="0" applyNumberFormat="1" applyFont="1" applyBorder="1" applyAlignment="1">
      <alignment horizontal="right" vertical="center"/>
    </xf>
    <xf numFmtId="3" fontId="9" fillId="0" borderId="152" xfId="0" applyNumberFormat="1" applyFont="1" applyBorder="1" applyAlignment="1">
      <alignment horizontal="right" vertical="center"/>
    </xf>
    <xf numFmtId="1" fontId="30" fillId="0" borderId="15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0" xfId="0" applyFont="1" applyBorder="1" applyAlignment="1">
      <alignment horizontal="center" vertical="center" wrapText="1"/>
    </xf>
    <xf numFmtId="3" fontId="9" fillId="0" borderId="150" xfId="0" applyNumberFormat="1" applyFont="1" applyBorder="1" applyAlignment="1">
      <alignment horizontal="right" vertical="center"/>
    </xf>
    <xf numFmtId="0" fontId="30" fillId="0" borderId="150" xfId="0" applyNumberFormat="1" applyFont="1" applyFill="1" applyBorder="1" applyAlignment="1" applyProtection="1">
      <alignment horizontal="centerContinuous" vertical="center"/>
      <protection locked="0"/>
    </xf>
    <xf numFmtId="0" fontId="30" fillId="0" borderId="150" xfId="0" applyNumberFormat="1" applyFont="1" applyFill="1" applyBorder="1" applyAlignment="1" applyProtection="1">
      <alignment vertical="center" wrapText="1"/>
      <protection locked="0"/>
    </xf>
    <xf numFmtId="164" fontId="30" fillId="0" borderId="150" xfId="21" applyNumberFormat="1" applyFont="1" applyFill="1" applyBorder="1" applyAlignment="1" applyProtection="1">
      <alignment vertical="center" wrapText="1"/>
      <protection locked="0"/>
    </xf>
    <xf numFmtId="164" fontId="30" fillId="0" borderId="149" xfId="21" applyNumberFormat="1" applyFont="1" applyFill="1" applyBorder="1" applyAlignment="1" applyProtection="1">
      <alignment vertical="center" wrapText="1"/>
      <protection locked="0"/>
    </xf>
    <xf numFmtId="0" fontId="2" fillId="0" borderId="150" xfId="0" applyFont="1" applyBorder="1" applyAlignment="1">
      <alignment horizontal="center" vertical="center" wrapText="1"/>
    </xf>
    <xf numFmtId="0" fontId="2" fillId="0" borderId="149" xfId="0" applyFont="1" applyBorder="1" applyAlignment="1">
      <alignment horizontal="left" vertical="center" wrapText="1"/>
    </xf>
    <xf numFmtId="3" fontId="30" fillId="0" borderId="150" xfId="0" applyNumberFormat="1" applyFont="1" applyFill="1" applyBorder="1" applyAlignment="1" applyProtection="1">
      <alignment vertical="center" wrapText="1"/>
      <protection locked="0"/>
    </xf>
    <xf numFmtId="49" fontId="30" fillId="0" borderId="154" xfId="0" applyNumberFormat="1" applyFont="1" applyFill="1" applyBorder="1" applyAlignment="1" applyProtection="1">
      <alignment horizontal="center" vertical="center"/>
      <protection locked="0"/>
    </xf>
    <xf numFmtId="3" fontId="30" fillId="0" borderId="154" xfId="0" applyNumberFormat="1" applyFont="1" applyFill="1" applyBorder="1" applyAlignment="1" applyProtection="1">
      <alignment vertical="center" wrapText="1"/>
      <protection locked="0"/>
    </xf>
    <xf numFmtId="0" fontId="2" fillId="0" borderId="154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/>
    </xf>
    <xf numFmtId="3" fontId="2" fillId="0" borderId="154" xfId="0" applyNumberFormat="1" applyFont="1" applyBorder="1" applyAlignment="1">
      <alignment horizontal="right" vertical="center"/>
    </xf>
    <xf numFmtId="3" fontId="2" fillId="0" borderId="156" xfId="0" applyNumberFormat="1" applyFont="1" applyBorder="1" applyAlignment="1">
      <alignment horizontal="right" vertical="center"/>
    </xf>
    <xf numFmtId="49" fontId="30" fillId="0" borderId="152" xfId="0" applyNumberFormat="1" applyFont="1" applyFill="1" applyBorder="1" applyAlignment="1" applyProtection="1">
      <alignment horizontal="center" vertical="center"/>
      <protection locked="0"/>
    </xf>
    <xf numFmtId="3" fontId="30" fillId="0" borderId="111" xfId="0" applyNumberFormat="1" applyFont="1" applyFill="1" applyBorder="1" applyAlignment="1" applyProtection="1">
      <alignment vertical="center" wrapText="1"/>
      <protection locked="0"/>
    </xf>
    <xf numFmtId="0" fontId="2" fillId="0" borderId="152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left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111" xfId="0" applyFont="1" applyBorder="1" applyAlignment="1">
      <alignment vertical="center" wrapText="1"/>
    </xf>
    <xf numFmtId="0" fontId="2" fillId="0" borderId="152" xfId="0" applyFont="1" applyBorder="1" applyAlignment="1">
      <alignment horizontal="center" vertical="center"/>
    </xf>
    <xf numFmtId="3" fontId="2" fillId="0" borderId="152" xfId="0" applyNumberFormat="1" applyFont="1" applyBorder="1" applyAlignment="1">
      <alignment vertical="center"/>
    </xf>
    <xf numFmtId="3" fontId="2" fillId="0" borderId="152" xfId="0" applyNumberFormat="1" applyFont="1" applyBorder="1" applyAlignment="1">
      <alignment vertical="center"/>
    </xf>
    <xf numFmtId="3" fontId="2" fillId="0" borderId="153" xfId="0" applyNumberFormat="1" applyFont="1" applyBorder="1" applyAlignment="1">
      <alignment vertical="center"/>
    </xf>
    <xf numFmtId="0" fontId="2" fillId="0" borderId="149" xfId="0" applyFont="1" applyBorder="1" applyAlignment="1">
      <alignment vertical="center" wrapText="1"/>
    </xf>
    <xf numFmtId="0" fontId="2" fillId="0" borderId="150" xfId="0" applyFont="1" applyBorder="1" applyAlignment="1">
      <alignment horizontal="center" vertical="center"/>
    </xf>
    <xf numFmtId="3" fontId="2" fillId="0" borderId="150" xfId="0" applyNumberFormat="1" applyFont="1" applyBorder="1" applyAlignment="1">
      <alignment vertical="center"/>
    </xf>
    <xf numFmtId="3" fontId="2" fillId="0" borderId="150" xfId="0" applyNumberFormat="1" applyFont="1" applyBorder="1" applyAlignment="1">
      <alignment vertical="center"/>
    </xf>
    <xf numFmtId="3" fontId="2" fillId="0" borderId="151" xfId="0" applyNumberFormat="1" applyFont="1" applyBorder="1" applyAlignment="1">
      <alignment vertical="center"/>
    </xf>
    <xf numFmtId="0" fontId="2" fillId="0" borderId="149" xfId="0" applyFont="1" applyBorder="1" applyAlignment="1">
      <alignment horizontal="center" vertical="center" wrapText="1"/>
    </xf>
    <xf numFmtId="0" fontId="2" fillId="0" borderId="155" xfId="0" applyFont="1" applyBorder="1" applyAlignment="1">
      <alignment vertical="center" wrapText="1"/>
    </xf>
    <xf numFmtId="0" fontId="2" fillId="0" borderId="154" xfId="0" applyFont="1" applyBorder="1" applyAlignment="1">
      <alignment horizontal="center" vertical="center"/>
    </xf>
    <xf numFmtId="3" fontId="2" fillId="0" borderId="154" xfId="0" applyNumberFormat="1" applyFont="1" applyBorder="1" applyAlignment="1">
      <alignment vertical="center"/>
    </xf>
    <xf numFmtId="3" fontId="2" fillId="0" borderId="154" xfId="0" applyNumberFormat="1" applyFont="1" applyBorder="1" applyAlignment="1">
      <alignment vertical="center"/>
    </xf>
    <xf numFmtId="3" fontId="2" fillId="0" borderId="156" xfId="0" applyNumberFormat="1" applyFont="1" applyBorder="1" applyAlignment="1">
      <alignment vertical="center"/>
    </xf>
    <xf numFmtId="0" fontId="24" fillId="0" borderId="144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139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63" fillId="0" borderId="157" xfId="0" applyNumberFormat="1" applyFont="1" applyFill="1" applyBorder="1" applyAlignment="1" applyProtection="1">
      <alignment horizontal="center" vertical="center"/>
      <protection locked="0"/>
    </xf>
    <xf numFmtId="0" fontId="63" fillId="0" borderId="157" xfId="0" applyNumberFormat="1" applyFont="1" applyFill="1" applyBorder="1" applyAlignment="1" applyProtection="1">
      <alignment vertical="center" wrapText="1"/>
      <protection locked="0"/>
    </xf>
    <xf numFmtId="0" fontId="5" fillId="0" borderId="157" xfId="0" applyFont="1" applyBorder="1" applyAlignment="1">
      <alignment horizontal="center" vertical="center" wrapText="1"/>
    </xf>
    <xf numFmtId="0" fontId="24" fillId="0" borderId="157" xfId="0" applyFont="1" applyBorder="1" applyAlignment="1">
      <alignment vertical="center"/>
    </xf>
    <xf numFmtId="3" fontId="63" fillId="0" borderId="157" xfId="0" applyNumberFormat="1" applyFont="1" applyFill="1" applyBorder="1" applyAlignment="1" applyProtection="1">
      <alignment vertical="center"/>
      <protection locked="0"/>
    </xf>
    <xf numFmtId="3" fontId="22" fillId="0" borderId="157" xfId="0" applyNumberFormat="1" applyFont="1" applyBorder="1" applyAlignment="1">
      <alignment vertical="center"/>
    </xf>
    <xf numFmtId="3" fontId="22" fillId="0" borderId="158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0" fillId="0" borderId="150" xfId="0" applyNumberFormat="1" applyFont="1" applyFill="1" applyBorder="1" applyAlignment="1" applyProtection="1">
      <alignment horizontal="center" vertical="center"/>
      <protection locked="0"/>
    </xf>
    <xf numFmtId="0" fontId="5" fillId="0" borderId="150" xfId="0" applyFont="1" applyBorder="1" applyAlignment="1">
      <alignment horizontal="center" vertical="center" wrapText="1"/>
    </xf>
    <xf numFmtId="0" fontId="24" fillId="0" borderId="150" xfId="0" applyFont="1" applyBorder="1" applyAlignment="1">
      <alignment vertical="center"/>
    </xf>
    <xf numFmtId="3" fontId="63" fillId="0" borderId="150" xfId="0" applyNumberFormat="1" applyFont="1" applyFill="1" applyBorder="1" applyAlignment="1" applyProtection="1">
      <alignment vertical="center"/>
      <protection locked="0"/>
    </xf>
    <xf numFmtId="3" fontId="22" fillId="0" borderId="150" xfId="0" applyNumberFormat="1" applyFont="1" applyBorder="1" applyAlignment="1">
      <alignment vertical="center"/>
    </xf>
    <xf numFmtId="3" fontId="22" fillId="0" borderId="151" xfId="0" applyNumberFormat="1" applyFont="1" applyBorder="1" applyAlignment="1">
      <alignment vertical="center"/>
    </xf>
    <xf numFmtId="0" fontId="22" fillId="0" borderId="150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/>
    </xf>
    <xf numFmtId="0" fontId="0" fillId="0" borderId="135" xfId="0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/>
    </xf>
    <xf numFmtId="0" fontId="4" fillId="0" borderId="85" xfId="0" applyNumberFormat="1" applyFont="1" applyFill="1" applyBorder="1" applyAlignment="1" applyProtection="1">
      <alignment horizontal="left" vertical="center" wrapText="1"/>
      <protection/>
    </xf>
    <xf numFmtId="0" fontId="47" fillId="0" borderId="85" xfId="0" applyFont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1" fillId="0" borderId="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1" fontId="13" fillId="0" borderId="33" xfId="0" applyNumberFormat="1" applyFont="1" applyBorder="1" applyAlignment="1">
      <alignment horizontal="center" vertical="center" wrapText="1"/>
    </xf>
    <xf numFmtId="0" fontId="47" fillId="0" borderId="131" xfId="0" applyFont="1" applyBorder="1" applyAlignment="1">
      <alignment vertical="center"/>
    </xf>
    <xf numFmtId="0" fontId="6" fillId="0" borderId="12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vertical="center"/>
    </xf>
    <xf numFmtId="4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42" fillId="0" borderId="49" xfId="0" applyNumberFormat="1" applyFont="1" applyFill="1" applyBorder="1" applyAlignment="1">
      <alignment vertical="center"/>
    </xf>
    <xf numFmtId="164" fontId="42" fillId="0" borderId="37" xfId="0" applyNumberFormat="1" applyFont="1" applyFill="1" applyBorder="1" applyAlignment="1">
      <alignment vertical="center"/>
    </xf>
    <xf numFmtId="164" fontId="42" fillId="0" borderId="106" xfId="0" applyNumberFormat="1" applyFont="1" applyFill="1" applyBorder="1" applyAlignment="1">
      <alignment vertical="center"/>
    </xf>
    <xf numFmtId="164" fontId="42" fillId="0" borderId="46" xfId="0" applyNumberFormat="1" applyFont="1" applyFill="1" applyBorder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164" fontId="42" fillId="0" borderId="32" xfId="0" applyNumberFormat="1" applyFont="1" applyFill="1" applyBorder="1" applyAlignment="1">
      <alignment vertical="center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128" xfId="0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42" fillId="0" borderId="49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49" xfId="0" applyNumberFormat="1" applyFont="1" applyFill="1" applyBorder="1" applyAlignment="1">
      <alignment horizontal="center" vertical="center"/>
    </xf>
    <xf numFmtId="0" fontId="42" fillId="0" borderId="8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64" fontId="42" fillId="0" borderId="49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106" xfId="0" applyFill="1" applyBorder="1" applyAlignment="1">
      <alignment horizontal="right" vertical="center"/>
    </xf>
    <xf numFmtId="0" fontId="9" fillId="0" borderId="12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71" xfId="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5">
      <selection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75390625" style="1" customWidth="1"/>
    <col min="4" max="4" width="11.125" style="1" customWidth="1"/>
    <col min="5" max="5" width="9.25390625" style="1" customWidth="1"/>
    <col min="6" max="6" width="12.625" style="1" customWidth="1"/>
    <col min="7" max="7" width="10.625" style="1" customWidth="1"/>
    <col min="8" max="8" width="13.625" style="1" customWidth="1"/>
    <col min="9" max="9" width="11.75390625" style="1" customWidth="1"/>
    <col min="10" max="10" width="8.875" style="1" customWidth="1"/>
    <col min="11" max="11" width="12.7539062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233</v>
      </c>
      <c r="K1" s="4"/>
      <c r="L1" s="5"/>
    </row>
    <row r="2" spans="9:12" ht="12" customHeight="1">
      <c r="I2" s="2"/>
      <c r="J2" s="249" t="s">
        <v>283</v>
      </c>
      <c r="K2" s="4"/>
      <c r="L2" s="5"/>
    </row>
    <row r="3" spans="9:12" ht="12" customHeight="1">
      <c r="I3" s="2"/>
      <c r="J3" s="4" t="s">
        <v>284</v>
      </c>
      <c r="K3" s="4"/>
      <c r="L3" s="5"/>
    </row>
    <row r="4" spans="9:225" ht="12" customHeight="1">
      <c r="I4" s="2"/>
      <c r="J4" s="102"/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11" customFormat="1" ht="15" customHeight="1">
      <c r="A5" s="7" t="s">
        <v>234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8" customFormat="1" ht="14.25" customHeight="1">
      <c r="A6" s="12" t="s">
        <v>235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6" t="s">
        <v>236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</row>
    <row r="7" spans="1:225" s="22" customFormat="1" ht="15.75" customHeight="1" thickBot="1">
      <c r="A7" s="2559" t="s">
        <v>810</v>
      </c>
      <c r="B7" s="2560"/>
      <c r="C7" s="19"/>
      <c r="D7" s="20"/>
      <c r="E7" s="20"/>
      <c r="F7" s="20"/>
      <c r="G7" s="20"/>
      <c r="H7" s="20"/>
      <c r="I7" s="20"/>
      <c r="J7" s="20"/>
      <c r="K7" s="20"/>
      <c r="L7" s="1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2567" t="s">
        <v>237</v>
      </c>
      <c r="B8" s="2570" t="s">
        <v>238</v>
      </c>
      <c r="C8" s="23" t="s">
        <v>239</v>
      </c>
      <c r="D8" s="24"/>
      <c r="E8" s="25"/>
      <c r="F8" s="25"/>
      <c r="G8" s="26"/>
      <c r="H8" s="27" t="s">
        <v>240</v>
      </c>
      <c r="I8" s="25"/>
      <c r="J8" s="25"/>
      <c r="K8" s="25"/>
      <c r="L8" s="28"/>
    </row>
    <row r="9" spans="1:12" s="22" customFormat="1" ht="12" customHeight="1" thickTop="1">
      <c r="A9" s="2568"/>
      <c r="B9" s="2571"/>
      <c r="C9" s="2573" t="s">
        <v>241</v>
      </c>
      <c r="D9" s="2575" t="s">
        <v>242</v>
      </c>
      <c r="E9" s="29" t="s">
        <v>243</v>
      </c>
      <c r="F9" s="2563" t="s">
        <v>244</v>
      </c>
      <c r="G9" s="2565" t="s">
        <v>245</v>
      </c>
      <c r="H9" s="2577" t="s">
        <v>241</v>
      </c>
      <c r="I9" s="2575" t="s">
        <v>242</v>
      </c>
      <c r="J9" s="29" t="s">
        <v>243</v>
      </c>
      <c r="K9" s="2563" t="s">
        <v>244</v>
      </c>
      <c r="L9" s="2565" t="s">
        <v>245</v>
      </c>
    </row>
    <row r="10" spans="1:12" s="22" customFormat="1" ht="40.5" customHeight="1" thickBot="1">
      <c r="A10" s="2569"/>
      <c r="B10" s="2572"/>
      <c r="C10" s="2574"/>
      <c r="D10" s="2576"/>
      <c r="E10" s="30" t="s">
        <v>246</v>
      </c>
      <c r="F10" s="2564"/>
      <c r="G10" s="2566"/>
      <c r="H10" s="2578"/>
      <c r="I10" s="2576"/>
      <c r="J10" s="30" t="s">
        <v>246</v>
      </c>
      <c r="K10" s="2564"/>
      <c r="L10" s="2566"/>
    </row>
    <row r="11" spans="1:12" s="72" customFormat="1" ht="9.75" customHeight="1" thickBot="1" thickTop="1">
      <c r="A11" s="1955">
        <v>1</v>
      </c>
      <c r="B11" s="1956">
        <v>2</v>
      </c>
      <c r="C11" s="1957">
        <v>3</v>
      </c>
      <c r="D11" s="1958">
        <v>4</v>
      </c>
      <c r="E11" s="1959">
        <v>5</v>
      </c>
      <c r="F11" s="1960">
        <v>6</v>
      </c>
      <c r="G11" s="1961">
        <v>7</v>
      </c>
      <c r="H11" s="1960">
        <v>8</v>
      </c>
      <c r="I11" s="1958">
        <v>9</v>
      </c>
      <c r="J11" s="1959">
        <v>10</v>
      </c>
      <c r="K11" s="1960">
        <v>11</v>
      </c>
      <c r="L11" s="1962">
        <v>12</v>
      </c>
    </row>
    <row r="12" spans="1:12" s="35" customFormat="1" ht="13.5" customHeight="1" thickTop="1">
      <c r="A12" s="32" t="s">
        <v>247</v>
      </c>
      <c r="B12" s="33" t="s">
        <v>248</v>
      </c>
      <c r="C12" s="2072">
        <f>F12</f>
        <v>2135.54</v>
      </c>
      <c r="D12" s="2073"/>
      <c r="E12" s="2074"/>
      <c r="F12" s="2075">
        <v>2135.54</v>
      </c>
      <c r="G12" s="2076"/>
      <c r="H12" s="2077">
        <f>I12+K12+L12</f>
        <v>5135.54</v>
      </c>
      <c r="I12" s="2073">
        <v>3000</v>
      </c>
      <c r="J12" s="2074"/>
      <c r="K12" s="2075">
        <v>2135.54</v>
      </c>
      <c r="L12" s="34"/>
    </row>
    <row r="13" spans="1:12" s="35" customFormat="1" ht="11.25" customHeight="1">
      <c r="A13" s="36">
        <v>500</v>
      </c>
      <c r="B13" s="37" t="s">
        <v>249</v>
      </c>
      <c r="C13" s="38"/>
      <c r="D13" s="39"/>
      <c r="E13" s="40"/>
      <c r="F13" s="41"/>
      <c r="G13" s="42"/>
      <c r="H13" s="1900">
        <f aca="true" t="shared" si="0" ref="H13:H32">I13+K13+L13</f>
        <v>194000</v>
      </c>
      <c r="I13" s="39">
        <v>194000</v>
      </c>
      <c r="J13" s="40"/>
      <c r="K13" s="41"/>
      <c r="L13" s="42"/>
    </row>
    <row r="14" spans="1:12" s="35" customFormat="1" ht="12.75" customHeight="1">
      <c r="A14" s="36" t="s">
        <v>250</v>
      </c>
      <c r="B14" s="37" t="s">
        <v>251</v>
      </c>
      <c r="C14" s="38">
        <f>D14+F14+G14</f>
        <v>5018030</v>
      </c>
      <c r="D14" s="39">
        <v>5018030</v>
      </c>
      <c r="E14" s="40"/>
      <c r="F14" s="41"/>
      <c r="G14" s="42"/>
      <c r="H14" s="1900">
        <f t="shared" si="0"/>
        <v>56278504</v>
      </c>
      <c r="I14" s="39">
        <v>56278504</v>
      </c>
      <c r="J14" s="40"/>
      <c r="K14" s="41"/>
      <c r="L14" s="42"/>
    </row>
    <row r="15" spans="1:12" s="35" customFormat="1" ht="11.25" customHeight="1">
      <c r="A15" s="36" t="s">
        <v>252</v>
      </c>
      <c r="B15" s="37" t="s">
        <v>253</v>
      </c>
      <c r="C15" s="38"/>
      <c r="D15" s="39"/>
      <c r="E15" s="40"/>
      <c r="F15" s="41"/>
      <c r="G15" s="42"/>
      <c r="H15" s="1900">
        <f t="shared" si="0"/>
        <v>64000</v>
      </c>
      <c r="I15" s="39">
        <v>64000</v>
      </c>
      <c r="J15" s="40"/>
      <c r="K15" s="41"/>
      <c r="L15" s="42"/>
    </row>
    <row r="16" spans="1:12" s="35" customFormat="1" ht="12" customHeight="1">
      <c r="A16" s="36" t="s">
        <v>254</v>
      </c>
      <c r="B16" s="37" t="s">
        <v>255</v>
      </c>
      <c r="C16" s="38">
        <f aca="true" t="shared" si="1" ref="C16:C32">D16+F16+G16</f>
        <v>27608500</v>
      </c>
      <c r="D16" s="39">
        <f>26715000+850000</f>
        <v>27565000</v>
      </c>
      <c r="E16" s="40"/>
      <c r="F16" s="41">
        <v>43500</v>
      </c>
      <c r="G16" s="42"/>
      <c r="H16" s="1900">
        <f t="shared" si="0"/>
        <v>24700970</v>
      </c>
      <c r="I16" s="39">
        <v>24657470</v>
      </c>
      <c r="J16" s="40"/>
      <c r="K16" s="41">
        <v>43500</v>
      </c>
      <c r="L16" s="42"/>
    </row>
    <row r="17" spans="1:12" s="35" customFormat="1" ht="13.5" customHeight="1">
      <c r="A17" s="36" t="s">
        <v>256</v>
      </c>
      <c r="B17" s="37" t="s">
        <v>257</v>
      </c>
      <c r="C17" s="38">
        <f t="shared" si="1"/>
        <v>1843700</v>
      </c>
      <c r="D17" s="39">
        <v>1389000</v>
      </c>
      <c r="E17" s="40"/>
      <c r="F17" s="41">
        <v>438100</v>
      </c>
      <c r="G17" s="42">
        <v>16600</v>
      </c>
      <c r="H17" s="1900">
        <f t="shared" si="0"/>
        <v>3804400</v>
      </c>
      <c r="I17" s="39">
        <f>3149700+200000</f>
        <v>3349700</v>
      </c>
      <c r="J17" s="40"/>
      <c r="K17" s="41">
        <v>438100</v>
      </c>
      <c r="L17" s="42">
        <v>16600</v>
      </c>
    </row>
    <row r="18" spans="1:12" s="35" customFormat="1" ht="12.75" customHeight="1">
      <c r="A18" s="36" t="s">
        <v>258</v>
      </c>
      <c r="B18" s="37" t="s">
        <v>259</v>
      </c>
      <c r="C18" s="38">
        <f t="shared" si="1"/>
        <v>1403343</v>
      </c>
      <c r="D18" s="39">
        <f>362743+2000</f>
        <v>364743</v>
      </c>
      <c r="E18" s="40"/>
      <c r="F18" s="41">
        <f>757900+275200</f>
        <v>1033100</v>
      </c>
      <c r="G18" s="42">
        <v>5500</v>
      </c>
      <c r="H18" s="1900">
        <f t="shared" si="0"/>
        <v>36423635</v>
      </c>
      <c r="I18" s="39">
        <f>30412455+4972580</f>
        <v>35385035</v>
      </c>
      <c r="J18" s="43">
        <f>15000+1662180+300000</f>
        <v>1977180</v>
      </c>
      <c r="K18" s="41">
        <f>757900+275200</f>
        <v>1033100</v>
      </c>
      <c r="L18" s="42">
        <v>5500</v>
      </c>
    </row>
    <row r="19" spans="1:12" s="35" customFormat="1" ht="27" customHeight="1">
      <c r="A19" s="36" t="s">
        <v>260</v>
      </c>
      <c r="B19" s="44" t="s">
        <v>261</v>
      </c>
      <c r="C19" s="38">
        <f t="shared" si="1"/>
        <v>133927</v>
      </c>
      <c r="D19" s="39"/>
      <c r="E19" s="40"/>
      <c r="F19" s="41">
        <f>78217+55710</f>
        <v>133927</v>
      </c>
      <c r="G19" s="42"/>
      <c r="H19" s="1900">
        <f t="shared" si="0"/>
        <v>133927</v>
      </c>
      <c r="I19" s="39"/>
      <c r="J19" s="43"/>
      <c r="K19" s="41">
        <f>78217+55710</f>
        <v>133927</v>
      </c>
      <c r="L19" s="42"/>
    </row>
    <row r="20" spans="1:12" s="35" customFormat="1" ht="18.75" customHeight="1">
      <c r="A20" s="36" t="s">
        <v>262</v>
      </c>
      <c r="B20" s="45" t="s">
        <v>263</v>
      </c>
      <c r="C20" s="38">
        <f t="shared" si="1"/>
        <v>8028456</v>
      </c>
      <c r="D20" s="39"/>
      <c r="E20" s="40"/>
      <c r="F20" s="41">
        <f>10000+7967320</f>
        <v>7977320</v>
      </c>
      <c r="G20" s="42">
        <v>51136</v>
      </c>
      <c r="H20" s="1900">
        <f t="shared" si="0"/>
        <v>9062956</v>
      </c>
      <c r="I20" s="39">
        <f>179500+855000</f>
        <v>1034500</v>
      </c>
      <c r="J20" s="43"/>
      <c r="K20" s="41">
        <f>10000+7967320</f>
        <v>7977320</v>
      </c>
      <c r="L20" s="42">
        <v>51136</v>
      </c>
    </row>
    <row r="21" spans="1:12" s="35" customFormat="1" ht="41.25" customHeight="1">
      <c r="A21" s="36" t="s">
        <v>264</v>
      </c>
      <c r="B21" s="45" t="s">
        <v>265</v>
      </c>
      <c r="C21" s="38">
        <f t="shared" si="1"/>
        <v>169833575</v>
      </c>
      <c r="D21" s="39">
        <v>169833575</v>
      </c>
      <c r="E21" s="40"/>
      <c r="F21" s="41"/>
      <c r="G21" s="42"/>
      <c r="H21" s="1900">
        <f t="shared" si="0"/>
        <v>624700</v>
      </c>
      <c r="I21" s="39">
        <v>624700</v>
      </c>
      <c r="J21" s="43"/>
      <c r="K21" s="41"/>
      <c r="L21" s="42"/>
    </row>
    <row r="22" spans="1:12" s="46" customFormat="1" ht="13.5" customHeight="1">
      <c r="A22" s="36" t="s">
        <v>266</v>
      </c>
      <c r="B22" s="37" t="s">
        <v>267</v>
      </c>
      <c r="C22" s="38"/>
      <c r="D22" s="39"/>
      <c r="E22" s="40"/>
      <c r="F22" s="41"/>
      <c r="G22" s="42"/>
      <c r="H22" s="1900">
        <f t="shared" si="0"/>
        <v>3200000</v>
      </c>
      <c r="I22" s="39">
        <v>3200000</v>
      </c>
      <c r="J22" s="43"/>
      <c r="K22" s="41"/>
      <c r="L22" s="42"/>
    </row>
    <row r="23" spans="1:12" s="46" customFormat="1" ht="14.25" customHeight="1">
      <c r="A23" s="36" t="s">
        <v>268</v>
      </c>
      <c r="B23" s="37" t="s">
        <v>269</v>
      </c>
      <c r="C23" s="38">
        <f t="shared" si="1"/>
        <v>103224635</v>
      </c>
      <c r="D23" s="39">
        <v>103224635</v>
      </c>
      <c r="E23" s="40"/>
      <c r="F23" s="41"/>
      <c r="G23" s="42"/>
      <c r="H23" s="1900">
        <f t="shared" si="0"/>
        <v>7937164</v>
      </c>
      <c r="I23" s="39">
        <f>8437164-500000</f>
        <v>7937164</v>
      </c>
      <c r="J23" s="43"/>
      <c r="K23" s="41"/>
      <c r="L23" s="42"/>
    </row>
    <row r="24" spans="1:12" s="46" customFormat="1" ht="14.25" customHeight="1">
      <c r="A24" s="36" t="s">
        <v>270</v>
      </c>
      <c r="B24" s="37" t="s">
        <v>271</v>
      </c>
      <c r="C24" s="38">
        <f t="shared" si="1"/>
        <v>1481823</v>
      </c>
      <c r="D24" s="39">
        <v>1481823</v>
      </c>
      <c r="E24" s="40"/>
      <c r="F24" s="41"/>
      <c r="G24" s="42"/>
      <c r="H24" s="1900">
        <f t="shared" si="0"/>
        <v>136794906</v>
      </c>
      <c r="I24" s="39">
        <v>136794906</v>
      </c>
      <c r="J24" s="43"/>
      <c r="K24" s="41"/>
      <c r="L24" s="42"/>
    </row>
    <row r="25" spans="1:225" ht="14.25" customHeight="1">
      <c r="A25" s="36" t="s">
        <v>272</v>
      </c>
      <c r="B25" s="37" t="s">
        <v>273</v>
      </c>
      <c r="C25" s="38"/>
      <c r="D25" s="39"/>
      <c r="E25" s="40"/>
      <c r="F25" s="41"/>
      <c r="G25" s="42"/>
      <c r="H25" s="1900">
        <f t="shared" si="0"/>
        <v>523000</v>
      </c>
      <c r="I25" s="39">
        <v>523000</v>
      </c>
      <c r="J25" s="43"/>
      <c r="K25" s="41"/>
      <c r="L25" s="42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</row>
    <row r="26" spans="1:12" s="46" customFormat="1" ht="12.75" customHeight="1">
      <c r="A26" s="36" t="s">
        <v>274</v>
      </c>
      <c r="B26" s="37" t="s">
        <v>275</v>
      </c>
      <c r="C26" s="38">
        <f t="shared" si="1"/>
        <v>15000</v>
      </c>
      <c r="D26" s="39"/>
      <c r="E26" s="40"/>
      <c r="F26" s="41">
        <v>15000</v>
      </c>
      <c r="G26" s="42"/>
      <c r="H26" s="1900">
        <f t="shared" si="0"/>
        <v>4205631</v>
      </c>
      <c r="I26" s="39">
        <v>4190631</v>
      </c>
      <c r="J26" s="43"/>
      <c r="K26" s="41">
        <v>15000</v>
      </c>
      <c r="L26" s="42"/>
    </row>
    <row r="27" spans="1:12" s="46" customFormat="1" ht="13.5" customHeight="1">
      <c r="A27" s="36" t="s">
        <v>276</v>
      </c>
      <c r="B27" s="37" t="s">
        <v>277</v>
      </c>
      <c r="C27" s="38">
        <f t="shared" si="1"/>
        <v>27742600</v>
      </c>
      <c r="D27" s="2400">
        <f>4673900+418200</f>
        <v>5092100</v>
      </c>
      <c r="E27" s="43">
        <v>395000</v>
      </c>
      <c r="F27" s="41">
        <f>22634000+16500</f>
        <v>22650500</v>
      </c>
      <c r="G27" s="42"/>
      <c r="H27" s="1900">
        <f t="shared" si="0"/>
        <v>47365878</v>
      </c>
      <c r="I27" s="39">
        <f>18789340+5926038</f>
        <v>24715378</v>
      </c>
      <c r="J27" s="43">
        <f>412000+123500</f>
        <v>535500</v>
      </c>
      <c r="K27" s="41">
        <f>22634000+16500</f>
        <v>22650500</v>
      </c>
      <c r="L27" s="42"/>
    </row>
    <row r="28" spans="1:12" s="46" customFormat="1" ht="15" customHeight="1">
      <c r="A28" s="48" t="s">
        <v>278</v>
      </c>
      <c r="B28" s="44" t="s">
        <v>279</v>
      </c>
      <c r="C28" s="38">
        <f t="shared" si="1"/>
        <v>1686206</v>
      </c>
      <c r="D28" s="39">
        <f>857469+712737</f>
        <v>1570206</v>
      </c>
      <c r="E28" s="40">
        <v>82852</v>
      </c>
      <c r="F28" s="41">
        <v>116000</v>
      </c>
      <c r="G28" s="42"/>
      <c r="H28" s="1900">
        <f t="shared" si="0"/>
        <v>5304129</v>
      </c>
      <c r="I28" s="39">
        <f>4296910+891219</f>
        <v>5188129</v>
      </c>
      <c r="J28" s="40">
        <v>95387</v>
      </c>
      <c r="K28" s="41">
        <v>116000</v>
      </c>
      <c r="L28" s="42"/>
    </row>
    <row r="29" spans="1:12" s="46" customFormat="1" ht="12.75" customHeight="1">
      <c r="A29" s="36" t="s">
        <v>280</v>
      </c>
      <c r="B29" s="44" t="s">
        <v>281</v>
      </c>
      <c r="C29" s="38">
        <f t="shared" si="1"/>
        <v>2099515</v>
      </c>
      <c r="D29" s="39">
        <v>2099515</v>
      </c>
      <c r="E29" s="40">
        <v>1152490</v>
      </c>
      <c r="F29" s="41"/>
      <c r="G29" s="42"/>
      <c r="H29" s="1900">
        <f t="shared" si="0"/>
        <v>12456305</v>
      </c>
      <c r="I29" s="39">
        <v>12456305</v>
      </c>
      <c r="J29" s="40"/>
      <c r="K29" s="41"/>
      <c r="L29" s="42"/>
    </row>
    <row r="30" spans="1:12" s="46" customFormat="1" ht="13.5" customHeight="1">
      <c r="A30" s="36" t="s">
        <v>282</v>
      </c>
      <c r="B30" s="44" t="s">
        <v>285</v>
      </c>
      <c r="C30" s="38">
        <f t="shared" si="1"/>
        <v>20000</v>
      </c>
      <c r="D30" s="39">
        <v>20000</v>
      </c>
      <c r="E30" s="40"/>
      <c r="F30" s="41"/>
      <c r="G30" s="42"/>
      <c r="H30" s="1900">
        <f t="shared" si="0"/>
        <v>26904040</v>
      </c>
      <c r="I30" s="39">
        <f>26404040+500000</f>
        <v>26904040</v>
      </c>
      <c r="J30" s="40"/>
      <c r="K30" s="41"/>
      <c r="L30" s="42"/>
    </row>
    <row r="31" spans="1:12" s="46" customFormat="1" ht="13.5" customHeight="1">
      <c r="A31" s="36" t="s">
        <v>286</v>
      </c>
      <c r="B31" s="44" t="s">
        <v>287</v>
      </c>
      <c r="C31" s="38">
        <f t="shared" si="1"/>
        <v>2113223</v>
      </c>
      <c r="D31" s="39">
        <v>2040223</v>
      </c>
      <c r="E31" s="40">
        <v>40000</v>
      </c>
      <c r="F31" s="41"/>
      <c r="G31" s="2401">
        <f>5000+68000</f>
        <v>73000</v>
      </c>
      <c r="H31" s="1900">
        <f t="shared" si="0"/>
        <v>21251726</v>
      </c>
      <c r="I31" s="39">
        <f>7704326+13474400</f>
        <v>21178726</v>
      </c>
      <c r="J31" s="40">
        <v>40000</v>
      </c>
      <c r="K31" s="41"/>
      <c r="L31" s="42">
        <v>73000</v>
      </c>
    </row>
    <row r="32" spans="1:12" s="46" customFormat="1" ht="15" customHeight="1" thickBot="1">
      <c r="A32" s="49" t="s">
        <v>288</v>
      </c>
      <c r="B32" s="50" t="s">
        <v>289</v>
      </c>
      <c r="C32" s="38">
        <f t="shared" si="1"/>
        <v>1882000</v>
      </c>
      <c r="D32" s="51">
        <v>1882000</v>
      </c>
      <c r="E32" s="52"/>
      <c r="F32" s="53"/>
      <c r="G32" s="54"/>
      <c r="H32" s="1901">
        <f t="shared" si="0"/>
        <v>16085150</v>
      </c>
      <c r="I32" s="51">
        <v>16085150</v>
      </c>
      <c r="J32" s="52"/>
      <c r="K32" s="53"/>
      <c r="L32" s="54"/>
    </row>
    <row r="33" spans="1:12" s="60" customFormat="1" ht="17.25" thickBot="1" thickTop="1">
      <c r="A33" s="55"/>
      <c r="B33" s="56" t="s">
        <v>290</v>
      </c>
      <c r="C33" s="2078">
        <f>SUM(C12:C32)</f>
        <v>354136668.53999996</v>
      </c>
      <c r="D33" s="57">
        <f aca="true" t="shared" si="2" ref="D33:L33">SUM(D12:D32)</f>
        <v>321580850</v>
      </c>
      <c r="E33" s="58">
        <f t="shared" si="2"/>
        <v>1670342</v>
      </c>
      <c r="F33" s="2079">
        <f t="shared" si="2"/>
        <v>32409582.54</v>
      </c>
      <c r="G33" s="59">
        <f t="shared" si="2"/>
        <v>146236</v>
      </c>
      <c r="H33" s="2079">
        <f t="shared" si="2"/>
        <v>413320156.53999996</v>
      </c>
      <c r="I33" s="57">
        <f t="shared" si="2"/>
        <v>380764338</v>
      </c>
      <c r="J33" s="58">
        <f t="shared" si="2"/>
        <v>2648067</v>
      </c>
      <c r="K33" s="2079">
        <f t="shared" si="2"/>
        <v>32409582.54</v>
      </c>
      <c r="L33" s="59">
        <f t="shared" si="2"/>
        <v>146236</v>
      </c>
    </row>
    <row r="34" spans="1:12" s="68" customFormat="1" ht="10.5" customHeight="1" thickTop="1">
      <c r="A34" s="61"/>
      <c r="B34" s="62" t="s">
        <v>291</v>
      </c>
      <c r="C34" s="63"/>
      <c r="D34" s="64"/>
      <c r="E34" s="65"/>
      <c r="F34" s="66"/>
      <c r="G34" s="67"/>
      <c r="H34" s="2080">
        <v>8973100</v>
      </c>
      <c r="I34" s="64"/>
      <c r="J34" s="65"/>
      <c r="K34" s="66"/>
      <c r="L34" s="67"/>
    </row>
    <row r="35" spans="1:12" s="68" customFormat="1" ht="10.5" customHeight="1">
      <c r="A35" s="69"/>
      <c r="B35" s="70" t="s">
        <v>292</v>
      </c>
      <c r="C35" s="2081">
        <v>33156588</v>
      </c>
      <c r="D35" s="64"/>
      <c r="E35" s="65"/>
      <c r="F35" s="66"/>
      <c r="G35" s="67"/>
      <c r="H35" s="66"/>
      <c r="I35" s="64"/>
      <c r="J35" s="65"/>
      <c r="K35" s="66"/>
      <c r="L35" s="67"/>
    </row>
    <row r="36" spans="1:12" s="68" customFormat="1" ht="13.5" customHeight="1" thickBot="1">
      <c r="A36" s="71"/>
      <c r="B36" s="72" t="s">
        <v>293</v>
      </c>
      <c r="C36" s="2081">
        <v>35000000</v>
      </c>
      <c r="D36" s="64"/>
      <c r="E36" s="65"/>
      <c r="F36" s="66"/>
      <c r="G36" s="67"/>
      <c r="H36" s="66"/>
      <c r="I36" s="64"/>
      <c r="J36" s="65"/>
      <c r="K36" s="66"/>
      <c r="L36" s="67"/>
    </row>
    <row r="37" spans="1:12" s="22" customFormat="1" ht="15.75" hidden="1" thickBot="1">
      <c r="A37" s="73"/>
      <c r="B37" s="74" t="s">
        <v>294</v>
      </c>
      <c r="C37" s="2082"/>
      <c r="D37" s="75"/>
      <c r="E37" s="76"/>
      <c r="F37" s="77"/>
      <c r="G37" s="78"/>
      <c r="H37" s="79">
        <f>I37+L37</f>
        <v>0</v>
      </c>
      <c r="I37" s="80">
        <v>0</v>
      </c>
      <c r="J37" s="81"/>
      <c r="K37" s="82"/>
      <c r="L37" s="83"/>
    </row>
    <row r="38" spans="1:12" s="60" customFormat="1" ht="15" customHeight="1" thickBot="1" thickTop="1">
      <c r="A38" s="2561" t="s">
        <v>295</v>
      </c>
      <c r="B38" s="2562"/>
      <c r="C38" s="2078">
        <f>SUM(C33:C36)</f>
        <v>422293256.53999996</v>
      </c>
      <c r="D38" s="84"/>
      <c r="E38" s="85"/>
      <c r="F38" s="85"/>
      <c r="G38" s="86"/>
      <c r="H38" s="2079">
        <f>SUM(H33:H36)</f>
        <v>422293256.53999996</v>
      </c>
      <c r="I38" s="84"/>
      <c r="J38" s="85"/>
      <c r="K38" s="85"/>
      <c r="L38" s="86"/>
    </row>
    <row r="39" spans="1:2" ht="15.75" thickTop="1">
      <c r="A39" s="87" t="s">
        <v>542</v>
      </c>
      <c r="B39" s="88"/>
    </row>
    <row r="40" spans="1:2" ht="15">
      <c r="A40" s="87" t="s">
        <v>296</v>
      </c>
      <c r="B40" s="88"/>
    </row>
    <row r="41" ht="15">
      <c r="A41" s="87" t="s">
        <v>811</v>
      </c>
    </row>
    <row r="42" ht="15">
      <c r="B42" s="89"/>
    </row>
  </sheetData>
  <mergeCells count="12">
    <mergeCell ref="K9:K10"/>
    <mergeCell ref="L9:L10"/>
    <mergeCell ref="I9:I10"/>
    <mergeCell ref="H9:H10"/>
    <mergeCell ref="A7:B7"/>
    <mergeCell ref="A38:B38"/>
    <mergeCell ref="F9:F10"/>
    <mergeCell ref="G9:G10"/>
    <mergeCell ref="A8:A10"/>
    <mergeCell ref="B8:B10"/>
    <mergeCell ref="C9:C10"/>
    <mergeCell ref="D9:D10"/>
  </mergeCells>
  <printOptions horizontalCentered="1"/>
  <pageMargins left="0.1968503937007874" right="0.1968503937007874" top="0.29" bottom="0.16" header="0.1968503937007874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0">
      <selection activeCell="A33" sqref="A3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6" t="s">
        <v>588</v>
      </c>
      <c r="D1" s="785"/>
    </row>
    <row r="2" ht="14.25" customHeight="1">
      <c r="C2" s="249" t="s">
        <v>20</v>
      </c>
    </row>
    <row r="3" spans="1:4" ht="15.75" customHeight="1">
      <c r="A3" s="1031"/>
      <c r="B3" s="1031"/>
      <c r="C3" s="4" t="s">
        <v>21</v>
      </c>
      <c r="D3" s="976"/>
    </row>
    <row r="4" spans="1:4" ht="13.5" customHeight="1">
      <c r="A4" s="1031"/>
      <c r="B4" s="1031"/>
      <c r="C4" s="102"/>
      <c r="D4" s="976"/>
    </row>
    <row r="5" spans="1:4" ht="6.75" customHeight="1">
      <c r="A5" s="1031"/>
      <c r="B5" s="1031"/>
      <c r="C5" s="784"/>
      <c r="D5" s="976"/>
    </row>
    <row r="6" spans="1:4" ht="18.75">
      <c r="A6" s="956" t="s">
        <v>589</v>
      </c>
      <c r="B6" s="1032"/>
      <c r="C6" s="1032"/>
      <c r="D6" s="976"/>
    </row>
    <row r="7" spans="1:4" ht="23.25" customHeight="1">
      <c r="A7" s="956" t="s">
        <v>590</v>
      </c>
      <c r="B7" s="1032"/>
      <c r="C7" s="1031"/>
      <c r="D7" s="976"/>
    </row>
    <row r="8" spans="1:4" ht="18.75">
      <c r="A8" s="787" t="s">
        <v>591</v>
      </c>
      <c r="B8" s="1032"/>
      <c r="C8" s="1031"/>
      <c r="D8" s="976"/>
    </row>
    <row r="9" spans="1:4" ht="18.75">
      <c r="A9" s="787" t="s">
        <v>592</v>
      </c>
      <c r="B9" s="1032"/>
      <c r="C9" s="1031"/>
      <c r="D9" s="976"/>
    </row>
    <row r="10" spans="1:4" ht="18" customHeight="1" thickBot="1">
      <c r="A10" s="257" t="s">
        <v>810</v>
      </c>
      <c r="D10" s="781" t="s">
        <v>236</v>
      </c>
    </row>
    <row r="11" spans="1:4" ht="28.5" customHeight="1" thickBot="1" thickTop="1">
      <c r="A11" s="1033" t="s">
        <v>532</v>
      </c>
      <c r="B11" s="1034" t="s">
        <v>238</v>
      </c>
      <c r="C11" s="1034" t="s">
        <v>593</v>
      </c>
      <c r="D11" s="1035" t="s">
        <v>594</v>
      </c>
    </row>
    <row r="12" spans="1:4" s="1039" customFormat="1" ht="12" customHeight="1" thickBot="1" thickTop="1">
      <c r="A12" s="1036">
        <v>1</v>
      </c>
      <c r="B12" s="1037">
        <v>2</v>
      </c>
      <c r="C12" s="1037">
        <v>3</v>
      </c>
      <c r="D12" s="1038">
        <v>4</v>
      </c>
    </row>
    <row r="13" spans="1:4" s="968" customFormat="1" ht="45" customHeight="1" thickTop="1">
      <c r="A13" s="1040">
        <v>952</v>
      </c>
      <c r="B13" s="1041" t="s">
        <v>595</v>
      </c>
      <c r="C13" s="1042">
        <f>SUM(C16:C19)</f>
        <v>35000000</v>
      </c>
      <c r="D13" s="1043"/>
    </row>
    <row r="14" spans="1:4" ht="9.75" customHeight="1">
      <c r="A14" s="1044"/>
      <c r="B14" s="1045" t="s">
        <v>596</v>
      </c>
      <c r="C14" s="1046"/>
      <c r="D14" s="1047"/>
    </row>
    <row r="15" spans="1:4" ht="12" customHeight="1">
      <c r="A15" s="1044"/>
      <c r="B15" s="1045"/>
      <c r="C15" s="1046"/>
      <c r="D15" s="1047"/>
    </row>
    <row r="16" spans="1:4" s="964" customFormat="1" ht="28.5" customHeight="1">
      <c r="A16" s="1044"/>
      <c r="B16" s="1048" t="s">
        <v>597</v>
      </c>
      <c r="C16" s="1049">
        <v>35000000</v>
      </c>
      <c r="D16" s="1047"/>
    </row>
    <row r="17" spans="1:4" ht="6" customHeight="1">
      <c r="A17" s="1044"/>
      <c r="B17" s="1050"/>
      <c r="C17" s="1051"/>
      <c r="D17" s="1052"/>
    </row>
    <row r="18" spans="1:4" s="1054" customFormat="1" ht="6" customHeight="1">
      <c r="A18" s="1044"/>
      <c r="B18" s="1050"/>
      <c r="C18" s="1053"/>
      <c r="D18" s="1047"/>
    </row>
    <row r="19" spans="1:4" ht="6" customHeight="1">
      <c r="A19" s="1044"/>
      <c r="B19" s="1050"/>
      <c r="C19" s="1053"/>
      <c r="D19" s="1052"/>
    </row>
    <row r="20" spans="1:4" s="968" customFormat="1" ht="24.75" customHeight="1">
      <c r="A20" s="1040">
        <v>955</v>
      </c>
      <c r="B20" s="1055" t="s">
        <v>292</v>
      </c>
      <c r="C20" s="1056">
        <v>33156588</v>
      </c>
      <c r="D20" s="1057"/>
    </row>
    <row r="21" spans="1:4" s="968" customFormat="1" ht="16.5" customHeight="1">
      <c r="A21" s="1058"/>
      <c r="B21" s="1059"/>
      <c r="C21" s="1060"/>
      <c r="D21" s="1043"/>
    </row>
    <row r="22" spans="1:4" s="968" customFormat="1" ht="15">
      <c r="A22" s="1040">
        <v>992</v>
      </c>
      <c r="B22" s="1055" t="s">
        <v>598</v>
      </c>
      <c r="C22" s="1061"/>
      <c r="D22" s="1062">
        <f>SUM(D24:D27)</f>
        <v>8973100</v>
      </c>
    </row>
    <row r="23" spans="1:4" ht="15.75" customHeight="1">
      <c r="A23" s="1044"/>
      <c r="B23" s="1045" t="s">
        <v>596</v>
      </c>
      <c r="C23" s="1063"/>
      <c r="D23" s="1064"/>
    </row>
    <row r="24" spans="1:4" s="1054" customFormat="1" ht="19.5" customHeight="1">
      <c r="A24" s="1044"/>
      <c r="B24" s="1065" t="s">
        <v>599</v>
      </c>
      <c r="C24" s="1066"/>
      <c r="D24" s="1067">
        <v>6166700</v>
      </c>
    </row>
    <row r="25" spans="1:4" s="1054" customFormat="1" ht="19.5" customHeight="1">
      <c r="A25" s="1044"/>
      <c r="B25" s="1065" t="s">
        <v>600</v>
      </c>
      <c r="C25" s="1068"/>
      <c r="D25" s="1069">
        <v>1666700</v>
      </c>
    </row>
    <row r="26" spans="1:4" s="1054" customFormat="1" ht="19.5" customHeight="1">
      <c r="A26" s="1044"/>
      <c r="B26" s="1070" t="s">
        <v>601</v>
      </c>
      <c r="C26" s="1071"/>
      <c r="D26" s="1069">
        <v>200000</v>
      </c>
    </row>
    <row r="27" spans="1:4" s="1054" customFormat="1" ht="19.5" customHeight="1">
      <c r="A27" s="1044"/>
      <c r="B27" s="1070" t="s">
        <v>602</v>
      </c>
      <c r="C27" s="1071"/>
      <c r="D27" s="1069">
        <v>939700</v>
      </c>
    </row>
    <row r="28" spans="1:4" ht="5.25" customHeight="1" thickBot="1">
      <c r="A28" s="1072"/>
      <c r="B28" s="1073"/>
      <c r="C28" s="1074"/>
      <c r="D28" s="1075"/>
    </row>
    <row r="29" spans="1:4" s="968" customFormat="1" ht="19.5" customHeight="1" thickBot="1" thickTop="1">
      <c r="A29" s="1076"/>
      <c r="B29" s="1077" t="s">
        <v>376</v>
      </c>
      <c r="C29" s="1078">
        <f>C20+C13+C21</f>
        <v>68156588</v>
      </c>
      <c r="D29" s="896">
        <f>D22</f>
        <v>8973100</v>
      </c>
    </row>
    <row r="30" spans="1:4" s="968" customFormat="1" ht="24" customHeight="1" thickBot="1" thickTop="1">
      <c r="A30" s="1076"/>
      <c r="B30" s="1077" t="s">
        <v>603</v>
      </c>
      <c r="C30" s="1079">
        <f>D29-C29</f>
        <v>-59183488</v>
      </c>
      <c r="D30" s="1080"/>
    </row>
    <row r="31" spans="1:4" ht="16.5" thickTop="1">
      <c r="A31" s="87" t="s">
        <v>542</v>
      </c>
      <c r="B31" s="88"/>
      <c r="C31" s="1081"/>
      <c r="D31" s="1081"/>
    </row>
    <row r="32" spans="1:4" ht="15.75">
      <c r="A32" s="87" t="s">
        <v>296</v>
      </c>
      <c r="B32" s="88"/>
      <c r="C32" s="1081"/>
      <c r="D32" s="1081"/>
    </row>
    <row r="33" spans="1:4" ht="15.75">
      <c r="A33" s="87" t="s">
        <v>811</v>
      </c>
      <c r="B33" s="1082"/>
      <c r="C33" s="1081"/>
      <c r="D33" s="1081"/>
    </row>
    <row r="34" spans="1:4" ht="15.75">
      <c r="A34" s="1083"/>
      <c r="B34" s="1082"/>
      <c r="C34" s="1081"/>
      <c r="D34" s="1081"/>
    </row>
    <row r="35" spans="1:4" ht="15.75">
      <c r="A35" s="1083"/>
      <c r="B35" s="1082"/>
      <c r="C35" s="1081"/>
      <c r="D35" s="1081"/>
    </row>
    <row r="36" spans="1:4" ht="15.75">
      <c r="A36" s="1083"/>
      <c r="B36" s="1082"/>
      <c r="C36" s="1081"/>
      <c r="D36" s="1081"/>
    </row>
    <row r="37" spans="1:4" ht="12.75">
      <c r="A37" s="1083"/>
      <c r="B37" s="1083"/>
      <c r="C37" s="1084"/>
      <c r="D37" s="1084"/>
    </row>
    <row r="38" spans="1:4" ht="12.75">
      <c r="A38" s="1083"/>
      <c r="B38" s="1083"/>
      <c r="C38" s="1084"/>
      <c r="D38" s="1084"/>
    </row>
    <row r="39" spans="1:4" ht="12.75">
      <c r="A39" s="1083"/>
      <c r="B39" s="1083"/>
      <c r="C39" s="1084"/>
      <c r="D39" s="1084"/>
    </row>
    <row r="40" spans="1:4" ht="12.75">
      <c r="A40" s="785"/>
      <c r="B40" s="785"/>
      <c r="C40" s="1085"/>
      <c r="D40" s="1085"/>
    </row>
    <row r="41" spans="1:4" ht="12.75">
      <c r="A41" s="785"/>
      <c r="B41" s="785"/>
      <c r="C41" s="1085"/>
      <c r="D41" s="1085"/>
    </row>
    <row r="42" spans="1:4" ht="12.75">
      <c r="A42" s="785"/>
      <c r="B42" s="785"/>
      <c r="C42" s="1085"/>
      <c r="D42" s="1085"/>
    </row>
    <row r="43" spans="1:4" ht="12.75">
      <c r="A43" s="785"/>
      <c r="B43" s="785"/>
      <c r="C43" s="1085"/>
      <c r="D43" s="1085"/>
    </row>
    <row r="44" spans="3:4" ht="12.75">
      <c r="C44" s="1086"/>
      <c r="D44" s="1086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9">
      <selection activeCell="A24" sqref="A24"/>
    </sheetView>
  </sheetViews>
  <sheetFormatPr defaultColWidth="9.00390625" defaultRowHeight="12.75"/>
  <cols>
    <col min="1" max="1" width="24.125" style="785" customWidth="1"/>
    <col min="2" max="2" width="17.75390625" style="785" customWidth="1"/>
    <col min="3" max="3" width="25.625" style="785" customWidth="1"/>
    <col min="4" max="4" width="21.75390625" style="785" customWidth="1"/>
    <col min="5" max="16384" width="9.125" style="785" customWidth="1"/>
  </cols>
  <sheetData>
    <row r="1" spans="3:4" ht="12.75">
      <c r="C1" s="4"/>
      <c r="D1" s="4" t="s">
        <v>604</v>
      </c>
    </row>
    <row r="2" spans="3:4" ht="12.75">
      <c r="C2" s="4"/>
      <c r="D2" s="4" t="s">
        <v>20</v>
      </c>
    </row>
    <row r="3" spans="3:4" ht="12.75">
      <c r="C3" s="4"/>
      <c r="D3" s="4" t="s">
        <v>21</v>
      </c>
    </row>
    <row r="4" ht="9.75" customHeight="1"/>
    <row r="5" spans="1:4" ht="22.5" customHeight="1">
      <c r="A5" s="956" t="s">
        <v>605</v>
      </c>
      <c r="B5" s="1032"/>
      <c r="C5" s="1032"/>
      <c r="D5" s="1032"/>
    </row>
    <row r="6" spans="1:4" ht="22.5" customHeight="1">
      <c r="A6" s="956" t="s">
        <v>35</v>
      </c>
      <c r="B6" s="1032"/>
      <c r="C6" s="1032"/>
      <c r="D6" s="1032"/>
    </row>
    <row r="7" spans="1:4" s="1089" customFormat="1" ht="18.75" customHeight="1">
      <c r="A7" s="1087" t="s">
        <v>606</v>
      </c>
      <c r="B7" s="1088"/>
      <c r="C7" s="1088"/>
      <c r="D7" s="1088"/>
    </row>
    <row r="8" spans="1:4" s="854" customFormat="1" ht="18" customHeight="1" thickBot="1">
      <c r="A8" s="257" t="s">
        <v>810</v>
      </c>
      <c r="D8" s="859" t="s">
        <v>236</v>
      </c>
    </row>
    <row r="9" spans="1:4" s="814" customFormat="1" ht="41.25" customHeight="1" thickBot="1" thickTop="1">
      <c r="A9" s="891" t="s">
        <v>238</v>
      </c>
      <c r="B9" s="1090" t="s">
        <v>607</v>
      </c>
      <c r="C9" s="1091" t="s">
        <v>238</v>
      </c>
      <c r="D9" s="1092" t="s">
        <v>607</v>
      </c>
    </row>
    <row r="10" spans="1:4" s="781" customFormat="1" ht="15" customHeight="1" thickBot="1" thickTop="1">
      <c r="A10" s="1093">
        <v>1</v>
      </c>
      <c r="B10" s="1094">
        <v>2</v>
      </c>
      <c r="C10" s="1094">
        <v>3</v>
      </c>
      <c r="D10" s="1095">
        <v>4</v>
      </c>
    </row>
    <row r="11" spans="1:4" s="844" customFormat="1" ht="46.5" customHeight="1" thickTop="1">
      <c r="A11" s="1096" t="s">
        <v>608</v>
      </c>
      <c r="B11" s="1854">
        <f>B14+B16</f>
        <v>354136668.53999996</v>
      </c>
      <c r="C11" s="1097" t="s">
        <v>609</v>
      </c>
      <c r="D11" s="1855">
        <f>SUM(D14:D16)</f>
        <v>413320156.54</v>
      </c>
    </row>
    <row r="12" spans="1:4" s="1101" customFormat="1" ht="21" customHeight="1">
      <c r="A12" s="1098" t="s">
        <v>610</v>
      </c>
      <c r="B12" s="1099">
        <f>B15+B17</f>
        <v>-59183488.00000003</v>
      </c>
      <c r="C12" s="1099"/>
      <c r="D12" s="1856"/>
    </row>
    <row r="13" spans="1:4" s="1104" customFormat="1" ht="13.5" customHeight="1">
      <c r="A13" s="1102" t="s">
        <v>611</v>
      </c>
      <c r="B13" s="1103"/>
      <c r="C13" s="1103" t="s">
        <v>611</v>
      </c>
      <c r="D13" s="1857"/>
    </row>
    <row r="14" spans="1:4" s="830" customFormat="1" ht="21.75" customHeight="1">
      <c r="A14" s="1105" t="s">
        <v>612</v>
      </c>
      <c r="B14" s="1858">
        <v>247481423.54</v>
      </c>
      <c r="C14" s="1106" t="s">
        <v>612</v>
      </c>
      <c r="D14" s="1859">
        <v>274237410.54</v>
      </c>
    </row>
    <row r="15" spans="1:4" s="1101" customFormat="1" ht="22.5" customHeight="1">
      <c r="A15" s="1098" t="s">
        <v>613</v>
      </c>
      <c r="B15" s="1099">
        <f>B14-D14</f>
        <v>-26755987.00000003</v>
      </c>
      <c r="C15" s="1108"/>
      <c r="D15" s="1109"/>
    </row>
    <row r="16" spans="1:4" s="830" customFormat="1" ht="24" customHeight="1">
      <c r="A16" s="1105" t="s">
        <v>614</v>
      </c>
      <c r="B16" s="1110">
        <v>106655245</v>
      </c>
      <c r="C16" s="1111" t="s">
        <v>614</v>
      </c>
      <c r="D16" s="1107">
        <v>139082746</v>
      </c>
    </row>
    <row r="17" spans="1:4" s="1101" customFormat="1" ht="24" customHeight="1" thickBot="1">
      <c r="A17" s="1098" t="s">
        <v>613</v>
      </c>
      <c r="B17" s="1099">
        <f>B16-D16</f>
        <v>-32427501</v>
      </c>
      <c r="C17" s="1099"/>
      <c r="D17" s="1100"/>
    </row>
    <row r="18" spans="1:4" s="844" customFormat="1" ht="42.75" customHeight="1" thickTop="1">
      <c r="A18" s="1112" t="s">
        <v>615</v>
      </c>
      <c r="B18" s="1113">
        <f>B19</f>
        <v>68156588</v>
      </c>
      <c r="C18" s="1113" t="s">
        <v>616</v>
      </c>
      <c r="D18" s="1114">
        <f>SUM(D19)</f>
        <v>8973100</v>
      </c>
    </row>
    <row r="19" spans="1:4" s="1101" customFormat="1" ht="75" customHeight="1" thickBot="1">
      <c r="A19" s="1115" t="s">
        <v>617</v>
      </c>
      <c r="B19" s="1099">
        <v>68156588</v>
      </c>
      <c r="C19" s="815" t="s">
        <v>618</v>
      </c>
      <c r="D19" s="1100">
        <v>8973100</v>
      </c>
    </row>
    <row r="20" spans="1:4" s="1119" customFormat="1" ht="53.25" customHeight="1" thickBot="1" thickTop="1">
      <c r="A20" s="1116" t="s">
        <v>619</v>
      </c>
      <c r="B20" s="1860">
        <f>SUM(B11+B18)</f>
        <v>422293256.53999996</v>
      </c>
      <c r="C20" s="1118" t="s">
        <v>620</v>
      </c>
      <c r="D20" s="1861">
        <f>D11+D18</f>
        <v>422293256.54</v>
      </c>
    </row>
    <row r="21" ht="13.5" thickTop="1">
      <c r="A21" s="88"/>
    </row>
    <row r="22" ht="12.75">
      <c r="A22" s="87" t="s">
        <v>542</v>
      </c>
    </row>
    <row r="23" ht="12.75">
      <c r="A23" s="87" t="s">
        <v>296</v>
      </c>
    </row>
    <row r="24" ht="12.75">
      <c r="A24" s="87" t="s">
        <v>811</v>
      </c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2">
      <selection activeCell="A32" sqref="A32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720" t="s">
        <v>621</v>
      </c>
      <c r="K1" s="720"/>
    </row>
    <row r="2" spans="10:11" ht="12.75">
      <c r="J2" s="4" t="s">
        <v>36</v>
      </c>
      <c r="K2" s="4"/>
    </row>
    <row r="3" spans="10:11" ht="12.75">
      <c r="J3" s="4" t="s">
        <v>21</v>
      </c>
      <c r="K3" s="4"/>
    </row>
    <row r="4" spans="10:11" ht="12.75">
      <c r="J4" s="4"/>
      <c r="K4" s="4"/>
    </row>
    <row r="5" ht="24.75" customHeight="1"/>
    <row r="6" spans="1:12" ht="21.75" customHeight="1">
      <c r="A6" s="1120" t="s">
        <v>622</v>
      </c>
      <c r="B6" s="1120"/>
      <c r="C6" s="1120"/>
      <c r="D6" s="1120"/>
      <c r="E6" s="1120"/>
      <c r="F6" s="1120"/>
      <c r="G6" s="1120"/>
      <c r="H6" s="1120"/>
      <c r="I6" s="1120"/>
      <c r="J6" s="1121"/>
      <c r="K6" s="976"/>
      <c r="L6" s="976"/>
    </row>
    <row r="7" spans="1:12" ht="39.75" customHeight="1">
      <c r="A7" s="1862" t="s">
        <v>37</v>
      </c>
      <c r="B7" s="1120"/>
      <c r="C7" s="1120"/>
      <c r="D7" s="1120"/>
      <c r="E7" s="1120"/>
      <c r="F7" s="1120"/>
      <c r="G7" s="1120"/>
      <c r="H7" s="1120"/>
      <c r="I7" s="1120"/>
      <c r="J7" s="1121"/>
      <c r="K7" s="976"/>
      <c r="L7" s="976"/>
    </row>
    <row r="8" spans="1:12" ht="14.25" customHeight="1" thickBot="1">
      <c r="A8" s="785" t="s">
        <v>812</v>
      </c>
      <c r="L8" s="781" t="s">
        <v>236</v>
      </c>
    </row>
    <row r="9" spans="1:12" ht="30" customHeight="1" thickTop="1">
      <c r="A9" s="1122" t="s">
        <v>623</v>
      </c>
      <c r="B9" s="1123" t="s">
        <v>238</v>
      </c>
      <c r="C9" s="2593" t="s">
        <v>624</v>
      </c>
      <c r="D9" s="2594"/>
      <c r="E9" s="2594"/>
      <c r="F9" s="2594"/>
      <c r="G9" s="2594"/>
      <c r="H9" s="2594"/>
      <c r="I9" s="2594"/>
      <c r="J9" s="2594"/>
      <c r="K9" s="2595"/>
      <c r="L9" s="1863" t="s">
        <v>241</v>
      </c>
    </row>
    <row r="10" spans="1:12" ht="19.5" customHeight="1" thickBot="1">
      <c r="A10" s="1124"/>
      <c r="B10" s="1125"/>
      <c r="C10" s="1126">
        <v>600</v>
      </c>
      <c r="D10" s="1127">
        <v>700</v>
      </c>
      <c r="E10" s="1128">
        <v>750</v>
      </c>
      <c r="F10" s="1129">
        <v>801</v>
      </c>
      <c r="G10" s="1129">
        <v>852</v>
      </c>
      <c r="H10" s="1128">
        <v>854</v>
      </c>
      <c r="I10" s="1129">
        <v>900</v>
      </c>
      <c r="J10" s="1129">
        <v>921</v>
      </c>
      <c r="K10" s="1129">
        <v>926</v>
      </c>
      <c r="L10" s="1130"/>
    </row>
    <row r="11" spans="1:12" s="1039" customFormat="1" ht="11.25" customHeight="1" thickBot="1" thickTop="1">
      <c r="A11" s="1864">
        <v>1</v>
      </c>
      <c r="B11" s="1865">
        <v>2</v>
      </c>
      <c r="C11" s="1865">
        <v>3</v>
      </c>
      <c r="D11" s="1037">
        <v>4</v>
      </c>
      <c r="E11" s="1037">
        <v>5</v>
      </c>
      <c r="F11" s="1037">
        <v>6</v>
      </c>
      <c r="G11" s="1037">
        <v>7</v>
      </c>
      <c r="H11" s="1037">
        <v>7</v>
      </c>
      <c r="I11" s="1037">
        <v>8</v>
      </c>
      <c r="J11" s="1037">
        <v>9</v>
      </c>
      <c r="K11" s="1037">
        <v>10</v>
      </c>
      <c r="L11" s="1038">
        <v>11</v>
      </c>
    </row>
    <row r="12" spans="1:12" s="982" customFormat="1" ht="30" customHeight="1" thickTop="1">
      <c r="A12" s="1131">
        <v>1</v>
      </c>
      <c r="B12" s="1866" t="s">
        <v>625</v>
      </c>
      <c r="C12" s="1132">
        <f>31900+9000</f>
        <v>40900</v>
      </c>
      <c r="D12" s="1132"/>
      <c r="E12" s="1132">
        <f>7500+5100</f>
        <v>12600</v>
      </c>
      <c r="F12" s="1132"/>
      <c r="G12" s="1132"/>
      <c r="H12" s="1132">
        <f>200+100</f>
        <v>300</v>
      </c>
      <c r="I12" s="1132">
        <f>37500-37500+2000</f>
        <v>2000</v>
      </c>
      <c r="J12" s="1132">
        <f>800+200</f>
        <v>1000</v>
      </c>
      <c r="K12" s="1132">
        <f>800+200</f>
        <v>1000</v>
      </c>
      <c r="L12" s="1867">
        <f>SUM(C12:K12)</f>
        <v>57800</v>
      </c>
    </row>
    <row r="13" spans="1:12" s="982" customFormat="1" ht="30" customHeight="1">
      <c r="A13" s="1133">
        <v>2</v>
      </c>
      <c r="B13" s="1868" t="s">
        <v>626</v>
      </c>
      <c r="C13" s="1132"/>
      <c r="D13" s="1134">
        <v>700</v>
      </c>
      <c r="E13" s="1134">
        <v>8100</v>
      </c>
      <c r="F13" s="1134"/>
      <c r="G13" s="1134"/>
      <c r="H13" s="1134"/>
      <c r="I13" s="1134">
        <f>24000+6500</f>
        <v>30500</v>
      </c>
      <c r="J13" s="1134"/>
      <c r="K13" s="1134">
        <v>1200</v>
      </c>
      <c r="L13" s="1867">
        <f aca="true" t="shared" si="0" ref="L13:L28">SUM(C13:K13)</f>
        <v>40500</v>
      </c>
    </row>
    <row r="14" spans="1:12" s="982" customFormat="1" ht="30" customHeight="1" hidden="1">
      <c r="A14" s="1133"/>
      <c r="B14" s="1868"/>
      <c r="C14" s="1132"/>
      <c r="D14" s="1134"/>
      <c r="E14" s="1134"/>
      <c r="F14" s="1134"/>
      <c r="G14" s="1134"/>
      <c r="H14" s="1134"/>
      <c r="I14" s="1134"/>
      <c r="J14" s="1134"/>
      <c r="K14" s="1134"/>
      <c r="L14" s="1867">
        <f t="shared" si="0"/>
        <v>0</v>
      </c>
    </row>
    <row r="15" spans="1:12" s="982" customFormat="1" ht="30" customHeight="1">
      <c r="A15" s="1133">
        <v>3</v>
      </c>
      <c r="B15" s="1868" t="s">
        <v>38</v>
      </c>
      <c r="C15" s="1134">
        <f>42000+11000</f>
        <v>53000</v>
      </c>
      <c r="D15" s="1134">
        <v>2000</v>
      </c>
      <c r="E15" s="1134">
        <f>7400+300</f>
        <v>7700</v>
      </c>
      <c r="F15" s="1134"/>
      <c r="G15" s="1134"/>
      <c r="H15" s="1134">
        <v>1500</v>
      </c>
      <c r="I15" s="1134"/>
      <c r="J15" s="1134">
        <v>1400</v>
      </c>
      <c r="K15" s="1134">
        <f>4300-300</f>
        <v>4000</v>
      </c>
      <c r="L15" s="1867">
        <f t="shared" si="0"/>
        <v>69600</v>
      </c>
    </row>
    <row r="16" spans="1:12" s="982" customFormat="1" ht="30" customHeight="1">
      <c r="A16" s="1133">
        <v>4</v>
      </c>
      <c r="B16" s="1868" t="s">
        <v>39</v>
      </c>
      <c r="C16" s="1134">
        <v>18000</v>
      </c>
      <c r="D16" s="1134"/>
      <c r="E16" s="1134">
        <v>12400</v>
      </c>
      <c r="F16" s="1134"/>
      <c r="G16" s="1134"/>
      <c r="H16" s="1134">
        <v>500</v>
      </c>
      <c r="I16" s="1134">
        <v>75000</v>
      </c>
      <c r="J16" s="1134">
        <v>2000</v>
      </c>
      <c r="K16" s="1134">
        <v>3600</v>
      </c>
      <c r="L16" s="1867">
        <f t="shared" si="0"/>
        <v>111500</v>
      </c>
    </row>
    <row r="17" spans="1:12" s="982" customFormat="1" ht="30" customHeight="1">
      <c r="A17" s="1133">
        <v>5</v>
      </c>
      <c r="B17" s="1868" t="s">
        <v>627</v>
      </c>
      <c r="C17" s="1134">
        <f>7400+4000</f>
        <v>11400</v>
      </c>
      <c r="D17" s="1134"/>
      <c r="E17" s="1134">
        <v>1600</v>
      </c>
      <c r="F17" s="1134"/>
      <c r="G17" s="1134"/>
      <c r="H17" s="1134"/>
      <c r="I17" s="1134"/>
      <c r="J17" s="1134">
        <v>500</v>
      </c>
      <c r="K17" s="1134">
        <v>500</v>
      </c>
      <c r="L17" s="1867">
        <f>SUM(C17:K17)</f>
        <v>14000</v>
      </c>
    </row>
    <row r="18" spans="1:12" s="982" customFormat="1" ht="30" customHeight="1">
      <c r="A18" s="1133">
        <v>6</v>
      </c>
      <c r="B18" s="1868" t="s">
        <v>628</v>
      </c>
      <c r="C18" s="1134"/>
      <c r="D18" s="1134">
        <v>1300</v>
      </c>
      <c r="E18" s="1134">
        <f>5100-800</f>
        <v>4300</v>
      </c>
      <c r="F18" s="1134"/>
      <c r="G18" s="1134"/>
      <c r="H18" s="1134">
        <f>2300+800</f>
        <v>3100</v>
      </c>
      <c r="I18" s="1134">
        <f>48000+12000</f>
        <v>60000</v>
      </c>
      <c r="J18" s="1134">
        <v>2900</v>
      </c>
      <c r="K18" s="1134">
        <v>1000</v>
      </c>
      <c r="L18" s="1867">
        <f t="shared" si="0"/>
        <v>72600</v>
      </c>
    </row>
    <row r="19" spans="1:12" s="982" customFormat="1" ht="30" customHeight="1">
      <c r="A19" s="1133">
        <v>7</v>
      </c>
      <c r="B19" s="1868" t="s">
        <v>629</v>
      </c>
      <c r="C19" s="1134">
        <v>70000</v>
      </c>
      <c r="D19" s="1134">
        <v>2000</v>
      </c>
      <c r="E19" s="1134">
        <v>6000</v>
      </c>
      <c r="F19" s="1134"/>
      <c r="G19" s="1134"/>
      <c r="H19" s="1134">
        <v>1300</v>
      </c>
      <c r="I19" s="1134">
        <v>16000</v>
      </c>
      <c r="J19" s="1134">
        <v>2300</v>
      </c>
      <c r="K19" s="1134">
        <v>1400</v>
      </c>
      <c r="L19" s="1867">
        <f t="shared" si="0"/>
        <v>99000</v>
      </c>
    </row>
    <row r="20" spans="1:12" s="982" customFormat="1" ht="30" customHeight="1">
      <c r="A20" s="1133">
        <v>8</v>
      </c>
      <c r="B20" s="1868" t="s">
        <v>40</v>
      </c>
      <c r="C20" s="1134">
        <f>40300-3700+15000</f>
        <v>51600</v>
      </c>
      <c r="D20" s="1134"/>
      <c r="E20" s="1134">
        <f>16000+3700</f>
        <v>19700</v>
      </c>
      <c r="F20" s="1134"/>
      <c r="G20" s="1134"/>
      <c r="H20" s="1134">
        <v>800</v>
      </c>
      <c r="I20" s="1134">
        <v>17000</v>
      </c>
      <c r="J20" s="1134">
        <v>1000</v>
      </c>
      <c r="K20" s="1134">
        <v>1800</v>
      </c>
      <c r="L20" s="1867">
        <f t="shared" si="0"/>
        <v>91900</v>
      </c>
    </row>
    <row r="21" spans="1:12" s="982" customFormat="1" ht="30" customHeight="1">
      <c r="A21" s="1133">
        <v>9</v>
      </c>
      <c r="B21" s="1868" t="s">
        <v>630</v>
      </c>
      <c r="C21" s="1134">
        <f>11000+6000</f>
        <v>17000</v>
      </c>
      <c r="D21" s="1134"/>
      <c r="E21" s="1134">
        <v>3700</v>
      </c>
      <c r="F21" s="1134"/>
      <c r="G21" s="1134"/>
      <c r="H21" s="1134"/>
      <c r="I21" s="1134"/>
      <c r="J21" s="1134"/>
      <c r="K21" s="1134">
        <v>2700</v>
      </c>
      <c r="L21" s="1867">
        <f t="shared" si="0"/>
        <v>23400</v>
      </c>
    </row>
    <row r="22" spans="1:12" s="982" customFormat="1" ht="30" customHeight="1">
      <c r="A22" s="1133">
        <v>10</v>
      </c>
      <c r="B22" s="1868" t="s">
        <v>41</v>
      </c>
      <c r="C22" s="1134"/>
      <c r="D22" s="1134"/>
      <c r="E22" s="1134">
        <v>27100</v>
      </c>
      <c r="F22" s="1134"/>
      <c r="G22" s="1134"/>
      <c r="H22" s="1134">
        <v>2000</v>
      </c>
      <c r="I22" s="1134">
        <f>30000+13000</f>
        <v>43000</v>
      </c>
      <c r="J22" s="1134">
        <v>5000</v>
      </c>
      <c r="K22" s="1134">
        <v>4000</v>
      </c>
      <c r="L22" s="1867">
        <f t="shared" si="0"/>
        <v>81100</v>
      </c>
    </row>
    <row r="23" spans="1:12" s="982" customFormat="1" ht="30" customHeight="1">
      <c r="A23" s="1133">
        <v>11</v>
      </c>
      <c r="B23" s="1868" t="s">
        <v>42</v>
      </c>
      <c r="C23" s="1134">
        <f>64300+16500</f>
        <v>80800</v>
      </c>
      <c r="D23" s="1134">
        <v>2600</v>
      </c>
      <c r="E23" s="1134">
        <v>6500</v>
      </c>
      <c r="F23" s="1134"/>
      <c r="G23" s="1134"/>
      <c r="H23" s="1134"/>
      <c r="I23" s="1134"/>
      <c r="J23" s="1134">
        <v>5700</v>
      </c>
      <c r="K23" s="1134">
        <v>5300</v>
      </c>
      <c r="L23" s="1867">
        <f>SUM(C23:K23)</f>
        <v>100900</v>
      </c>
    </row>
    <row r="24" spans="1:12" s="982" customFormat="1" ht="30" customHeight="1">
      <c r="A24" s="1133">
        <v>12</v>
      </c>
      <c r="B24" s="1868" t="s">
        <v>631</v>
      </c>
      <c r="C24" s="1134"/>
      <c r="D24" s="1134">
        <v>5300</v>
      </c>
      <c r="E24" s="1134">
        <v>28100</v>
      </c>
      <c r="F24" s="1134">
        <v>15000</v>
      </c>
      <c r="G24" s="1134"/>
      <c r="H24" s="1134">
        <v>3500</v>
      </c>
      <c r="I24" s="1134">
        <f>20000+16500</f>
        <v>36500</v>
      </c>
      <c r="J24" s="1134">
        <v>9100</v>
      </c>
      <c r="K24" s="1134">
        <v>3300</v>
      </c>
      <c r="L24" s="1867">
        <f t="shared" si="0"/>
        <v>100800</v>
      </c>
    </row>
    <row r="25" spans="1:12" s="982" customFormat="1" ht="30" customHeight="1">
      <c r="A25" s="1133">
        <v>13</v>
      </c>
      <c r="B25" s="1868" t="s">
        <v>43</v>
      </c>
      <c r="C25" s="1134">
        <f>25700+13000</f>
        <v>38700</v>
      </c>
      <c r="D25" s="1134">
        <v>1500</v>
      </c>
      <c r="E25" s="1134">
        <v>18800</v>
      </c>
      <c r="F25" s="1134">
        <v>8000</v>
      </c>
      <c r="G25" s="1134"/>
      <c r="H25" s="1134"/>
      <c r="I25" s="1134">
        <v>4000</v>
      </c>
      <c r="J25" s="1134">
        <v>4000</v>
      </c>
      <c r="K25" s="1134">
        <v>4000</v>
      </c>
      <c r="L25" s="1867">
        <f t="shared" si="0"/>
        <v>79000</v>
      </c>
    </row>
    <row r="26" spans="1:12" s="982" customFormat="1" ht="30" customHeight="1">
      <c r="A26" s="1133">
        <v>14</v>
      </c>
      <c r="B26" s="1868" t="s">
        <v>632</v>
      </c>
      <c r="C26" s="1134">
        <f>5000-2000</f>
        <v>3000</v>
      </c>
      <c r="D26" s="1136">
        <v>1000</v>
      </c>
      <c r="E26" s="1136">
        <f>3000+1000+3600+4000</f>
        <v>11600</v>
      </c>
      <c r="F26" s="1136"/>
      <c r="G26" s="1136"/>
      <c r="H26" s="1136"/>
      <c r="I26" s="1136">
        <v>5500</v>
      </c>
      <c r="J26" s="1136"/>
      <c r="K26" s="1136">
        <v>2000</v>
      </c>
      <c r="L26" s="1867">
        <f t="shared" si="0"/>
        <v>23100</v>
      </c>
    </row>
    <row r="27" spans="1:12" s="982" customFormat="1" ht="30" customHeight="1">
      <c r="A27" s="1133">
        <v>15</v>
      </c>
      <c r="B27" s="1868" t="s">
        <v>633</v>
      </c>
      <c r="C27" s="1134">
        <v>63000</v>
      </c>
      <c r="D27" s="1136">
        <f>2000+1000</f>
        <v>3000</v>
      </c>
      <c r="E27" s="1136">
        <v>7950</v>
      </c>
      <c r="F27" s="1136"/>
      <c r="G27" s="1136"/>
      <c r="H27" s="1136">
        <f>4500+2000</f>
        <v>6500</v>
      </c>
      <c r="I27" s="1136">
        <f>67000-4000+17000-63000</f>
        <v>17000</v>
      </c>
      <c r="J27" s="1136">
        <f>4000+1000</f>
        <v>5000</v>
      </c>
      <c r="K27" s="1136">
        <v>2050</v>
      </c>
      <c r="L27" s="1867">
        <f t="shared" si="0"/>
        <v>104500</v>
      </c>
    </row>
    <row r="28" spans="1:12" s="982" customFormat="1" ht="30" customHeight="1" thickBot="1">
      <c r="A28" s="1135">
        <v>16</v>
      </c>
      <c r="B28" s="1869" t="s">
        <v>634</v>
      </c>
      <c r="C28" s="1134">
        <f>93000+24000</f>
        <v>117000</v>
      </c>
      <c r="D28" s="1136">
        <v>1500</v>
      </c>
      <c r="E28" s="1136">
        <f>24200+100</f>
        <v>24300</v>
      </c>
      <c r="F28" s="1136">
        <v>7000</v>
      </c>
      <c r="G28" s="1136"/>
      <c r="H28" s="1136">
        <f>2600-1300</f>
        <v>1300</v>
      </c>
      <c r="I28" s="1136">
        <v>30000</v>
      </c>
      <c r="J28" s="1136">
        <f>4400+2400-1200</f>
        <v>5600</v>
      </c>
      <c r="K28" s="1136">
        <v>2300</v>
      </c>
      <c r="L28" s="1867">
        <f t="shared" si="0"/>
        <v>189000</v>
      </c>
    </row>
    <row r="29" spans="1:12" s="1139" customFormat="1" ht="29.25" customHeight="1" thickBot="1" thickTop="1">
      <c r="A29" s="1137"/>
      <c r="B29" s="1870" t="s">
        <v>241</v>
      </c>
      <c r="C29" s="1078">
        <f>SUM(C12:C28)</f>
        <v>564400</v>
      </c>
      <c r="D29" s="1078">
        <f>SUM(D12:D28)</f>
        <v>20900</v>
      </c>
      <c r="E29" s="1078">
        <f aca="true" t="shared" si="1" ref="E29:K29">SUM(E12:E28)</f>
        <v>200450</v>
      </c>
      <c r="F29" s="1078">
        <f t="shared" si="1"/>
        <v>30000</v>
      </c>
      <c r="G29" s="1078">
        <f t="shared" si="1"/>
        <v>0</v>
      </c>
      <c r="H29" s="1078">
        <f t="shared" si="1"/>
        <v>20800</v>
      </c>
      <c r="I29" s="1078">
        <f t="shared" si="1"/>
        <v>336500</v>
      </c>
      <c r="J29" s="1078">
        <f t="shared" si="1"/>
        <v>45500</v>
      </c>
      <c r="K29" s="1078">
        <f t="shared" si="1"/>
        <v>40150</v>
      </c>
      <c r="L29" s="850">
        <f>SUM(C29:K29)</f>
        <v>1258700</v>
      </c>
    </row>
    <row r="30" spans="1:2" s="785" customFormat="1" ht="13.5" thickTop="1">
      <c r="A30" s="785" t="s">
        <v>635</v>
      </c>
      <c r="B30" s="720"/>
    </row>
    <row r="31" spans="1:2" ht="12.75">
      <c r="A31" s="87" t="s">
        <v>296</v>
      </c>
      <c r="B31" s="88"/>
    </row>
    <row r="32" ht="12.75">
      <c r="A32" s="87" t="s">
        <v>811</v>
      </c>
    </row>
  </sheetData>
  <mergeCells count="1">
    <mergeCell ref="C9:K9"/>
  </mergeCells>
  <printOptions horizontalCentered="1"/>
  <pageMargins left="0.2362204724409449" right="0.2362204724409449" top="0.68" bottom="0.6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51"/>
  <sheetViews>
    <sheetView workbookViewId="0" topLeftCell="A118">
      <selection activeCell="A130" sqref="A130"/>
    </sheetView>
  </sheetViews>
  <sheetFormatPr defaultColWidth="9.00390625" defaultRowHeight="12.75"/>
  <cols>
    <col min="1" max="1" width="6.375" style="1140" customWidth="1"/>
    <col min="2" max="2" width="46.375" style="1141" customWidth="1"/>
    <col min="3" max="4" width="11.375" style="1142" customWidth="1"/>
    <col min="5" max="5" width="11.25390625" style="1142" customWidth="1"/>
    <col min="6" max="189" width="10.00390625" style="1142" customWidth="1"/>
    <col min="190" max="16384" width="10.00390625" style="1144" customWidth="1"/>
  </cols>
  <sheetData>
    <row r="1" spans="4:5" ht="12" customHeight="1">
      <c r="D1" s="1143" t="s">
        <v>636</v>
      </c>
      <c r="E1"/>
    </row>
    <row r="2" spans="4:5" ht="12" customHeight="1">
      <c r="D2" s="249" t="s">
        <v>20</v>
      </c>
      <c r="E2"/>
    </row>
    <row r="3" spans="4:5" ht="12" customHeight="1">
      <c r="D3" s="4" t="s">
        <v>21</v>
      </c>
      <c r="E3"/>
    </row>
    <row r="4" spans="4:5" ht="12" customHeight="1">
      <c r="D4" s="102"/>
      <c r="E4"/>
    </row>
    <row r="5" spans="4:5" ht="5.25" customHeight="1">
      <c r="D5" s="4"/>
      <c r="E5"/>
    </row>
    <row r="6" spans="1:5" s="1149" customFormat="1" ht="18" customHeight="1">
      <c r="A6" s="1145" t="s">
        <v>637</v>
      </c>
      <c r="B6" s="1146"/>
      <c r="C6" s="1147"/>
      <c r="D6" s="1147"/>
      <c r="E6" s="1148"/>
    </row>
    <row r="7" spans="1:5" s="1152" customFormat="1" ht="33" customHeight="1">
      <c r="A7" s="1150" t="s">
        <v>638</v>
      </c>
      <c r="B7" s="1146"/>
      <c r="C7" s="1147"/>
      <c r="D7" s="1147"/>
      <c r="E7" s="1151"/>
    </row>
    <row r="8" spans="1:189" s="1157" customFormat="1" ht="13.5" customHeight="1" thickBot="1">
      <c r="A8" s="257" t="s">
        <v>810</v>
      </c>
      <c r="B8" s="1153"/>
      <c r="C8" s="1154"/>
      <c r="D8" s="1154"/>
      <c r="E8" s="1155" t="s">
        <v>236</v>
      </c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6"/>
      <c r="AJ8" s="1156"/>
      <c r="AK8" s="1156"/>
      <c r="AL8" s="1156"/>
      <c r="AM8" s="1156"/>
      <c r="AN8" s="1156"/>
      <c r="AO8" s="1156"/>
      <c r="AP8" s="1156"/>
      <c r="AQ8" s="1156"/>
      <c r="AR8" s="1156"/>
      <c r="AS8" s="1156"/>
      <c r="AT8" s="1156"/>
      <c r="AU8" s="1156"/>
      <c r="AV8" s="1156"/>
      <c r="AW8" s="1156"/>
      <c r="AX8" s="1156"/>
      <c r="AY8" s="1156"/>
      <c r="AZ8" s="1156"/>
      <c r="BA8" s="1156"/>
      <c r="BB8" s="1156"/>
      <c r="BC8" s="1156"/>
      <c r="BD8" s="1156"/>
      <c r="BE8" s="1156"/>
      <c r="BF8" s="1156"/>
      <c r="BG8" s="1156"/>
      <c r="BH8" s="1156"/>
      <c r="BI8" s="1156"/>
      <c r="BJ8" s="1156"/>
      <c r="BK8" s="1156"/>
      <c r="BL8" s="1156"/>
      <c r="BM8" s="1156"/>
      <c r="BN8" s="1156"/>
      <c r="BO8" s="1156"/>
      <c r="BP8" s="1156"/>
      <c r="BQ8" s="1156"/>
      <c r="BR8" s="1156"/>
      <c r="BS8" s="1156"/>
      <c r="BT8" s="1156"/>
      <c r="BU8" s="1156"/>
      <c r="BV8" s="1156"/>
      <c r="BW8" s="1156"/>
      <c r="BX8" s="1156"/>
      <c r="BY8" s="1156"/>
      <c r="BZ8" s="1156"/>
      <c r="CA8" s="1156"/>
      <c r="CB8" s="1156"/>
      <c r="CC8" s="1156"/>
      <c r="CD8" s="1156"/>
      <c r="CE8" s="1156"/>
      <c r="CF8" s="1156"/>
      <c r="CG8" s="1156"/>
      <c r="CH8" s="1156"/>
      <c r="CI8" s="1156"/>
      <c r="CJ8" s="1156"/>
      <c r="CK8" s="1156"/>
      <c r="CL8" s="1156"/>
      <c r="CM8" s="1156"/>
      <c r="CN8" s="1156"/>
      <c r="CO8" s="1156"/>
      <c r="CP8" s="1156"/>
      <c r="CQ8" s="1156"/>
      <c r="CR8" s="1156"/>
      <c r="CS8" s="1156"/>
      <c r="CT8" s="1156"/>
      <c r="CU8" s="1156"/>
      <c r="CV8" s="1156"/>
      <c r="CW8" s="1156"/>
      <c r="CX8" s="1156"/>
      <c r="CY8" s="1156"/>
      <c r="CZ8" s="1156"/>
      <c r="DA8" s="1156"/>
      <c r="DB8" s="1156"/>
      <c r="DC8" s="1156"/>
      <c r="DD8" s="1156"/>
      <c r="DE8" s="1156"/>
      <c r="DF8" s="1156"/>
      <c r="DG8" s="1156"/>
      <c r="DH8" s="1156"/>
      <c r="DI8" s="1156"/>
      <c r="DJ8" s="1156"/>
      <c r="DK8" s="1156"/>
      <c r="DL8" s="1156"/>
      <c r="DM8" s="1156"/>
      <c r="DN8" s="1156"/>
      <c r="DO8" s="1156"/>
      <c r="DP8" s="1156"/>
      <c r="DQ8" s="1156"/>
      <c r="DR8" s="1156"/>
      <c r="DS8" s="1156"/>
      <c r="DT8" s="1156"/>
      <c r="DU8" s="1156"/>
      <c r="DV8" s="1156"/>
      <c r="DW8" s="1156"/>
      <c r="DX8" s="1156"/>
      <c r="DY8" s="1156"/>
      <c r="DZ8" s="1156"/>
      <c r="EA8" s="1156"/>
      <c r="EB8" s="1156"/>
      <c r="EC8" s="1156"/>
      <c r="ED8" s="1156"/>
      <c r="EE8" s="1156"/>
      <c r="EF8" s="1156"/>
      <c r="EG8" s="1156"/>
      <c r="EH8" s="1156"/>
      <c r="EI8" s="1156"/>
      <c r="EJ8" s="1156"/>
      <c r="EK8" s="1156"/>
      <c r="EL8" s="1156"/>
      <c r="EM8" s="1156"/>
      <c r="EN8" s="1156"/>
      <c r="EO8" s="1156"/>
      <c r="EP8" s="1156"/>
      <c r="EQ8" s="1156"/>
      <c r="ER8" s="1156"/>
      <c r="ES8" s="1156"/>
      <c r="ET8" s="1156"/>
      <c r="EU8" s="1156"/>
      <c r="EV8" s="1156"/>
      <c r="EW8" s="1156"/>
      <c r="EX8" s="1156"/>
      <c r="EY8" s="1156"/>
      <c r="EZ8" s="1156"/>
      <c r="FA8" s="1156"/>
      <c r="FB8" s="1156"/>
      <c r="FC8" s="1156"/>
      <c r="FD8" s="1156"/>
      <c r="FE8" s="1156"/>
      <c r="FF8" s="1156"/>
      <c r="FG8" s="1156"/>
      <c r="FH8" s="1156"/>
      <c r="FI8" s="1156"/>
      <c r="FJ8" s="1156"/>
      <c r="FK8" s="1156"/>
      <c r="FL8" s="1156"/>
      <c r="FM8" s="1156"/>
      <c r="FN8" s="1156"/>
      <c r="FO8" s="1156"/>
      <c r="FP8" s="1156"/>
      <c r="FQ8" s="1156"/>
      <c r="FR8" s="1156"/>
      <c r="FS8" s="1156"/>
      <c r="FT8" s="1156"/>
      <c r="FU8" s="1156"/>
      <c r="FV8" s="1156"/>
      <c r="FW8" s="1156"/>
      <c r="FX8" s="1156"/>
      <c r="FY8" s="1156"/>
      <c r="FZ8" s="1156"/>
      <c r="GA8" s="1156"/>
      <c r="GB8" s="1156"/>
      <c r="GC8" s="1156"/>
      <c r="GD8" s="1156"/>
      <c r="GE8" s="1156"/>
      <c r="GF8" s="1156"/>
      <c r="GG8" s="1156"/>
    </row>
    <row r="9" spans="1:5" ht="25.5" customHeight="1" thickBot="1" thickTop="1">
      <c r="A9" s="1158" t="s">
        <v>639</v>
      </c>
      <c r="B9" s="1159" t="s">
        <v>572</v>
      </c>
      <c r="C9" s="1160" t="s">
        <v>241</v>
      </c>
      <c r="D9" s="1161" t="s">
        <v>301</v>
      </c>
      <c r="E9" s="1162" t="s">
        <v>302</v>
      </c>
    </row>
    <row r="10" spans="1:5" s="1168" customFormat="1" ht="9" customHeight="1" thickBot="1" thickTop="1">
      <c r="A10" s="1163">
        <v>1</v>
      </c>
      <c r="B10" s="1164">
        <v>2</v>
      </c>
      <c r="C10" s="1165">
        <v>3</v>
      </c>
      <c r="D10" s="1166">
        <v>4</v>
      </c>
      <c r="E10" s="1167">
        <v>5</v>
      </c>
    </row>
    <row r="11" spans="1:5" s="1174" customFormat="1" ht="18.75" customHeight="1" thickBot="1" thickTop="1">
      <c r="A11" s="1169">
        <v>600</v>
      </c>
      <c r="B11" s="1170" t="s">
        <v>251</v>
      </c>
      <c r="C11" s="1171">
        <f>C12</f>
        <v>330000</v>
      </c>
      <c r="D11" s="1172">
        <f>D12</f>
        <v>330000</v>
      </c>
      <c r="E11" s="1173"/>
    </row>
    <row r="12" spans="1:5" s="1174" customFormat="1" ht="18.75" customHeight="1" thickBot="1" thickTop="1">
      <c r="A12" s="1175">
        <v>60002</v>
      </c>
      <c r="B12" s="1176" t="s">
        <v>397</v>
      </c>
      <c r="C12" s="1177">
        <f>C13</f>
        <v>330000</v>
      </c>
      <c r="D12" s="1178">
        <f>D13</f>
        <v>330000</v>
      </c>
      <c r="E12" s="1179"/>
    </row>
    <row r="13" spans="1:5" s="1185" customFormat="1" ht="31.5" customHeight="1" thickBot="1" thickTop="1">
      <c r="A13" s="1180">
        <v>2710</v>
      </c>
      <c r="B13" s="1181" t="s">
        <v>640</v>
      </c>
      <c r="C13" s="1182">
        <f>D13</f>
        <v>330000</v>
      </c>
      <c r="D13" s="1183">
        <f>100000+230000</f>
        <v>330000</v>
      </c>
      <c r="E13" s="1184"/>
    </row>
    <row r="14" spans="1:5" s="1174" customFormat="1" ht="18.75" customHeight="1" thickBot="1" thickTop="1">
      <c r="A14" s="1169">
        <v>630</v>
      </c>
      <c r="B14" s="1170" t="s">
        <v>404</v>
      </c>
      <c r="C14" s="1171">
        <f>C15</f>
        <v>7000</v>
      </c>
      <c r="D14" s="1172">
        <f>D15</f>
        <v>7000</v>
      </c>
      <c r="E14" s="1173"/>
    </row>
    <row r="15" spans="1:5" s="1174" customFormat="1" ht="18" customHeight="1" thickTop="1">
      <c r="A15" s="1186">
        <v>63003</v>
      </c>
      <c r="B15" s="1187" t="s">
        <v>641</v>
      </c>
      <c r="C15" s="1188">
        <f>SUM(C16:C17)</f>
        <v>7000</v>
      </c>
      <c r="D15" s="1189">
        <f>SUM(D16:D17)</f>
        <v>7000</v>
      </c>
      <c r="E15" s="1190"/>
    </row>
    <row r="16" spans="1:5" s="1320" customFormat="1" ht="26.25" customHeight="1">
      <c r="A16" s="1903">
        <v>2810</v>
      </c>
      <c r="B16" s="1224" t="s">
        <v>646</v>
      </c>
      <c r="C16" s="1904">
        <f>SUM(D16:E16)</f>
        <v>4000</v>
      </c>
      <c r="D16" s="1905">
        <v>4000</v>
      </c>
      <c r="E16" s="1906"/>
    </row>
    <row r="17" spans="1:5" s="1196" customFormat="1" ht="26.25" customHeight="1" thickBot="1">
      <c r="A17" s="1191">
        <v>2820</v>
      </c>
      <c r="B17" s="1192" t="s">
        <v>642</v>
      </c>
      <c r="C17" s="1193">
        <f>SUM(D17:E17)</f>
        <v>3000</v>
      </c>
      <c r="D17" s="1194">
        <v>3000</v>
      </c>
      <c r="E17" s="1195"/>
    </row>
    <row r="18" spans="1:5" s="1174" customFormat="1" ht="21" customHeight="1" thickBot="1" thickTop="1">
      <c r="A18" s="1169">
        <v>700</v>
      </c>
      <c r="B18" s="1170" t="s">
        <v>406</v>
      </c>
      <c r="C18" s="1171">
        <f>D18</f>
        <v>7100000</v>
      </c>
      <c r="D18" s="1197">
        <f>D19</f>
        <v>7100000</v>
      </c>
      <c r="E18" s="1198"/>
    </row>
    <row r="19" spans="1:5" s="1201" customFormat="1" ht="19.5" customHeight="1" thickTop="1">
      <c r="A19" s="1186">
        <v>70001</v>
      </c>
      <c r="B19" s="1187" t="s">
        <v>643</v>
      </c>
      <c r="C19" s="1188">
        <f>SUM(C20:C21)</f>
        <v>7100000</v>
      </c>
      <c r="D19" s="1199">
        <f>SUM(D20:D21)</f>
        <v>7100000</v>
      </c>
      <c r="E19" s="1200"/>
    </row>
    <row r="20" spans="1:5" s="1196" customFormat="1" ht="15.75" customHeight="1">
      <c r="A20" s="1191">
        <v>2650</v>
      </c>
      <c r="B20" s="1192" t="s">
        <v>644</v>
      </c>
      <c r="C20" s="1193">
        <f>D20</f>
        <v>6700000</v>
      </c>
      <c r="D20" s="1202">
        <f>6700000</f>
        <v>6700000</v>
      </c>
      <c r="E20" s="1203"/>
    </row>
    <row r="21" spans="1:5" s="1196" customFormat="1" ht="39.75" customHeight="1" thickBot="1">
      <c r="A21" s="1245">
        <v>6210</v>
      </c>
      <c r="B21" s="1246" t="s">
        <v>650</v>
      </c>
      <c r="C21" s="1193">
        <f>D21</f>
        <v>400000</v>
      </c>
      <c r="D21" s="1202">
        <v>400000</v>
      </c>
      <c r="E21" s="1203"/>
    </row>
    <row r="22" spans="1:5" s="1174" customFormat="1" ht="18.75" customHeight="1" thickBot="1" thickTop="1">
      <c r="A22" s="1169">
        <v>750</v>
      </c>
      <c r="B22" s="1204" t="s">
        <v>259</v>
      </c>
      <c r="C22" s="1205">
        <f>C23+C25</f>
        <v>2645180</v>
      </c>
      <c r="D22" s="1206">
        <f>D23+D25</f>
        <v>668000</v>
      </c>
      <c r="E22" s="1207">
        <f>E23+E25</f>
        <v>1977180</v>
      </c>
    </row>
    <row r="23" spans="1:5" s="1174" customFormat="1" ht="16.5" customHeight="1" thickTop="1">
      <c r="A23" s="1208">
        <v>75020</v>
      </c>
      <c r="B23" s="1209" t="s">
        <v>424</v>
      </c>
      <c r="C23" s="1210">
        <f>C24</f>
        <v>1977180</v>
      </c>
      <c r="D23" s="1211"/>
      <c r="E23" s="1212">
        <f>E24</f>
        <v>1977180</v>
      </c>
    </row>
    <row r="24" spans="1:5" s="1218" customFormat="1" ht="36" customHeight="1">
      <c r="A24" s="1213">
        <v>2320</v>
      </c>
      <c r="B24" s="1214" t="s">
        <v>645</v>
      </c>
      <c r="C24" s="1215">
        <f>SUM(D24:E24)</f>
        <v>1977180</v>
      </c>
      <c r="D24" s="1216"/>
      <c r="E24" s="1217">
        <v>1977180</v>
      </c>
    </row>
    <row r="25" spans="1:5" s="1174" customFormat="1" ht="15.75" customHeight="1">
      <c r="A25" s="1219">
        <v>75095</v>
      </c>
      <c r="B25" s="1220" t="s">
        <v>389</v>
      </c>
      <c r="C25" s="1221">
        <f>SUM(C26:C27)</f>
        <v>668000</v>
      </c>
      <c r="D25" s="1222">
        <f>SUM(D26:D27)</f>
        <v>668000</v>
      </c>
      <c r="E25" s="1223"/>
    </row>
    <row r="26" spans="1:5" s="1185" customFormat="1" ht="28.5" customHeight="1">
      <c r="A26" s="1191">
        <v>2810</v>
      </c>
      <c r="B26" s="1224" t="s">
        <v>646</v>
      </c>
      <c r="C26" s="1225">
        <f>SUM(D26:E26)</f>
        <v>0</v>
      </c>
      <c r="D26" s="1226">
        <f>668000-668000</f>
        <v>0</v>
      </c>
      <c r="E26" s="1227"/>
    </row>
    <row r="27" spans="1:5" s="1185" customFormat="1" ht="28.5" customHeight="1" thickBot="1">
      <c r="A27" s="1191">
        <v>2820</v>
      </c>
      <c r="B27" s="1192" t="s">
        <v>642</v>
      </c>
      <c r="C27" s="1322">
        <f>D27</f>
        <v>668000</v>
      </c>
      <c r="D27" s="1226">
        <v>668000</v>
      </c>
      <c r="E27" s="1227"/>
    </row>
    <row r="28" spans="1:5" s="1174" customFormat="1" ht="31.5" customHeight="1" thickBot="1" thickTop="1">
      <c r="A28" s="1169">
        <v>754</v>
      </c>
      <c r="B28" s="1204" t="s">
        <v>263</v>
      </c>
      <c r="C28" s="1205">
        <f>D28+E28</f>
        <v>242000</v>
      </c>
      <c r="D28" s="1228">
        <f>D31</f>
        <v>22000</v>
      </c>
      <c r="E28" s="1229">
        <f>E30</f>
        <v>220000</v>
      </c>
    </row>
    <row r="29" spans="1:5" s="1174" customFormat="1" ht="16.5" customHeight="1" thickTop="1">
      <c r="A29" s="1186">
        <v>75411</v>
      </c>
      <c r="B29" s="1311" t="s">
        <v>435</v>
      </c>
      <c r="C29" s="1312">
        <f>E29</f>
        <v>220000</v>
      </c>
      <c r="D29" s="1313"/>
      <c r="E29" s="1314">
        <f>E30</f>
        <v>220000</v>
      </c>
    </row>
    <row r="30" spans="1:5" s="1320" customFormat="1" ht="39.75" customHeight="1">
      <c r="A30" s="1903">
        <v>6220</v>
      </c>
      <c r="B30" s="2016" t="s">
        <v>775</v>
      </c>
      <c r="C30" s="2017">
        <f>E30</f>
        <v>220000</v>
      </c>
      <c r="D30" s="1324"/>
      <c r="E30" s="1306">
        <v>220000</v>
      </c>
    </row>
    <row r="31" spans="1:5" s="1174" customFormat="1" ht="18.75" customHeight="1">
      <c r="A31" s="1219">
        <v>75412</v>
      </c>
      <c r="B31" s="1220" t="s">
        <v>647</v>
      </c>
      <c r="C31" s="1221">
        <f>SUM(D31:E31)</f>
        <v>22000</v>
      </c>
      <c r="D31" s="1222">
        <f>D32</f>
        <v>22000</v>
      </c>
      <c r="E31" s="1223"/>
    </row>
    <row r="32" spans="1:5" s="1185" customFormat="1" ht="27" customHeight="1" thickBot="1">
      <c r="A32" s="1191">
        <v>2820</v>
      </c>
      <c r="B32" s="1192" t="s">
        <v>642</v>
      </c>
      <c r="C32" s="1193">
        <f>SUM(D32:E32)</f>
        <v>22000</v>
      </c>
      <c r="D32" s="1226">
        <v>22000</v>
      </c>
      <c r="E32" s="1230"/>
    </row>
    <row r="33" spans="1:5" s="1174" customFormat="1" ht="19.5" customHeight="1" thickBot="1" thickTop="1">
      <c r="A33" s="1169">
        <v>801</v>
      </c>
      <c r="B33" s="1204" t="s">
        <v>271</v>
      </c>
      <c r="C33" s="1205">
        <f>C34+C38+C42+C44+C46+C49+C36</f>
        <v>22627915</v>
      </c>
      <c r="D33" s="1206">
        <f>D34+D38+D42+D44+D46+D49+D36</f>
        <v>16237428</v>
      </c>
      <c r="E33" s="1207">
        <f>E34+E38+E42+E44+E46+E49</f>
        <v>6390487</v>
      </c>
    </row>
    <row r="34" spans="1:5" s="1174" customFormat="1" ht="19.5" customHeight="1" thickTop="1">
      <c r="A34" s="1231">
        <v>80101</v>
      </c>
      <c r="B34" s="1232" t="s">
        <v>446</v>
      </c>
      <c r="C34" s="1233">
        <f>D34+E34</f>
        <v>850000</v>
      </c>
      <c r="D34" s="1234">
        <f>D35</f>
        <v>850000</v>
      </c>
      <c r="E34" s="1235"/>
    </row>
    <row r="35" spans="1:5" s="1185" customFormat="1" ht="26.25" customHeight="1">
      <c r="A35" s="1236">
        <v>2540</v>
      </c>
      <c r="B35" s="1237" t="s">
        <v>648</v>
      </c>
      <c r="C35" s="1193">
        <f>SUM(D35:E35)</f>
        <v>850000</v>
      </c>
      <c r="D35" s="1226">
        <v>850000</v>
      </c>
      <c r="E35" s="1227"/>
    </row>
    <row r="36" spans="1:5" s="1201" customFormat="1" ht="19.5" customHeight="1">
      <c r="A36" s="1219">
        <v>80103</v>
      </c>
      <c r="B36" s="1220" t="s">
        <v>448</v>
      </c>
      <c r="C36" s="1221">
        <f>C37</f>
        <v>85128</v>
      </c>
      <c r="D36" s="1238">
        <f>D37</f>
        <v>85128</v>
      </c>
      <c r="E36" s="1239"/>
    </row>
    <row r="37" spans="1:5" s="1185" customFormat="1" ht="27.75" customHeight="1">
      <c r="A37" s="1191">
        <v>2540</v>
      </c>
      <c r="B37" s="1240" t="s">
        <v>648</v>
      </c>
      <c r="C37" s="1241">
        <f>SUM(D37:E37)</f>
        <v>85128</v>
      </c>
      <c r="D37" s="1242">
        <f>72000+13128</f>
        <v>85128</v>
      </c>
      <c r="E37" s="1227"/>
    </row>
    <row r="38" spans="1:5" s="1174" customFormat="1" ht="18" customHeight="1">
      <c r="A38" s="1243">
        <v>80104</v>
      </c>
      <c r="B38" s="1232" t="s">
        <v>449</v>
      </c>
      <c r="C38" s="1233">
        <f>D38</f>
        <v>14648300</v>
      </c>
      <c r="D38" s="1234">
        <f>SUM(D39:D41)</f>
        <v>14648300</v>
      </c>
      <c r="E38" s="1223"/>
    </row>
    <row r="39" spans="1:5" s="1201" customFormat="1" ht="15" customHeight="1">
      <c r="A39" s="1244">
        <v>2510</v>
      </c>
      <c r="B39" s="1224" t="s">
        <v>649</v>
      </c>
      <c r="C39" s="1193">
        <f>SUM(D39:E39)</f>
        <v>13966300</v>
      </c>
      <c r="D39" s="1226">
        <f>13116300+850000</f>
        <v>13966300</v>
      </c>
      <c r="E39" s="1227"/>
    </row>
    <row r="40" spans="1:5" s="1201" customFormat="1" ht="24.75" customHeight="1">
      <c r="A40" s="1191">
        <v>2540</v>
      </c>
      <c r="B40" s="1192" t="s">
        <v>648</v>
      </c>
      <c r="C40" s="1193">
        <f>SUM(D40:E40)</f>
        <v>315000</v>
      </c>
      <c r="D40" s="1226">
        <v>315000</v>
      </c>
      <c r="E40" s="1227"/>
    </row>
    <row r="41" spans="1:5" s="1201" customFormat="1" ht="39.75" customHeight="1">
      <c r="A41" s="1245">
        <v>6210</v>
      </c>
      <c r="B41" s="1246" t="s">
        <v>650</v>
      </c>
      <c r="C41" s="1247">
        <f>SUM(D41:E41)</f>
        <v>367000</v>
      </c>
      <c r="D41" s="1242">
        <f>1610000-1250000+7000</f>
        <v>367000</v>
      </c>
      <c r="E41" s="1248"/>
    </row>
    <row r="42" spans="1:5" s="1174" customFormat="1" ht="18" customHeight="1">
      <c r="A42" s="1219">
        <v>80110</v>
      </c>
      <c r="B42" s="1220" t="s">
        <v>651</v>
      </c>
      <c r="C42" s="1221">
        <f>C43</f>
        <v>600000</v>
      </c>
      <c r="D42" s="1222">
        <f>D43</f>
        <v>600000</v>
      </c>
      <c r="E42" s="1223"/>
    </row>
    <row r="43" spans="1:5" s="1185" customFormat="1" ht="24.75" customHeight="1">
      <c r="A43" s="1213">
        <v>2540</v>
      </c>
      <c r="B43" s="1214" t="s">
        <v>648</v>
      </c>
      <c r="C43" s="1241">
        <f>SUM(D43:E43)</f>
        <v>600000</v>
      </c>
      <c r="D43" s="1216">
        <v>600000</v>
      </c>
      <c r="E43" s="1249"/>
    </row>
    <row r="44" spans="1:5" s="1174" customFormat="1" ht="18" customHeight="1">
      <c r="A44" s="1250">
        <v>80120</v>
      </c>
      <c r="B44" s="1220" t="s">
        <v>454</v>
      </c>
      <c r="C44" s="1221">
        <f>C45</f>
        <v>1670985</v>
      </c>
      <c r="D44" s="1222"/>
      <c r="E44" s="1223">
        <f>E45</f>
        <v>1670985</v>
      </c>
    </row>
    <row r="45" spans="1:5" s="1185" customFormat="1" ht="26.25" customHeight="1">
      <c r="A45" s="1251">
        <v>2540</v>
      </c>
      <c r="B45" s="1252" t="s">
        <v>648</v>
      </c>
      <c r="C45" s="1247">
        <f>SUM(D45:E45)</f>
        <v>1670985</v>
      </c>
      <c r="D45" s="1216"/>
      <c r="E45" s="1253">
        <f>1500000+170985</f>
        <v>1670985</v>
      </c>
    </row>
    <row r="46" spans="1:5" s="1174" customFormat="1" ht="15.75" customHeight="1">
      <c r="A46" s="1219">
        <v>80130</v>
      </c>
      <c r="B46" s="1220" t="s">
        <v>652</v>
      </c>
      <c r="C46" s="1221">
        <f>D46+E46</f>
        <v>4719502</v>
      </c>
      <c r="D46" s="1222"/>
      <c r="E46" s="1223">
        <f>SUM(E47:E48)</f>
        <v>4719502</v>
      </c>
    </row>
    <row r="47" spans="1:5" s="1258" customFormat="1" ht="24" customHeight="1">
      <c r="A47" s="1244">
        <v>2540</v>
      </c>
      <c r="B47" s="1254" t="s">
        <v>648</v>
      </c>
      <c r="C47" s="1255">
        <f>SUM(D47:E47)</f>
        <v>4194502</v>
      </c>
      <c r="D47" s="1256"/>
      <c r="E47" s="1257">
        <f>3300000+894502</f>
        <v>4194502</v>
      </c>
    </row>
    <row r="48" spans="1:5" s="1185" customFormat="1" ht="37.5" customHeight="1">
      <c r="A48" s="1245">
        <v>2590</v>
      </c>
      <c r="B48" s="1240" t="s">
        <v>653</v>
      </c>
      <c r="C48" s="1247">
        <f>E48</f>
        <v>525000</v>
      </c>
      <c r="D48" s="1242"/>
      <c r="E48" s="1259">
        <v>525000</v>
      </c>
    </row>
    <row r="49" spans="1:5" s="1174" customFormat="1" ht="16.5" customHeight="1">
      <c r="A49" s="1231">
        <v>80195</v>
      </c>
      <c r="B49" s="1232" t="s">
        <v>389</v>
      </c>
      <c r="C49" s="1221">
        <f>SUM(C50:C52)</f>
        <v>54000</v>
      </c>
      <c r="D49" s="1234">
        <f>SUM(D50:D52)</f>
        <v>54000</v>
      </c>
      <c r="E49" s="1235"/>
    </row>
    <row r="50" spans="1:5" s="1258" customFormat="1" ht="24">
      <c r="A50" s="1191">
        <v>2540</v>
      </c>
      <c r="B50" s="1224" t="s">
        <v>654</v>
      </c>
      <c r="C50" s="1193">
        <f>SUM(D50:E50)</f>
        <v>15000</v>
      </c>
      <c r="D50" s="1226">
        <v>15000</v>
      </c>
      <c r="E50" s="1227"/>
    </row>
    <row r="51" spans="1:5" s="1258" customFormat="1" ht="27.75" customHeight="1">
      <c r="A51" s="1191">
        <v>2570</v>
      </c>
      <c r="B51" s="1224" t="s">
        <v>655</v>
      </c>
      <c r="C51" s="1193">
        <f>SUM(D51:E51)</f>
        <v>15000</v>
      </c>
      <c r="D51" s="1226">
        <v>15000</v>
      </c>
      <c r="E51" s="1227"/>
    </row>
    <row r="52" spans="1:5" s="1258" customFormat="1" ht="27.75" customHeight="1" thickBot="1">
      <c r="A52" s="1260">
        <v>2820</v>
      </c>
      <c r="B52" s="1261" t="s">
        <v>642</v>
      </c>
      <c r="C52" s="1262">
        <f>SUM(D52:E52)</f>
        <v>24000</v>
      </c>
      <c r="D52" s="1263">
        <v>24000</v>
      </c>
      <c r="E52" s="1264"/>
    </row>
    <row r="53" spans="1:5" s="1258" customFormat="1" ht="15.75" customHeight="1" thickBot="1" thickTop="1">
      <c r="A53" s="1885">
        <v>803</v>
      </c>
      <c r="B53" s="1886" t="s">
        <v>273</v>
      </c>
      <c r="C53" s="1887">
        <f>C54</f>
        <v>18000</v>
      </c>
      <c r="D53" s="1888">
        <f>D54</f>
        <v>18000</v>
      </c>
      <c r="E53" s="1889"/>
    </row>
    <row r="54" spans="1:5" s="1258" customFormat="1" ht="15" customHeight="1" thickBot="1" thickTop="1">
      <c r="A54" s="1885">
        <v>80309</v>
      </c>
      <c r="B54" s="1886" t="s">
        <v>751</v>
      </c>
      <c r="C54" s="1887">
        <f>D54</f>
        <v>18000</v>
      </c>
      <c r="D54" s="1890">
        <f>D55</f>
        <v>18000</v>
      </c>
      <c r="E54" s="1891"/>
    </row>
    <row r="55" spans="1:5" s="1258" customFormat="1" ht="21.75" customHeight="1" thickBot="1" thickTop="1">
      <c r="A55" s="1260">
        <v>2520</v>
      </c>
      <c r="B55" s="1261" t="s">
        <v>752</v>
      </c>
      <c r="C55" s="1262">
        <f>D55</f>
        <v>18000</v>
      </c>
      <c r="D55" s="1892">
        <f>10000+8000</f>
        <v>18000</v>
      </c>
      <c r="E55" s="1893"/>
    </row>
    <row r="56" spans="1:5" s="1174" customFormat="1" ht="20.25" customHeight="1" thickBot="1" thickTop="1">
      <c r="A56" s="1169">
        <v>851</v>
      </c>
      <c r="B56" s="1204" t="s">
        <v>275</v>
      </c>
      <c r="C56" s="1205">
        <f>C59+C61+C63</f>
        <v>1080000</v>
      </c>
      <c r="D56" s="1206">
        <f>D59+D61+D63</f>
        <v>1080000</v>
      </c>
      <c r="E56" s="1207"/>
    </row>
    <row r="57" spans="1:5" s="1270" customFormat="1" ht="19.5" customHeight="1" hidden="1">
      <c r="A57" s="1265">
        <v>85111</v>
      </c>
      <c r="B57" s="1266" t="s">
        <v>466</v>
      </c>
      <c r="C57" s="1267">
        <f>C58</f>
        <v>0</v>
      </c>
      <c r="D57" s="1268">
        <f>D58</f>
        <v>0</v>
      </c>
      <c r="E57" s="1269"/>
    </row>
    <row r="58" spans="1:5" s="1270" customFormat="1" ht="27" customHeight="1" hidden="1" thickTop="1">
      <c r="A58" s="1245">
        <v>2330</v>
      </c>
      <c r="B58" s="1240" t="s">
        <v>656</v>
      </c>
      <c r="C58" s="1271">
        <f>SUM(D58:E58)</f>
        <v>0</v>
      </c>
      <c r="D58" s="1272">
        <v>0</v>
      </c>
      <c r="E58" s="1273"/>
    </row>
    <row r="59" spans="1:5" s="1258" customFormat="1" ht="16.5" customHeight="1" thickTop="1">
      <c r="A59" s="1274">
        <v>85153</v>
      </c>
      <c r="B59" s="1275" t="s">
        <v>469</v>
      </c>
      <c r="C59" s="1276">
        <f>C60</f>
        <v>100000</v>
      </c>
      <c r="D59" s="1277">
        <f>SUM(D60:D60)</f>
        <v>100000</v>
      </c>
      <c r="E59" s="1278"/>
    </row>
    <row r="60" spans="1:5" s="1185" customFormat="1" ht="27" customHeight="1">
      <c r="A60" s="1279">
        <v>2820</v>
      </c>
      <c r="B60" s="1214" t="s">
        <v>657</v>
      </c>
      <c r="C60" s="1193">
        <f>SUM(D60:E60)</f>
        <v>100000</v>
      </c>
      <c r="D60" s="1216">
        <v>100000</v>
      </c>
      <c r="E60" s="1280"/>
    </row>
    <row r="61" spans="1:5" s="1258" customFormat="1" ht="17.25" customHeight="1">
      <c r="A61" s="1274">
        <v>85154</v>
      </c>
      <c r="B61" s="1275" t="s">
        <v>470</v>
      </c>
      <c r="C61" s="1276">
        <f>C62</f>
        <v>800000</v>
      </c>
      <c r="D61" s="1277">
        <f>D62</f>
        <v>800000</v>
      </c>
      <c r="E61" s="1278"/>
    </row>
    <row r="62" spans="1:5" s="1185" customFormat="1" ht="25.5" customHeight="1">
      <c r="A62" s="1245">
        <v>2820</v>
      </c>
      <c r="B62" s="1240" t="s">
        <v>658</v>
      </c>
      <c r="C62" s="1247">
        <f>SUM(D62:E62)</f>
        <v>800000</v>
      </c>
      <c r="D62" s="1242">
        <f>500000+300000</f>
        <v>800000</v>
      </c>
      <c r="E62" s="1248"/>
    </row>
    <row r="63" spans="1:5" s="1258" customFormat="1" ht="16.5" customHeight="1">
      <c r="A63" s="1281">
        <v>85195</v>
      </c>
      <c r="B63" s="1275" t="s">
        <v>389</v>
      </c>
      <c r="C63" s="1276">
        <f>D63</f>
        <v>180000</v>
      </c>
      <c r="D63" s="1277">
        <f>SUM(D64:D65)</f>
        <v>180000</v>
      </c>
      <c r="E63" s="1282"/>
    </row>
    <row r="64" spans="1:5" s="990" customFormat="1" ht="24.75" customHeight="1">
      <c r="A64" s="1236">
        <v>2820</v>
      </c>
      <c r="B64" s="1254" t="s">
        <v>642</v>
      </c>
      <c r="C64" s="1255">
        <f>SUM(D64:E64)</f>
        <v>144000</v>
      </c>
      <c r="D64" s="2434">
        <v>144000</v>
      </c>
      <c r="E64" s="1283"/>
    </row>
    <row r="65" spans="1:5" s="990" customFormat="1" ht="41.25" customHeight="1" thickBot="1">
      <c r="A65" s="1245">
        <v>6210</v>
      </c>
      <c r="B65" s="1246" t="s">
        <v>650</v>
      </c>
      <c r="C65" s="1262">
        <f>D65</f>
        <v>36000</v>
      </c>
      <c r="D65" s="2435">
        <v>36000</v>
      </c>
      <c r="E65" s="2436"/>
    </row>
    <row r="66" spans="1:5" s="1287" customFormat="1" ht="21" customHeight="1" thickBot="1" thickTop="1">
      <c r="A66" s="1169">
        <v>852</v>
      </c>
      <c r="B66" s="1204" t="s">
        <v>277</v>
      </c>
      <c r="C66" s="1284">
        <f>C67+C72+C74+C76+C70</f>
        <v>1434700</v>
      </c>
      <c r="D66" s="1285">
        <f>D67+D72+D76+D70</f>
        <v>657200</v>
      </c>
      <c r="E66" s="1286">
        <f>E67+E72+E76+E74</f>
        <v>777500</v>
      </c>
    </row>
    <row r="67" spans="1:5" s="1287" customFormat="1" ht="18.75" customHeight="1" thickTop="1">
      <c r="A67" s="1219">
        <v>85201</v>
      </c>
      <c r="B67" s="1220" t="s">
        <v>659</v>
      </c>
      <c r="C67" s="1276">
        <f>C68+C69</f>
        <v>458000</v>
      </c>
      <c r="D67" s="1277"/>
      <c r="E67" s="1288">
        <f>E68+E69</f>
        <v>458000</v>
      </c>
    </row>
    <row r="68" spans="1:5" s="990" customFormat="1" ht="25.5" customHeight="1">
      <c r="A68" s="1244">
        <v>2820</v>
      </c>
      <c r="B68" s="1254" t="s">
        <v>657</v>
      </c>
      <c r="C68" s="1255">
        <f>SUM(D68:E68)</f>
        <v>46000</v>
      </c>
      <c r="D68" s="1256"/>
      <c r="E68" s="1289">
        <v>46000</v>
      </c>
    </row>
    <row r="69" spans="1:5" s="990" customFormat="1" ht="37.5" customHeight="1">
      <c r="A69" s="1245">
        <v>2320</v>
      </c>
      <c r="B69" s="1240" t="s">
        <v>645</v>
      </c>
      <c r="C69" s="1247">
        <f>SUM(D69:E69)</f>
        <v>412000</v>
      </c>
      <c r="D69" s="1242"/>
      <c r="E69" s="1290">
        <v>412000</v>
      </c>
    </row>
    <row r="70" spans="1:5" s="1287" customFormat="1" ht="18.75" customHeight="1">
      <c r="A70" s="1291">
        <v>85203</v>
      </c>
      <c r="B70" s="1292" t="s">
        <v>474</v>
      </c>
      <c r="C70" s="1293">
        <f>C71</f>
        <v>507200</v>
      </c>
      <c r="D70" s="1294">
        <f>D71</f>
        <v>507200</v>
      </c>
      <c r="E70" s="1295"/>
    </row>
    <row r="71" spans="1:5" s="990" customFormat="1" ht="29.25" customHeight="1">
      <c r="A71" s="1191">
        <v>2820</v>
      </c>
      <c r="B71" s="1254" t="s">
        <v>657</v>
      </c>
      <c r="C71" s="1193">
        <f>D71</f>
        <v>507200</v>
      </c>
      <c r="D71" s="1242">
        <v>507200</v>
      </c>
      <c r="E71" s="1290"/>
    </row>
    <row r="72" spans="1:5" s="1287" customFormat="1" ht="18.75" customHeight="1">
      <c r="A72" s="1219">
        <v>85204</v>
      </c>
      <c r="B72" s="1220" t="s">
        <v>475</v>
      </c>
      <c r="C72" s="1276">
        <f>E72</f>
        <v>123500</v>
      </c>
      <c r="D72" s="1296"/>
      <c r="E72" s="1297">
        <f>E73</f>
        <v>123500</v>
      </c>
    </row>
    <row r="73" spans="1:5" s="990" customFormat="1" ht="37.5" customHeight="1">
      <c r="A73" s="1213">
        <v>2320</v>
      </c>
      <c r="B73" s="1214" t="s">
        <v>645</v>
      </c>
      <c r="C73" s="1241">
        <f>SUM(D73:E73)</f>
        <v>123500</v>
      </c>
      <c r="D73" s="1216"/>
      <c r="E73" s="1298">
        <v>123500</v>
      </c>
    </row>
    <row r="74" spans="1:5" s="990" customFormat="1" ht="31.5" customHeight="1">
      <c r="A74" s="1299">
        <v>85220</v>
      </c>
      <c r="B74" s="1300" t="s">
        <v>559</v>
      </c>
      <c r="C74" s="1221">
        <f>SUM(D74:E74)</f>
        <v>196000</v>
      </c>
      <c r="D74" s="1222"/>
      <c r="E74" s="1239">
        <f>E75</f>
        <v>196000</v>
      </c>
    </row>
    <row r="75" spans="1:5" s="990" customFormat="1" ht="28.5" customHeight="1">
      <c r="A75" s="1213">
        <v>2820</v>
      </c>
      <c r="B75" s="1214" t="s">
        <v>642</v>
      </c>
      <c r="C75" s="1241">
        <f>SUM(D75:E75)</f>
        <v>196000</v>
      </c>
      <c r="D75" s="1216"/>
      <c r="E75" s="1298">
        <v>196000</v>
      </c>
    </row>
    <row r="76" spans="1:5" s="1258" customFormat="1" ht="18" customHeight="1">
      <c r="A76" s="1301">
        <v>85295</v>
      </c>
      <c r="B76" s="1275" t="s">
        <v>389</v>
      </c>
      <c r="C76" s="1276">
        <f>C77</f>
        <v>150000</v>
      </c>
      <c r="D76" s="1277">
        <f>D77</f>
        <v>150000</v>
      </c>
      <c r="E76" s="1302"/>
    </row>
    <row r="77" spans="1:5" s="1185" customFormat="1" ht="30.75" customHeight="1" thickBot="1">
      <c r="A77" s="1244">
        <v>2820</v>
      </c>
      <c r="B77" s="1254" t="s">
        <v>642</v>
      </c>
      <c r="C77" s="1225">
        <f>SUM(D77:E77)</f>
        <v>150000</v>
      </c>
      <c r="D77" s="1256">
        <v>150000</v>
      </c>
      <c r="E77" s="1871"/>
    </row>
    <row r="78" spans="1:5" s="1185" customFormat="1" ht="29.25" customHeight="1" thickBot="1" thickTop="1">
      <c r="A78" s="1169">
        <v>853</v>
      </c>
      <c r="B78" s="1204" t="s">
        <v>279</v>
      </c>
      <c r="C78" s="1284">
        <f>C79+C82+C84</f>
        <v>3484173</v>
      </c>
      <c r="D78" s="1872">
        <f>D79</f>
        <v>3267000</v>
      </c>
      <c r="E78" s="1873">
        <f>E82+E84</f>
        <v>217173</v>
      </c>
    </row>
    <row r="79" spans="1:5" s="1185" customFormat="1" ht="19.5" customHeight="1" thickTop="1">
      <c r="A79" s="1303">
        <v>85305</v>
      </c>
      <c r="B79" s="1220" t="s">
        <v>486</v>
      </c>
      <c r="C79" s="1276">
        <f>SUM(C80:C81)</f>
        <v>3267000</v>
      </c>
      <c r="D79" s="1277">
        <f>SUM(D80:D81)</f>
        <v>3267000</v>
      </c>
      <c r="E79" s="1304"/>
    </row>
    <row r="80" spans="1:5" s="1185" customFormat="1" ht="17.25" customHeight="1">
      <c r="A80" s="1236">
        <v>2510</v>
      </c>
      <c r="B80" s="1254" t="s">
        <v>660</v>
      </c>
      <c r="C80" s="1193">
        <f>SUM(D80:E80)</f>
        <v>3101000</v>
      </c>
      <c r="D80" s="1256">
        <f>3050000+26500+24500</f>
        <v>3101000</v>
      </c>
      <c r="E80" s="1305"/>
    </row>
    <row r="81" spans="1:5" s="1185" customFormat="1" ht="38.25" customHeight="1">
      <c r="A81" s="1191">
        <v>6210</v>
      </c>
      <c r="B81" s="1192" t="s">
        <v>650</v>
      </c>
      <c r="C81" s="1193">
        <f>D81</f>
        <v>166000</v>
      </c>
      <c r="D81" s="1226">
        <v>166000</v>
      </c>
      <c r="E81" s="1306"/>
    </row>
    <row r="82" spans="1:5" s="1258" customFormat="1" ht="14.25" customHeight="1">
      <c r="A82" s="1307">
        <v>85311</v>
      </c>
      <c r="B82" s="1308" t="s">
        <v>487</v>
      </c>
      <c r="C82" s="1309">
        <f>C83</f>
        <v>199237</v>
      </c>
      <c r="D82" s="1277"/>
      <c r="E82" s="1302">
        <f>E83</f>
        <v>199237</v>
      </c>
    </row>
    <row r="83" spans="1:5" s="1185" customFormat="1" ht="27.75" customHeight="1">
      <c r="A83" s="1191">
        <v>2580</v>
      </c>
      <c r="B83" s="1192" t="s">
        <v>661</v>
      </c>
      <c r="C83" s="1193">
        <f aca="true" t="shared" si="0" ref="C83:C88">E83</f>
        <v>199237</v>
      </c>
      <c r="D83" s="1226"/>
      <c r="E83" s="1306">
        <f>200000+82852-83615</f>
        <v>199237</v>
      </c>
    </row>
    <row r="84" spans="1:5" s="1258" customFormat="1" ht="20.25" customHeight="1">
      <c r="A84" s="1301">
        <v>85395</v>
      </c>
      <c r="B84" s="1874" t="s">
        <v>389</v>
      </c>
      <c r="C84" s="1309">
        <f t="shared" si="0"/>
        <v>17936</v>
      </c>
      <c r="D84" s="1277"/>
      <c r="E84" s="1302">
        <f>SUM(E85:E88)</f>
        <v>17936</v>
      </c>
    </row>
    <row r="85" spans="1:5" s="1185" customFormat="1" ht="27.75" customHeight="1">
      <c r="A85" s="1244">
        <v>2338</v>
      </c>
      <c r="B85" s="1875" t="s">
        <v>44</v>
      </c>
      <c r="C85" s="1255">
        <f t="shared" si="0"/>
        <v>12369</v>
      </c>
      <c r="D85" s="1256"/>
      <c r="E85" s="1876">
        <f>9578+2791</f>
        <v>12369</v>
      </c>
    </row>
    <row r="86" spans="1:5" s="1185" customFormat="1" ht="27.75" customHeight="1">
      <c r="A86" s="1191">
        <v>2339</v>
      </c>
      <c r="B86" s="1877" t="s">
        <v>44</v>
      </c>
      <c r="C86" s="1193">
        <f t="shared" si="0"/>
        <v>166</v>
      </c>
      <c r="D86" s="1226"/>
      <c r="E86" s="1306">
        <f>129+37</f>
        <v>166</v>
      </c>
    </row>
    <row r="87" spans="1:5" s="1185" customFormat="1" ht="39.75" customHeight="1">
      <c r="A87" s="1191">
        <v>2678</v>
      </c>
      <c r="B87" s="1877" t="s">
        <v>45</v>
      </c>
      <c r="C87" s="1193">
        <f t="shared" si="0"/>
        <v>5329</v>
      </c>
      <c r="D87" s="1226"/>
      <c r="E87" s="1306">
        <f>3494+1835</f>
        <v>5329</v>
      </c>
    </row>
    <row r="88" spans="1:5" s="1185" customFormat="1" ht="40.5" customHeight="1" thickBot="1">
      <c r="A88" s="1260">
        <v>2679</v>
      </c>
      <c r="B88" s="1878" t="s">
        <v>45</v>
      </c>
      <c r="C88" s="1262">
        <f t="shared" si="0"/>
        <v>72</v>
      </c>
      <c r="D88" s="1263"/>
      <c r="E88" s="1310">
        <f>7+65</f>
        <v>72</v>
      </c>
    </row>
    <row r="89" spans="1:5" s="1174" customFormat="1" ht="19.5" customHeight="1" thickBot="1" thickTop="1">
      <c r="A89" s="1169">
        <v>854</v>
      </c>
      <c r="B89" s="1204" t="s">
        <v>281</v>
      </c>
      <c r="C89" s="1205">
        <f>C92+C90</f>
        <v>831000</v>
      </c>
      <c r="D89" s="1228">
        <f>D92</f>
        <v>31000</v>
      </c>
      <c r="E89" s="1229">
        <f>E90</f>
        <v>800000</v>
      </c>
    </row>
    <row r="90" spans="1:5" s="1174" customFormat="1" ht="16.5" customHeight="1" thickTop="1">
      <c r="A90" s="1186">
        <v>85419</v>
      </c>
      <c r="B90" s="1311" t="s">
        <v>496</v>
      </c>
      <c r="C90" s="1312">
        <f>C91</f>
        <v>800000</v>
      </c>
      <c r="D90" s="1313"/>
      <c r="E90" s="1314">
        <f>E91</f>
        <v>800000</v>
      </c>
    </row>
    <row r="91" spans="1:5" s="1320" customFormat="1" ht="16.5" customHeight="1">
      <c r="A91" s="1315">
        <v>2540</v>
      </c>
      <c r="B91" s="1316" t="s">
        <v>662</v>
      </c>
      <c r="C91" s="1317">
        <f>E91</f>
        <v>800000</v>
      </c>
      <c r="D91" s="1318"/>
      <c r="E91" s="1319">
        <v>800000</v>
      </c>
    </row>
    <row r="92" spans="1:5" s="1321" customFormat="1" ht="12.75" customHeight="1">
      <c r="A92" s="1301">
        <v>85495</v>
      </c>
      <c r="B92" s="1275" t="s">
        <v>389</v>
      </c>
      <c r="C92" s="1276">
        <f>C93</f>
        <v>31000</v>
      </c>
      <c r="D92" s="1277">
        <f>D93</f>
        <v>31000</v>
      </c>
      <c r="E92" s="1302"/>
    </row>
    <row r="93" spans="1:5" s="1323" customFormat="1" ht="25.5" customHeight="1" thickBot="1">
      <c r="A93" s="1191">
        <v>2820</v>
      </c>
      <c r="B93" s="1224" t="s">
        <v>658</v>
      </c>
      <c r="C93" s="1322">
        <f>SUM(D93:E93)</f>
        <v>31000</v>
      </c>
      <c r="D93" s="1226">
        <v>31000</v>
      </c>
      <c r="E93" s="1227"/>
    </row>
    <row r="94" spans="1:5" s="1323" customFormat="1" ht="30.75" customHeight="1" thickBot="1" thickTop="1">
      <c r="A94" s="2018">
        <v>900</v>
      </c>
      <c r="B94" s="2019" t="s">
        <v>285</v>
      </c>
      <c r="C94" s="1284">
        <f>C95+C97</f>
        <v>1485000</v>
      </c>
      <c r="D94" s="1872">
        <f>D95+D97</f>
        <v>1485000</v>
      </c>
      <c r="E94" s="1873"/>
    </row>
    <row r="95" spans="1:5" s="1323" customFormat="1" ht="18.75" customHeight="1" thickTop="1">
      <c r="A95" s="2020">
        <v>90013</v>
      </c>
      <c r="B95" s="2021" t="s">
        <v>793</v>
      </c>
      <c r="C95" s="2368">
        <f>C96</f>
        <v>285000</v>
      </c>
      <c r="D95" s="2369">
        <f>D96</f>
        <v>285000</v>
      </c>
      <c r="E95" s="2370"/>
    </row>
    <row r="96" spans="1:5" s="1323" customFormat="1" ht="26.25" customHeight="1">
      <c r="A96" s="2371">
        <v>2820</v>
      </c>
      <c r="B96" s="1214" t="s">
        <v>642</v>
      </c>
      <c r="C96" s="2372">
        <f>D96</f>
        <v>285000</v>
      </c>
      <c r="D96" s="2373">
        <f>300000-15000</f>
        <v>285000</v>
      </c>
      <c r="E96" s="2374"/>
    </row>
    <row r="97" spans="1:5" s="1323" customFormat="1" ht="15.75" customHeight="1">
      <c r="A97" s="1301">
        <v>90095</v>
      </c>
      <c r="B97" s="1275" t="s">
        <v>389</v>
      </c>
      <c r="C97" s="2375">
        <f>C98</f>
        <v>1200000</v>
      </c>
      <c r="D97" s="2376">
        <f>D98</f>
        <v>1200000</v>
      </c>
      <c r="E97" s="2377"/>
    </row>
    <row r="98" spans="1:5" s="1323" customFormat="1" ht="38.25" customHeight="1" thickBot="1">
      <c r="A98" s="1191">
        <v>6300</v>
      </c>
      <c r="B98" s="1224" t="s">
        <v>776</v>
      </c>
      <c r="C98" s="1322">
        <f>D98</f>
        <v>1200000</v>
      </c>
      <c r="D98" s="1226">
        <v>1200000</v>
      </c>
      <c r="E98" s="1227"/>
    </row>
    <row r="99" spans="1:5" s="1174" customFormat="1" ht="27" thickBot="1" thickTop="1">
      <c r="A99" s="1169">
        <v>921</v>
      </c>
      <c r="B99" s="1204" t="s">
        <v>287</v>
      </c>
      <c r="C99" s="1205">
        <f>C100+C102+C105+C107+C109+C111+C116+C114</f>
        <v>17796888</v>
      </c>
      <c r="D99" s="1228">
        <f>D100+D102+D105+D107+D109+D111+D116+D114</f>
        <v>6354488</v>
      </c>
      <c r="E99" s="1229">
        <f>E100+E102+E105+E107+E109+E111</f>
        <v>11442400</v>
      </c>
    </row>
    <row r="100" spans="1:5" s="1174" customFormat="1" ht="17.25" customHeight="1" thickTop="1">
      <c r="A100" s="1208">
        <v>92105</v>
      </c>
      <c r="B100" s="1209" t="s">
        <v>663</v>
      </c>
      <c r="C100" s="1233">
        <f>C101</f>
        <v>223000</v>
      </c>
      <c r="D100" s="1234">
        <f>D101</f>
        <v>223000</v>
      </c>
      <c r="E100" s="1235"/>
    </row>
    <row r="101" spans="1:5" s="1325" customFormat="1" ht="26.25" customHeight="1">
      <c r="A101" s="1236">
        <v>2820</v>
      </c>
      <c r="B101" s="1214" t="s">
        <v>642</v>
      </c>
      <c r="C101" s="1193">
        <f>SUM(D101:E101)</f>
        <v>223000</v>
      </c>
      <c r="D101" s="1324">
        <f>210000+13000</f>
        <v>223000</v>
      </c>
      <c r="E101" s="1306"/>
    </row>
    <row r="102" spans="1:5" s="1174" customFormat="1" ht="18" customHeight="1">
      <c r="A102" s="1303">
        <v>92106</v>
      </c>
      <c r="B102" s="1326" t="s">
        <v>664</v>
      </c>
      <c r="C102" s="1327">
        <f>E102</f>
        <v>3199000</v>
      </c>
      <c r="D102" s="1328"/>
      <c r="E102" s="1329">
        <f>E103+E104</f>
        <v>3199000</v>
      </c>
    </row>
    <row r="103" spans="1:5" s="1258" customFormat="1" ht="16.5" customHeight="1">
      <c r="A103" s="1236">
        <v>2480</v>
      </c>
      <c r="B103" s="1237" t="s">
        <v>665</v>
      </c>
      <c r="C103" s="1193">
        <f>SUM(D103:E103)</f>
        <v>3091000</v>
      </c>
      <c r="D103" s="1330"/>
      <c r="E103" s="1331">
        <f>2591000+500000</f>
        <v>3091000</v>
      </c>
    </row>
    <row r="104" spans="1:5" s="1258" customFormat="1" ht="36.75" customHeight="1">
      <c r="A104" s="2022">
        <v>6220</v>
      </c>
      <c r="B104" s="2023" t="s">
        <v>667</v>
      </c>
      <c r="C104" s="2024">
        <f>E104</f>
        <v>108000</v>
      </c>
      <c r="D104" s="2025"/>
      <c r="E104" s="2026">
        <f>40000+68000</f>
        <v>108000</v>
      </c>
    </row>
    <row r="105" spans="1:5" s="1174" customFormat="1" ht="18" customHeight="1">
      <c r="A105" s="1303">
        <v>92108</v>
      </c>
      <c r="B105" s="1326" t="s">
        <v>508</v>
      </c>
      <c r="C105" s="1327">
        <f>SUM(C106:C106)</f>
        <v>3297000</v>
      </c>
      <c r="D105" s="1328"/>
      <c r="E105" s="1329">
        <f>SUM(E106:E106)</f>
        <v>3297000</v>
      </c>
    </row>
    <row r="106" spans="1:5" s="1258" customFormat="1" ht="14.25" customHeight="1">
      <c r="A106" s="1236">
        <v>2480</v>
      </c>
      <c r="B106" s="1237" t="s">
        <v>665</v>
      </c>
      <c r="C106" s="1193">
        <f>SUM(D106:E106)</f>
        <v>3297000</v>
      </c>
      <c r="D106" s="1324"/>
      <c r="E106" s="1306">
        <f>3127000+170000</f>
        <v>3297000</v>
      </c>
    </row>
    <row r="107" spans="1:5" s="1174" customFormat="1" ht="17.25" customHeight="1">
      <c r="A107" s="1303">
        <v>92109</v>
      </c>
      <c r="B107" s="1326" t="s">
        <v>666</v>
      </c>
      <c r="C107" s="1327">
        <f>SUM(C108:C108)</f>
        <v>3439000</v>
      </c>
      <c r="D107" s="1328">
        <f>SUM(D108:D108)</f>
        <v>3439000</v>
      </c>
      <c r="E107" s="1329"/>
    </row>
    <row r="108" spans="1:5" s="1185" customFormat="1" ht="15" customHeight="1">
      <c r="A108" s="1236">
        <v>2480</v>
      </c>
      <c r="B108" s="1237" t="s">
        <v>665</v>
      </c>
      <c r="C108" s="1193">
        <f>SUM(D108:E108)</f>
        <v>3439000</v>
      </c>
      <c r="D108" s="1330">
        <f>2419000+150000+840000+30000</f>
        <v>3439000</v>
      </c>
      <c r="E108" s="1331"/>
    </row>
    <row r="109" spans="1:5" s="1174" customFormat="1" ht="18.75" customHeight="1">
      <c r="A109" s="1250">
        <v>92116</v>
      </c>
      <c r="B109" s="1332" t="s">
        <v>509</v>
      </c>
      <c r="C109" s="1327">
        <f>C110</f>
        <v>4011100</v>
      </c>
      <c r="D109" s="1328">
        <f>D110</f>
        <v>1348000</v>
      </c>
      <c r="E109" s="1329">
        <f>E110</f>
        <v>2663100</v>
      </c>
    </row>
    <row r="110" spans="1:5" s="1185" customFormat="1" ht="19.5" customHeight="1">
      <c r="A110" s="1236">
        <v>2480</v>
      </c>
      <c r="B110" s="1237" t="s">
        <v>665</v>
      </c>
      <c r="C110" s="2437">
        <f>SUM(D110:E110)</f>
        <v>4011100</v>
      </c>
      <c r="D110" s="1330">
        <f>1328000+20000</f>
        <v>1348000</v>
      </c>
      <c r="E110" s="1331">
        <f>2576400+40000+46700</f>
        <v>2663100</v>
      </c>
    </row>
    <row r="111" spans="1:5" s="1174" customFormat="1" ht="16.5" customHeight="1">
      <c r="A111" s="1303">
        <v>92118</v>
      </c>
      <c r="B111" s="1326" t="s">
        <v>510</v>
      </c>
      <c r="C111" s="1327">
        <f>SUM(C112:C113)</f>
        <v>2283300</v>
      </c>
      <c r="D111" s="1328"/>
      <c r="E111" s="1329">
        <f>SUM(E112:E113)</f>
        <v>2283300</v>
      </c>
    </row>
    <row r="112" spans="1:5" s="1174" customFormat="1" ht="13.5" customHeight="1">
      <c r="A112" s="1236">
        <v>2480</v>
      </c>
      <c r="B112" s="1237" t="s">
        <v>665</v>
      </c>
      <c r="C112" s="1193">
        <f>SUM(D112:E112)</f>
        <v>1926300</v>
      </c>
      <c r="D112" s="1333"/>
      <c r="E112" s="1331">
        <f>1912300+14000</f>
        <v>1926300</v>
      </c>
    </row>
    <row r="113" spans="1:5" s="1339" customFormat="1" ht="40.5" customHeight="1">
      <c r="A113" s="1334">
        <v>6220</v>
      </c>
      <c r="B113" s="1335" t="s">
        <v>667</v>
      </c>
      <c r="C113" s="1336">
        <f>E113</f>
        <v>357000</v>
      </c>
      <c r="D113" s="1337"/>
      <c r="E113" s="1338">
        <v>357000</v>
      </c>
    </row>
    <row r="114" spans="1:5" s="1339" customFormat="1" ht="19.5" customHeight="1">
      <c r="A114" s="1907">
        <v>92120</v>
      </c>
      <c r="B114" s="1908" t="s">
        <v>763</v>
      </c>
      <c r="C114" s="1909">
        <f>D114</f>
        <v>898488</v>
      </c>
      <c r="D114" s="1910">
        <f>D115</f>
        <v>898488</v>
      </c>
      <c r="E114" s="1911"/>
    </row>
    <row r="115" spans="1:5" s="1339" customFormat="1" ht="48" customHeight="1">
      <c r="A115" s="1334">
        <v>2720</v>
      </c>
      <c r="B115" s="1335" t="s">
        <v>764</v>
      </c>
      <c r="C115" s="1336">
        <f>D115</f>
        <v>898488</v>
      </c>
      <c r="D115" s="1346">
        <f>879900+18588</f>
        <v>898488</v>
      </c>
      <c r="E115" s="1338"/>
    </row>
    <row r="116" spans="1:5" s="1339" customFormat="1" ht="18" customHeight="1">
      <c r="A116" s="1340">
        <v>92195</v>
      </c>
      <c r="B116" s="1341" t="s">
        <v>389</v>
      </c>
      <c r="C116" s="1342">
        <f>D116</f>
        <v>446000</v>
      </c>
      <c r="D116" s="1343">
        <f>D117</f>
        <v>446000</v>
      </c>
      <c r="E116" s="1344"/>
    </row>
    <row r="117" spans="1:5" s="1339" customFormat="1" ht="24.75" customHeight="1" thickBot="1">
      <c r="A117" s="1334">
        <v>2480</v>
      </c>
      <c r="B117" s="1345" t="s">
        <v>665</v>
      </c>
      <c r="C117" s="1336">
        <f>D117</f>
        <v>446000</v>
      </c>
      <c r="D117" s="1346">
        <f>500000-40000-14000</f>
        <v>446000</v>
      </c>
      <c r="E117" s="1338"/>
    </row>
    <row r="118" spans="1:5" s="1174" customFormat="1" ht="21.75" customHeight="1" thickBot="1" thickTop="1">
      <c r="A118" s="1169">
        <v>926</v>
      </c>
      <c r="B118" s="1204" t="s">
        <v>289</v>
      </c>
      <c r="C118" s="1205">
        <f>D118+E118</f>
        <v>4318000</v>
      </c>
      <c r="D118" s="1228">
        <f>D119+D121</f>
        <v>4318000</v>
      </c>
      <c r="E118" s="1229"/>
    </row>
    <row r="119" spans="1:5" s="1174" customFormat="1" ht="17.25" customHeight="1" thickTop="1">
      <c r="A119" s="1347">
        <v>92605</v>
      </c>
      <c r="B119" s="1348" t="s">
        <v>516</v>
      </c>
      <c r="C119" s="1312">
        <f>C120</f>
        <v>3768000</v>
      </c>
      <c r="D119" s="1349">
        <f>D120</f>
        <v>3768000</v>
      </c>
      <c r="E119" s="1350"/>
    </row>
    <row r="120" spans="1:5" s="1185" customFormat="1" ht="26.25" customHeight="1">
      <c r="A120" s="1236">
        <v>2820</v>
      </c>
      <c r="B120" s="1254" t="s">
        <v>658</v>
      </c>
      <c r="C120" s="1193">
        <f>SUM(D120:E120)</f>
        <v>3768000</v>
      </c>
      <c r="D120" s="1351">
        <f>3400000+115000+8000+245000</f>
        <v>3768000</v>
      </c>
      <c r="E120" s="1305"/>
    </row>
    <row r="121" spans="1:5" s="1185" customFormat="1" ht="16.5" customHeight="1">
      <c r="A121" s="1912">
        <v>92695</v>
      </c>
      <c r="B121" s="1913" t="s">
        <v>389</v>
      </c>
      <c r="C121" s="1914">
        <f>D121</f>
        <v>550000</v>
      </c>
      <c r="D121" s="1915">
        <f>SUM(D122:D123)</f>
        <v>550000</v>
      </c>
      <c r="E121" s="1916"/>
    </row>
    <row r="122" spans="1:5" s="1185" customFormat="1" ht="26.25" customHeight="1">
      <c r="A122" s="2027">
        <v>2820</v>
      </c>
      <c r="B122" s="1254" t="s">
        <v>658</v>
      </c>
      <c r="C122" s="1255">
        <f>D122</f>
        <v>485000</v>
      </c>
      <c r="D122" s="2028">
        <f>550000-65000</f>
        <v>485000</v>
      </c>
      <c r="E122" s="2029"/>
    </row>
    <row r="123" spans="1:5" s="1185" customFormat="1" ht="37.5" customHeight="1" thickBot="1">
      <c r="A123" s="1917">
        <v>6230</v>
      </c>
      <c r="B123" s="2030" t="s">
        <v>777</v>
      </c>
      <c r="C123" s="1262">
        <f>D123</f>
        <v>65000</v>
      </c>
      <c r="D123" s="1892">
        <v>65000</v>
      </c>
      <c r="E123" s="1893"/>
    </row>
    <row r="124" spans="1:5" s="1174" customFormat="1" ht="18" customHeight="1" thickTop="1">
      <c r="A124" s="1352"/>
      <c r="B124" s="1353" t="s">
        <v>241</v>
      </c>
      <c r="C124" s="1354">
        <f>C14+C22+C28+C33+C56+C66+C78+C99+C118+C89+C18+C11+C94+C53</f>
        <v>63399856</v>
      </c>
      <c r="D124" s="1355">
        <f>D14+D22+D28+D33+D56+D66+D78+D99+D118+D89+D18+D11+D53+D94</f>
        <v>41575116</v>
      </c>
      <c r="E124" s="1356">
        <f>E14+E22+E28+E33+E56+E66+E78+E99+E118+E89</f>
        <v>21824740</v>
      </c>
    </row>
    <row r="125" spans="1:5" ht="9.75" customHeight="1">
      <c r="A125" s="1357"/>
      <c r="B125" s="1358" t="s">
        <v>668</v>
      </c>
      <c r="C125" s="1359"/>
      <c r="D125" s="1360"/>
      <c r="E125" s="1361"/>
    </row>
    <row r="126" spans="1:5" ht="14.25" customHeight="1">
      <c r="A126" s="1357"/>
      <c r="B126" s="1358" t="s">
        <v>669</v>
      </c>
      <c r="C126" s="1362">
        <f>SUM(D126:E126)</f>
        <v>60480856</v>
      </c>
      <c r="D126" s="1363">
        <f>D124-D127</f>
        <v>39341116</v>
      </c>
      <c r="E126" s="1364">
        <f>E124-E127</f>
        <v>21139740</v>
      </c>
    </row>
    <row r="127" spans="1:5" ht="16.5" thickBot="1">
      <c r="A127" s="1365"/>
      <c r="B127" s="1366" t="s">
        <v>670</v>
      </c>
      <c r="C127" s="1367">
        <f>SUM(D127:E127)</f>
        <v>2919000</v>
      </c>
      <c r="D127" s="1368">
        <f>D41+D81+D113+D98+D123+D65+D21</f>
        <v>2234000</v>
      </c>
      <c r="E127" s="1369">
        <f>E41+E81+E113+E30+E104</f>
        <v>685000</v>
      </c>
    </row>
    <row r="128" spans="1:5" ht="16.5" thickTop="1">
      <c r="A128" s="87" t="s">
        <v>542</v>
      </c>
      <c r="B128" s="1370"/>
      <c r="C128" s="1371"/>
      <c r="D128" s="1371"/>
      <c r="E128" s="1371"/>
    </row>
    <row r="129" spans="1:5" ht="15.75">
      <c r="A129" s="87" t="s">
        <v>296</v>
      </c>
      <c r="B129" s="1372"/>
      <c r="C129" s="1371"/>
      <c r="D129" s="1371"/>
      <c r="E129" s="1371"/>
    </row>
    <row r="130" spans="1:5" ht="15.75">
      <c r="A130" s="87" t="s">
        <v>811</v>
      </c>
      <c r="B130" s="1372"/>
      <c r="C130" s="1371"/>
      <c r="D130" s="1371"/>
      <c r="E130" s="1371"/>
    </row>
    <row r="131" spans="2:5" ht="15.75">
      <c r="B131" s="1372"/>
      <c r="C131" s="1371"/>
      <c r="D131" s="1371"/>
      <c r="E131" s="1371"/>
    </row>
    <row r="132" spans="2:5" ht="15.75">
      <c r="B132" s="1372"/>
      <c r="C132" s="1371"/>
      <c r="D132" s="1371"/>
      <c r="E132" s="1371"/>
    </row>
    <row r="133" spans="2:5" ht="15.75">
      <c r="B133" s="1372"/>
      <c r="C133" s="1371"/>
      <c r="D133" s="1371"/>
      <c r="E133" s="1371"/>
    </row>
    <row r="134" spans="2:5" ht="15.75">
      <c r="B134" s="1372"/>
      <c r="C134" s="1371"/>
      <c r="D134" s="1371"/>
      <c r="E134" s="1371"/>
    </row>
    <row r="135" spans="2:5" ht="15.75">
      <c r="B135" s="1372"/>
      <c r="C135" s="1371"/>
      <c r="D135" s="1371"/>
      <c r="E135" s="1371"/>
    </row>
    <row r="136" spans="2:5" ht="15.75">
      <c r="B136" s="1372"/>
      <c r="C136" s="1371"/>
      <c r="D136" s="1371"/>
      <c r="E136" s="1371"/>
    </row>
    <row r="137" spans="2:5" ht="15.75">
      <c r="B137" s="1372"/>
      <c r="C137" s="1371"/>
      <c r="D137" s="1371"/>
      <c r="E137" s="1371"/>
    </row>
    <row r="138" spans="2:5" ht="15.75">
      <c r="B138" s="1372"/>
      <c r="C138" s="1371"/>
      <c r="D138" s="1371"/>
      <c r="E138" s="1371"/>
    </row>
    <row r="139" spans="2:5" ht="15.75">
      <c r="B139" s="1372"/>
      <c r="C139" s="1371"/>
      <c r="D139" s="1371"/>
      <c r="E139" s="1371"/>
    </row>
    <row r="140" spans="2:5" ht="15.75">
      <c r="B140" s="1372"/>
      <c r="C140" s="1371"/>
      <c r="D140" s="1371"/>
      <c r="E140" s="1371"/>
    </row>
    <row r="141" spans="2:5" ht="15.75">
      <c r="B141" s="1372"/>
      <c r="C141" s="1371"/>
      <c r="D141" s="1371"/>
      <c r="E141" s="1371"/>
    </row>
    <row r="142" spans="2:5" ht="15.75">
      <c r="B142" s="1372"/>
      <c r="C142" s="1371"/>
      <c r="D142" s="1371"/>
      <c r="E142" s="1371"/>
    </row>
    <row r="143" spans="2:5" ht="15.75">
      <c r="B143" s="1372"/>
      <c r="C143" s="1371"/>
      <c r="D143" s="1371"/>
      <c r="E143" s="1371"/>
    </row>
    <row r="144" spans="2:5" ht="15.75">
      <c r="B144" s="1372"/>
      <c r="C144" s="1371"/>
      <c r="D144" s="1371"/>
      <c r="E144" s="1371"/>
    </row>
    <row r="145" spans="2:5" ht="15.75">
      <c r="B145" s="1372"/>
      <c r="C145" s="1371"/>
      <c r="D145" s="1371"/>
      <c r="E145" s="1371"/>
    </row>
    <row r="146" spans="2:5" ht="15.75">
      <c r="B146" s="1372"/>
      <c r="C146" s="1371"/>
      <c r="D146" s="1371"/>
      <c r="E146" s="1371"/>
    </row>
    <row r="147" spans="2:5" ht="15.75">
      <c r="B147" s="1372"/>
      <c r="C147" s="1371"/>
      <c r="D147" s="1371"/>
      <c r="E147" s="1371"/>
    </row>
    <row r="148" spans="2:5" ht="15.75">
      <c r="B148" s="1372"/>
      <c r="C148" s="1371"/>
      <c r="D148" s="1371"/>
      <c r="E148" s="1371"/>
    </row>
    <row r="149" spans="2:5" ht="15.75">
      <c r="B149" s="1372"/>
      <c r="C149" s="1371"/>
      <c r="D149" s="1371"/>
      <c r="E149" s="1371"/>
    </row>
    <row r="150" spans="2:5" ht="15.75">
      <c r="B150" s="1372"/>
      <c r="C150" s="1371"/>
      <c r="D150" s="1371"/>
      <c r="E150" s="1371"/>
    </row>
    <row r="151" spans="2:5" ht="15.75">
      <c r="B151" s="1372"/>
      <c r="C151" s="1371"/>
      <c r="D151" s="1371"/>
      <c r="E151" s="1371"/>
    </row>
  </sheetData>
  <printOptions horizontalCentered="1"/>
  <pageMargins left="0.7874015748031497" right="0.7874015748031497" top="0.59" bottom="0.65" header="0.5118110236220472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11.7539062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785"/>
      <c r="B1" s="785"/>
      <c r="C1" s="785"/>
      <c r="D1" s="785"/>
      <c r="F1" s="94" t="s">
        <v>671</v>
      </c>
      <c r="G1" s="92"/>
      <c r="H1" s="88"/>
      <c r="I1" s="95"/>
      <c r="J1" s="91"/>
    </row>
    <row r="2" spans="1:10" ht="13.5" customHeight="1">
      <c r="A2" s="785"/>
      <c r="B2" s="785"/>
      <c r="C2" s="785"/>
      <c r="D2" s="785"/>
      <c r="F2" s="249" t="s">
        <v>20</v>
      </c>
      <c r="G2" s="92"/>
      <c r="H2" s="4"/>
      <c r="I2" s="95"/>
      <c r="J2" s="91"/>
    </row>
    <row r="3" spans="1:10" ht="15" customHeight="1">
      <c r="A3" s="785"/>
      <c r="B3" s="785"/>
      <c r="C3" s="785"/>
      <c r="D3" s="785"/>
      <c r="F3" s="4" t="s">
        <v>21</v>
      </c>
      <c r="G3" s="98"/>
      <c r="H3" s="4"/>
      <c r="I3" s="99"/>
      <c r="J3" s="100"/>
    </row>
    <row r="4" spans="1:10" ht="15" customHeight="1">
      <c r="A4" s="785"/>
      <c r="B4" s="785"/>
      <c r="C4" s="785"/>
      <c r="D4" s="785"/>
      <c r="F4" s="102"/>
      <c r="G4" s="98"/>
      <c r="H4" s="4"/>
      <c r="I4" s="99"/>
      <c r="J4" s="100"/>
    </row>
    <row r="5" spans="1:10" ht="16.5" customHeight="1">
      <c r="A5" s="785"/>
      <c r="B5" s="785"/>
      <c r="C5" s="785"/>
      <c r="D5" s="785"/>
      <c r="E5" s="4"/>
      <c r="F5" s="98"/>
      <c r="G5" s="98"/>
      <c r="H5" s="4"/>
      <c r="I5" s="99"/>
      <c r="J5" s="100"/>
    </row>
    <row r="6" spans="1:8" ht="57" customHeight="1">
      <c r="A6" s="2596" t="s">
        <v>672</v>
      </c>
      <c r="B6" s="2596"/>
      <c r="C6" s="2596"/>
      <c r="D6" s="2596"/>
      <c r="E6" s="2596"/>
      <c r="F6" s="2596"/>
      <c r="G6" s="2596"/>
      <c r="H6" s="1373"/>
    </row>
    <row r="7" spans="1:8" ht="6" customHeight="1">
      <c r="A7" s="1374"/>
      <c r="B7" s="1374"/>
      <c r="C7" s="1374"/>
      <c r="D7" s="1374"/>
      <c r="E7" s="1374"/>
      <c r="F7" s="1374"/>
      <c r="G7" s="1374"/>
      <c r="H7" s="1373"/>
    </row>
    <row r="8" spans="1:7" ht="21.75" customHeight="1" thickBot="1">
      <c r="A8" s="257" t="s">
        <v>810</v>
      </c>
      <c r="B8" s="1375"/>
      <c r="C8" s="1375"/>
      <c r="D8" s="1375"/>
      <c r="E8" s="1375"/>
      <c r="F8" s="1375"/>
      <c r="G8" s="781" t="s">
        <v>236</v>
      </c>
    </row>
    <row r="9" spans="1:12" ht="27.75" customHeight="1" thickBot="1" thickTop="1">
      <c r="A9" s="2597" t="s">
        <v>673</v>
      </c>
      <c r="B9" s="2599" t="s">
        <v>238</v>
      </c>
      <c r="C9" s="2601" t="s">
        <v>674</v>
      </c>
      <c r="D9" s="2603" t="s">
        <v>675</v>
      </c>
      <c r="E9" s="2604"/>
      <c r="F9" s="2604"/>
      <c r="G9" s="2605"/>
      <c r="L9" s="1376"/>
    </row>
    <row r="10" spans="1:7" ht="41.25" customHeight="1" thickBot="1" thickTop="1">
      <c r="A10" s="2598"/>
      <c r="B10" s="2600"/>
      <c r="C10" s="2602"/>
      <c r="D10" s="1377" t="s">
        <v>46</v>
      </c>
      <c r="E10" s="1377" t="s">
        <v>676</v>
      </c>
      <c r="F10" s="1378" t="s">
        <v>240</v>
      </c>
      <c r="G10" s="1379" t="s">
        <v>677</v>
      </c>
    </row>
    <row r="11" spans="1:12" ht="12.75" customHeight="1" thickTop="1">
      <c r="A11" s="1380">
        <v>1</v>
      </c>
      <c r="B11" s="1381">
        <v>2</v>
      </c>
      <c r="C11" s="1382">
        <v>3</v>
      </c>
      <c r="D11" s="1380">
        <v>4</v>
      </c>
      <c r="E11" s="1383">
        <v>5</v>
      </c>
      <c r="F11" s="1383">
        <v>6</v>
      </c>
      <c r="G11" s="1384">
        <v>7</v>
      </c>
      <c r="H11" s="1385"/>
      <c r="L11" s="1376"/>
    </row>
    <row r="12" spans="1:9" ht="35.25" customHeight="1">
      <c r="A12" s="2031">
        <v>1</v>
      </c>
      <c r="B12" s="1386" t="s">
        <v>678</v>
      </c>
      <c r="C12" s="927">
        <v>-300000</v>
      </c>
      <c r="D12" s="926">
        <f>28657000+1043000</f>
        <v>29700000</v>
      </c>
      <c r="E12" s="1387">
        <f>6700000+400000+36000</f>
        <v>7136000</v>
      </c>
      <c r="F12" s="1388">
        <v>36836000</v>
      </c>
      <c r="G12" s="927">
        <f>C12+D12+E12-F12</f>
        <v>-300000</v>
      </c>
      <c r="H12" s="1389"/>
      <c r="I12" s="1376"/>
    </row>
    <row r="13" spans="1:13" ht="31.5" customHeight="1">
      <c r="A13" s="1490">
        <v>2</v>
      </c>
      <c r="B13" s="1390" t="s">
        <v>679</v>
      </c>
      <c r="C13" s="1391">
        <v>-34429</v>
      </c>
      <c r="D13" s="1392">
        <v>794600</v>
      </c>
      <c r="E13" s="1393">
        <f>3050000+166000+26500+24500</f>
        <v>3267000</v>
      </c>
      <c r="F13" s="1388">
        <f>4039671+166000</f>
        <v>4205671</v>
      </c>
      <c r="G13" s="1391">
        <f>C13+D13+E13-F13</f>
        <v>-178500</v>
      </c>
      <c r="I13" s="1376"/>
      <c r="L13" s="1394"/>
      <c r="M13" s="1394"/>
    </row>
    <row r="14" spans="1:13" ht="32.25" customHeight="1">
      <c r="A14" s="1490">
        <v>3</v>
      </c>
      <c r="B14" s="1390" t="s">
        <v>680</v>
      </c>
      <c r="C14" s="1391">
        <v>-542100</v>
      </c>
      <c r="D14" s="1392">
        <v>5045900</v>
      </c>
      <c r="E14" s="1393">
        <f>13050000+66300+1610000-1250000+7000+850000</f>
        <v>14333300</v>
      </c>
      <c r="F14" s="1388">
        <v>19965530</v>
      </c>
      <c r="G14" s="1391">
        <f>C14+D14+E14-F14</f>
        <v>-1128430</v>
      </c>
      <c r="I14" s="1394"/>
      <c r="J14" s="1394"/>
      <c r="K14" s="1394"/>
      <c r="L14" s="1376"/>
      <c r="M14" s="1395"/>
    </row>
    <row r="15" spans="1:13" ht="49.5" customHeight="1" thickBot="1">
      <c r="A15" s="2032">
        <v>4</v>
      </c>
      <c r="B15" s="1396" t="s">
        <v>681</v>
      </c>
      <c r="C15" s="1397">
        <v>124180</v>
      </c>
      <c r="D15" s="1398">
        <v>181100</v>
      </c>
      <c r="E15" s="1399">
        <v>0</v>
      </c>
      <c r="F15" s="1400">
        <f>D15+E15</f>
        <v>181100</v>
      </c>
      <c r="G15" s="1397">
        <f>C15+D15+E15-F15</f>
        <v>124180</v>
      </c>
      <c r="M15" s="1376"/>
    </row>
    <row r="16" spans="1:7" ht="33.75" customHeight="1" thickBot="1" thickTop="1">
      <c r="A16" s="1401"/>
      <c r="B16" s="1402" t="s">
        <v>682</v>
      </c>
      <c r="C16" s="868">
        <f>SUM(C12:C15)</f>
        <v>-752349</v>
      </c>
      <c r="D16" s="1403">
        <f>SUM(D12:D15)</f>
        <v>35721600</v>
      </c>
      <c r="E16" s="1403">
        <f>SUM(E12:E15)</f>
        <v>24736300</v>
      </c>
      <c r="F16" s="1403">
        <f>SUM(F12:F15)</f>
        <v>61188301</v>
      </c>
      <c r="G16" s="1404">
        <f>SUM(G12:G15)</f>
        <v>-1482750</v>
      </c>
    </row>
    <row r="17" spans="1:13" ht="15.75" customHeight="1" thickTop="1">
      <c r="A17" s="87" t="s">
        <v>542</v>
      </c>
      <c r="I17" s="1376"/>
      <c r="J17" s="1376"/>
      <c r="K17" s="1376"/>
      <c r="L17" s="1376"/>
      <c r="M17" s="1376"/>
    </row>
    <row r="18" ht="15.75" customHeight="1">
      <c r="A18" s="87" t="s">
        <v>296</v>
      </c>
    </row>
    <row r="19" spans="1:13" ht="15.75" customHeight="1">
      <c r="A19" s="87" t="s">
        <v>811</v>
      </c>
      <c r="K19" s="1376"/>
      <c r="L19" s="1376"/>
      <c r="M19" s="1376"/>
    </row>
    <row r="21" ht="15.75" customHeight="1">
      <c r="L21" s="1376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7">
      <selection activeCell="A54" sqref="A54"/>
    </sheetView>
  </sheetViews>
  <sheetFormatPr defaultColWidth="9.00390625" defaultRowHeight="12.75"/>
  <cols>
    <col min="1" max="1" width="7.25390625" style="1405" customWidth="1"/>
    <col min="2" max="2" width="51.25390625" style="1405" customWidth="1"/>
    <col min="3" max="3" width="14.625" style="1406" customWidth="1"/>
    <col min="4" max="4" width="15.375" style="1406" customWidth="1"/>
    <col min="5" max="6" width="13.875" style="1406" customWidth="1"/>
    <col min="7" max="7" width="12.75390625" style="1406" customWidth="1"/>
    <col min="8" max="8" width="11.00390625" style="1406" customWidth="1"/>
    <col min="9" max="9" width="9.875" style="1405" customWidth="1"/>
    <col min="10" max="16384" width="9.125" style="1405" customWidth="1"/>
  </cols>
  <sheetData>
    <row r="1" spans="3:5" ht="12.75" customHeight="1">
      <c r="C1" s="785" t="s">
        <v>683</v>
      </c>
      <c r="E1"/>
    </row>
    <row r="2" spans="3:5" ht="12.75" customHeight="1">
      <c r="C2" s="6" t="s">
        <v>684</v>
      </c>
      <c r="E2"/>
    </row>
    <row r="3" spans="3:5" ht="12" customHeight="1">
      <c r="C3" s="4" t="s">
        <v>47</v>
      </c>
      <c r="E3"/>
    </row>
    <row r="4" spans="3:5" ht="12.75" customHeight="1" hidden="1">
      <c r="C4" s="6"/>
      <c r="E4"/>
    </row>
    <row r="5" spans="3:5" ht="11.25" customHeight="1" hidden="1">
      <c r="C5" s="785"/>
      <c r="D5"/>
      <c r="E5"/>
    </row>
    <row r="6" spans="3:5" ht="11.25" customHeight="1">
      <c r="C6" s="785"/>
      <c r="D6"/>
      <c r="E6"/>
    </row>
    <row r="7" spans="1:7" s="1409" customFormat="1" ht="18" customHeight="1">
      <c r="A7" s="1407" t="s">
        <v>685</v>
      </c>
      <c r="B7" s="1407"/>
      <c r="C7" s="1408"/>
      <c r="D7" s="1408"/>
      <c r="E7" s="1408"/>
      <c r="F7" s="1408"/>
      <c r="G7" s="1408"/>
    </row>
    <row r="8" spans="1:8" s="1409" customFormat="1" ht="18" customHeight="1">
      <c r="A8" s="1407" t="s">
        <v>686</v>
      </c>
      <c r="B8" s="1407"/>
      <c r="C8" s="1408"/>
      <c r="D8" s="1408"/>
      <c r="E8" s="1408"/>
      <c r="F8" s="1408"/>
      <c r="G8" s="1408"/>
      <c r="H8" s="1408"/>
    </row>
    <row r="9" spans="1:8" s="1409" customFormat="1" ht="18" customHeight="1">
      <c r="A9" s="1407" t="s">
        <v>687</v>
      </c>
      <c r="B9" s="1407"/>
      <c r="C9" s="1408"/>
      <c r="D9" s="1408"/>
      <c r="E9" s="1408"/>
      <c r="F9" s="1408"/>
      <c r="G9" s="1408"/>
      <c r="H9" s="1408"/>
    </row>
    <row r="10" spans="1:8" s="1409" customFormat="1" ht="18" customHeight="1">
      <c r="A10" s="1407" t="s">
        <v>688</v>
      </c>
      <c r="B10" s="1407"/>
      <c r="C10" s="1408"/>
      <c r="D10" s="1408"/>
      <c r="E10" s="1408"/>
      <c r="F10" s="1408"/>
      <c r="G10" s="1408"/>
      <c r="H10" s="1408"/>
    </row>
    <row r="11" spans="1:4" ht="13.5" customHeight="1" thickBot="1">
      <c r="A11" s="1405" t="s">
        <v>810</v>
      </c>
      <c r="B11" s="1410"/>
      <c r="D11" s="1411" t="s">
        <v>236</v>
      </c>
    </row>
    <row r="12" spans="1:8" ht="15.75" customHeight="1" thickTop="1">
      <c r="A12" s="1412" t="s">
        <v>237</v>
      </c>
      <c r="B12" s="2606" t="s">
        <v>572</v>
      </c>
      <c r="C12" s="2608" t="s">
        <v>689</v>
      </c>
      <c r="D12" s="2610" t="s">
        <v>690</v>
      </c>
      <c r="E12" s="1413"/>
      <c r="F12" s="1405"/>
      <c r="G12" s="1405"/>
      <c r="H12" s="1405"/>
    </row>
    <row r="13" spans="1:8" ht="22.5" customHeight="1">
      <c r="A13" s="1414" t="s">
        <v>691</v>
      </c>
      <c r="B13" s="2607"/>
      <c r="C13" s="2609"/>
      <c r="D13" s="2611"/>
      <c r="E13" s="1405"/>
      <c r="F13" s="1405"/>
      <c r="G13" s="1405"/>
      <c r="H13" s="1405"/>
    </row>
    <row r="14" spans="1:4" s="72" customFormat="1" ht="9.75" customHeight="1" thickBot="1">
      <c r="A14" s="1415">
        <v>1</v>
      </c>
      <c r="B14" s="1416">
        <v>2</v>
      </c>
      <c r="C14" s="1417">
        <v>3</v>
      </c>
      <c r="D14" s="1418">
        <v>4</v>
      </c>
    </row>
    <row r="15" spans="1:4" s="1423" customFormat="1" ht="22.5" customHeight="1" thickBot="1" thickTop="1">
      <c r="A15" s="1419">
        <v>750</v>
      </c>
      <c r="B15" s="1420" t="s">
        <v>692</v>
      </c>
      <c r="C15" s="1421"/>
      <c r="D15" s="1422">
        <f>D16+D22</f>
        <v>66300</v>
      </c>
    </row>
    <row r="16" spans="1:4" s="1428" customFormat="1" ht="18" customHeight="1" thickTop="1">
      <c r="A16" s="1424">
        <v>75023</v>
      </c>
      <c r="B16" s="1425" t="s">
        <v>693</v>
      </c>
      <c r="C16" s="1426"/>
      <c r="D16" s="1427">
        <f>D17</f>
        <v>66300</v>
      </c>
    </row>
    <row r="17" spans="1:4" s="1433" customFormat="1" ht="15" customHeight="1">
      <c r="A17" s="1429"/>
      <c r="B17" s="1430" t="s">
        <v>694</v>
      </c>
      <c r="C17" s="1431"/>
      <c r="D17" s="1432">
        <f>SUM(D18:D21)</f>
        <v>66300</v>
      </c>
    </row>
    <row r="18" spans="1:4" s="68" customFormat="1" ht="15.75" customHeight="1">
      <c r="A18" s="1434">
        <v>4010</v>
      </c>
      <c r="B18" s="1435" t="s">
        <v>695</v>
      </c>
      <c r="C18" s="1436"/>
      <c r="D18" s="1437">
        <v>52500</v>
      </c>
    </row>
    <row r="19" spans="1:4" s="68" customFormat="1" ht="15.75" customHeight="1">
      <c r="A19" s="1434" t="s">
        <v>696</v>
      </c>
      <c r="B19" s="1435" t="s">
        <v>697</v>
      </c>
      <c r="C19" s="1436"/>
      <c r="D19" s="1437">
        <v>4000</v>
      </c>
    </row>
    <row r="20" spans="1:4" s="68" customFormat="1" ht="15.75" customHeight="1">
      <c r="A20" s="1434" t="s">
        <v>698</v>
      </c>
      <c r="B20" s="1435" t="s">
        <v>699</v>
      </c>
      <c r="C20" s="1436"/>
      <c r="D20" s="1437">
        <v>8500</v>
      </c>
    </row>
    <row r="21" spans="1:4" s="68" customFormat="1" ht="15.75" customHeight="1" thickBot="1">
      <c r="A21" s="1434" t="s">
        <v>700</v>
      </c>
      <c r="B21" s="1435" t="s">
        <v>701</v>
      </c>
      <c r="C21" s="1436"/>
      <c r="D21" s="1437">
        <v>1300</v>
      </c>
    </row>
    <row r="22" spans="1:4" s="1441" customFormat="1" ht="48" customHeight="1" thickBot="1" thickTop="1">
      <c r="A22" s="1419">
        <v>756</v>
      </c>
      <c r="B22" s="1438" t="s">
        <v>702</v>
      </c>
      <c r="C22" s="1439">
        <f>C24+C39</f>
        <v>2000000</v>
      </c>
      <c r="D22" s="1440"/>
    </row>
    <row r="23" spans="1:4" s="1446" customFormat="1" ht="28.5" customHeight="1" thickTop="1">
      <c r="A23" s="1442">
        <v>75618</v>
      </c>
      <c r="B23" s="1443" t="s">
        <v>703</v>
      </c>
      <c r="C23" s="1444">
        <f>C24</f>
        <v>2000000</v>
      </c>
      <c r="D23" s="1445"/>
    </row>
    <row r="24" spans="1:4" s="68" customFormat="1" ht="16.5" customHeight="1" thickBot="1">
      <c r="A24" s="1434" t="s">
        <v>704</v>
      </c>
      <c r="B24" s="1435" t="s">
        <v>705</v>
      </c>
      <c r="C24" s="1447">
        <v>2000000</v>
      </c>
      <c r="D24" s="1448"/>
    </row>
    <row r="25" spans="1:4" s="1423" customFormat="1" ht="21" customHeight="1" thickBot="1" thickTop="1">
      <c r="A25" s="1419">
        <v>851</v>
      </c>
      <c r="B25" s="1420" t="s">
        <v>706</v>
      </c>
      <c r="C25" s="1421"/>
      <c r="D25" s="1422">
        <f>D26+D31</f>
        <v>2859731</v>
      </c>
    </row>
    <row r="26" spans="1:4" s="1428" customFormat="1" ht="18" customHeight="1" thickTop="1">
      <c r="A26" s="1449">
        <v>85153</v>
      </c>
      <c r="B26" s="1425" t="s">
        <v>469</v>
      </c>
      <c r="C26" s="1426"/>
      <c r="D26" s="1427">
        <f>SUM(D27:D30)</f>
        <v>150000</v>
      </c>
    </row>
    <row r="27" spans="1:4" s="1453" customFormat="1" ht="27.75" customHeight="1">
      <c r="A27" s="1450">
        <v>2820</v>
      </c>
      <c r="B27" s="1451" t="s">
        <v>707</v>
      </c>
      <c r="C27" s="1452"/>
      <c r="D27" s="1437">
        <v>100000</v>
      </c>
    </row>
    <row r="28" spans="1:4" s="1453" customFormat="1" ht="14.25" customHeight="1">
      <c r="A28" s="1454">
        <v>3000</v>
      </c>
      <c r="B28" s="1435" t="s">
        <v>708</v>
      </c>
      <c r="C28" s="1452"/>
      <c r="D28" s="1437">
        <v>15000</v>
      </c>
    </row>
    <row r="29" spans="1:4" s="68" customFormat="1" ht="13.5" customHeight="1">
      <c r="A29" s="1454">
        <v>4210</v>
      </c>
      <c r="B29" s="1435" t="s">
        <v>709</v>
      </c>
      <c r="C29" s="1436"/>
      <c r="D29" s="1437">
        <v>5000</v>
      </c>
    </row>
    <row r="30" spans="1:4" s="68" customFormat="1" ht="13.5" customHeight="1">
      <c r="A30" s="1454">
        <v>4300</v>
      </c>
      <c r="B30" s="1435" t="s">
        <v>710</v>
      </c>
      <c r="C30" s="1436"/>
      <c r="D30" s="1437">
        <v>30000</v>
      </c>
    </row>
    <row r="31" spans="1:4" s="1428" customFormat="1" ht="18" customHeight="1">
      <c r="A31" s="1449">
        <v>85154</v>
      </c>
      <c r="B31" s="1455" t="s">
        <v>470</v>
      </c>
      <c r="C31" s="1456"/>
      <c r="D31" s="1457">
        <f>SUM(D32:D50)</f>
        <v>2709731</v>
      </c>
    </row>
    <row r="32" spans="1:4" s="1453" customFormat="1" ht="21" customHeight="1" hidden="1">
      <c r="A32" s="1450">
        <v>2480</v>
      </c>
      <c r="B32" s="832" t="s">
        <v>711</v>
      </c>
      <c r="C32" s="1452"/>
      <c r="D32" s="1437"/>
    </row>
    <row r="33" spans="1:4" s="1453" customFormat="1" ht="27" customHeight="1">
      <c r="A33" s="1454">
        <v>2820</v>
      </c>
      <c r="B33" s="1435" t="s">
        <v>707</v>
      </c>
      <c r="C33" s="1436"/>
      <c r="D33" s="1437">
        <v>800000</v>
      </c>
    </row>
    <row r="34" spans="1:4" s="68" customFormat="1" ht="14.25" customHeight="1" hidden="1">
      <c r="A34" s="1454">
        <v>3030</v>
      </c>
      <c r="B34" s="1435" t="s">
        <v>712</v>
      </c>
      <c r="C34" s="1436"/>
      <c r="D34" s="1437"/>
    </row>
    <row r="35" spans="1:4" s="68" customFormat="1" ht="14.25" customHeight="1">
      <c r="A35" s="1454">
        <v>3000</v>
      </c>
      <c r="B35" s="1881" t="s">
        <v>708</v>
      </c>
      <c r="C35" s="1436"/>
      <c r="D35" s="1437">
        <v>53600</v>
      </c>
    </row>
    <row r="36" spans="1:4" s="68" customFormat="1" ht="15" customHeight="1">
      <c r="A36" s="1458">
        <v>4170</v>
      </c>
      <c r="B36" s="1459" t="s">
        <v>713</v>
      </c>
      <c r="C36" s="1436"/>
      <c r="D36" s="1437">
        <v>60000</v>
      </c>
    </row>
    <row r="37" spans="1:4" s="68" customFormat="1" ht="15" customHeight="1">
      <c r="A37" s="1458">
        <v>4210</v>
      </c>
      <c r="B37" s="1459" t="s">
        <v>709</v>
      </c>
      <c r="C37" s="1436"/>
      <c r="D37" s="1437">
        <v>102000</v>
      </c>
    </row>
    <row r="38" spans="1:4" s="68" customFormat="1" ht="15" customHeight="1">
      <c r="A38" s="1458">
        <v>4220</v>
      </c>
      <c r="B38" s="1459" t="s">
        <v>759</v>
      </c>
      <c r="C38" s="1436"/>
      <c r="D38" s="1437">
        <v>22000</v>
      </c>
    </row>
    <row r="39" spans="1:4" s="1453" customFormat="1" ht="15" customHeight="1">
      <c r="A39" s="1454">
        <v>4240</v>
      </c>
      <c r="B39" s="1435" t="s">
        <v>714</v>
      </c>
      <c r="C39" s="1436"/>
      <c r="D39" s="1437">
        <v>12000</v>
      </c>
    </row>
    <row r="40" spans="1:4" s="1453" customFormat="1" ht="15" customHeight="1">
      <c r="A40" s="1454">
        <v>4270</v>
      </c>
      <c r="B40" s="1435" t="s">
        <v>715</v>
      </c>
      <c r="C40" s="1436"/>
      <c r="D40" s="1437">
        <v>525500</v>
      </c>
    </row>
    <row r="41" spans="1:4" s="68" customFormat="1" ht="15" customHeight="1">
      <c r="A41" s="1454">
        <v>4300</v>
      </c>
      <c r="B41" s="1435" t="s">
        <v>710</v>
      </c>
      <c r="C41" s="1436"/>
      <c r="D41" s="1437">
        <v>903131</v>
      </c>
    </row>
    <row r="42" spans="1:4" s="68" customFormat="1" ht="15" customHeight="1">
      <c r="A42" s="1454">
        <v>4390</v>
      </c>
      <c r="B42" s="1435" t="s">
        <v>716</v>
      </c>
      <c r="C42" s="1436"/>
      <c r="D42" s="1437">
        <v>10000</v>
      </c>
    </row>
    <row r="43" spans="1:4" s="68" customFormat="1" ht="15" customHeight="1">
      <c r="A43" s="1454">
        <v>4410</v>
      </c>
      <c r="B43" s="1435" t="s">
        <v>717</v>
      </c>
      <c r="C43" s="1436"/>
      <c r="D43" s="1437">
        <v>2000</v>
      </c>
    </row>
    <row r="44" spans="1:4" s="68" customFormat="1" ht="15" customHeight="1" hidden="1">
      <c r="A44" s="69">
        <v>4430</v>
      </c>
      <c r="B44" s="1435" t="s">
        <v>718</v>
      </c>
      <c r="C44" s="1436"/>
      <c r="D44" s="1437">
        <v>0</v>
      </c>
    </row>
    <row r="45" spans="1:4" s="68" customFormat="1" ht="15" customHeight="1">
      <c r="A45" s="69">
        <v>4610</v>
      </c>
      <c r="B45" s="1435" t="s">
        <v>719</v>
      </c>
      <c r="C45" s="1436"/>
      <c r="D45" s="1437">
        <v>3000</v>
      </c>
    </row>
    <row r="46" spans="1:4" s="68" customFormat="1" ht="25.5">
      <c r="A46" s="69">
        <v>4700</v>
      </c>
      <c r="B46" s="1435" t="s">
        <v>720</v>
      </c>
      <c r="C46" s="1436"/>
      <c r="D46" s="1437">
        <v>3000</v>
      </c>
    </row>
    <row r="47" spans="1:4" s="68" customFormat="1" ht="17.25" customHeight="1" hidden="1">
      <c r="A47" s="69">
        <v>4740</v>
      </c>
      <c r="B47" s="1898" t="s">
        <v>721</v>
      </c>
      <c r="C47" s="1436"/>
      <c r="D47" s="1437"/>
    </row>
    <row r="48" spans="1:4" s="68" customFormat="1" ht="17.25" customHeight="1">
      <c r="A48" s="69">
        <v>4750</v>
      </c>
      <c r="B48" s="1530" t="s">
        <v>760</v>
      </c>
      <c r="C48" s="1436"/>
      <c r="D48" s="1437">
        <v>1000</v>
      </c>
    </row>
    <row r="49" spans="1:4" s="68" customFormat="1" ht="18.75" customHeight="1">
      <c r="A49" s="69">
        <v>6050</v>
      </c>
      <c r="B49" s="832" t="s">
        <v>722</v>
      </c>
      <c r="C49" s="1436"/>
      <c r="D49" s="1437">
        <v>205500</v>
      </c>
    </row>
    <row r="50" spans="1:4" s="68" customFormat="1" ht="18.75" customHeight="1" thickBot="1">
      <c r="A50" s="69">
        <v>6060</v>
      </c>
      <c r="B50" s="1460" t="s">
        <v>556</v>
      </c>
      <c r="C50" s="1436"/>
      <c r="D50" s="1437">
        <v>7000</v>
      </c>
    </row>
    <row r="51" spans="1:4" s="1423" customFormat="1" ht="20.25" customHeight="1" thickBot="1" thickTop="1">
      <c r="A51" s="1461"/>
      <c r="B51" s="1462" t="s">
        <v>723</v>
      </c>
      <c r="C51" s="1439">
        <f>C15+C22+C25</f>
        <v>2000000</v>
      </c>
      <c r="D51" s="1422">
        <f>D15+D22+D25</f>
        <v>2926031</v>
      </c>
    </row>
    <row r="52" spans="1:9" s="68" customFormat="1" ht="13.5" thickTop="1">
      <c r="A52" s="87" t="s">
        <v>724</v>
      </c>
      <c r="B52" s="1463"/>
      <c r="C52" s="1464"/>
      <c r="D52" s="1464"/>
      <c r="E52" s="1464"/>
      <c r="F52" s="1464"/>
      <c r="G52" s="1464"/>
      <c r="H52" s="1464"/>
      <c r="I52" s="1465"/>
    </row>
    <row r="53" spans="1:8" s="68" customFormat="1" ht="12.75">
      <c r="A53" s="87" t="s">
        <v>296</v>
      </c>
      <c r="B53" s="1463"/>
      <c r="C53" s="1464"/>
      <c r="D53" s="1464"/>
      <c r="E53" s="1464"/>
      <c r="F53" s="1464"/>
      <c r="G53" s="1464"/>
      <c r="H53" s="1464"/>
    </row>
    <row r="54" spans="1:8" s="68" customFormat="1" ht="12.75">
      <c r="A54" s="87" t="s">
        <v>811</v>
      </c>
      <c r="B54" s="1463"/>
      <c r="C54" s="1464"/>
      <c r="D54" s="1464"/>
      <c r="E54" s="1464"/>
      <c r="F54" s="1464"/>
      <c r="G54" s="1464"/>
      <c r="H54" s="1464"/>
    </row>
    <row r="55" spans="2:8" s="68" customFormat="1" ht="12.75">
      <c r="B55" s="1463"/>
      <c r="C55" s="1464"/>
      <c r="D55" s="1464"/>
      <c r="E55" s="1464"/>
      <c r="F55" s="1464"/>
      <c r="G55" s="1464"/>
      <c r="H55" s="1464"/>
    </row>
    <row r="56" spans="2:8" s="68" customFormat="1" ht="12.75">
      <c r="B56" s="1463"/>
      <c r="C56" s="1464"/>
      <c r="D56" s="1464"/>
      <c r="E56" s="1464"/>
      <c r="F56" s="1464"/>
      <c r="G56" s="1464"/>
      <c r="H56" s="1464"/>
    </row>
    <row r="57" spans="2:8" s="68" customFormat="1" ht="12.75">
      <c r="B57" s="1463"/>
      <c r="C57" s="1464"/>
      <c r="D57" s="1464"/>
      <c r="E57" s="1464"/>
      <c r="F57" s="1464"/>
      <c r="G57" s="1464"/>
      <c r="H57" s="1464"/>
    </row>
    <row r="58" spans="2:8" s="68" customFormat="1" ht="12.75">
      <c r="B58" s="1463"/>
      <c r="C58" s="1464"/>
      <c r="D58" s="1464"/>
      <c r="E58" s="1464"/>
      <c r="F58" s="1464"/>
      <c r="G58" s="1464"/>
      <c r="H58" s="1464"/>
    </row>
    <row r="59" spans="3:8" s="68" customFormat="1" ht="12.75">
      <c r="C59" s="1464"/>
      <c r="D59" s="1464"/>
      <c r="E59" s="1464"/>
      <c r="F59" s="1464"/>
      <c r="G59" s="1464"/>
      <c r="H59" s="1464"/>
    </row>
    <row r="60" spans="3:8" s="68" customFormat="1" ht="12.75">
      <c r="C60" s="1464"/>
      <c r="D60" s="1464"/>
      <c r="E60" s="1464"/>
      <c r="F60" s="1464"/>
      <c r="G60" s="1464"/>
      <c r="H60" s="1464"/>
    </row>
    <row r="61" spans="3:8" s="68" customFormat="1" ht="12.75">
      <c r="C61" s="1464"/>
      <c r="D61" s="1464"/>
      <c r="E61" s="1464"/>
      <c r="F61" s="1464"/>
      <c r="G61" s="1464"/>
      <c r="H61" s="1464"/>
    </row>
    <row r="62" spans="3:8" s="68" customFormat="1" ht="12.75">
      <c r="C62" s="1464"/>
      <c r="D62" s="1464"/>
      <c r="E62" s="1464"/>
      <c r="F62" s="1464"/>
      <c r="G62" s="1464"/>
      <c r="H62" s="1464"/>
    </row>
    <row r="63" spans="3:8" s="68" customFormat="1" ht="12.75">
      <c r="C63" s="1464"/>
      <c r="D63" s="1464"/>
      <c r="E63" s="1464"/>
      <c r="F63" s="1464"/>
      <c r="G63" s="1464"/>
      <c r="H63" s="1464"/>
    </row>
    <row r="64" spans="3:8" s="68" customFormat="1" ht="12.75">
      <c r="C64" s="1464"/>
      <c r="D64" s="1464"/>
      <c r="E64" s="1464"/>
      <c r="F64" s="1464"/>
      <c r="G64" s="1464"/>
      <c r="H64" s="1464"/>
    </row>
    <row r="65" spans="3:8" s="68" customFormat="1" ht="12.75">
      <c r="C65" s="1464"/>
      <c r="D65" s="1464"/>
      <c r="E65" s="1464"/>
      <c r="F65" s="1464"/>
      <c r="G65" s="1464"/>
      <c r="H65" s="1464"/>
    </row>
    <row r="66" spans="3:8" s="68" customFormat="1" ht="12.75">
      <c r="C66" s="1464"/>
      <c r="D66" s="1464"/>
      <c r="E66" s="1464"/>
      <c r="F66" s="1464"/>
      <c r="G66" s="1464"/>
      <c r="H66" s="1464"/>
    </row>
    <row r="67" spans="3:8" s="68" customFormat="1" ht="12.75">
      <c r="C67" s="1464"/>
      <c r="D67" s="1464"/>
      <c r="E67" s="1464"/>
      <c r="F67" s="1464"/>
      <c r="G67" s="1464"/>
      <c r="H67" s="1464"/>
    </row>
    <row r="68" spans="3:8" s="68" customFormat="1" ht="12.75">
      <c r="C68" s="1464"/>
      <c r="D68" s="1464"/>
      <c r="E68" s="1464"/>
      <c r="F68" s="1464"/>
      <c r="G68" s="1464"/>
      <c r="H68" s="1464"/>
    </row>
    <row r="69" spans="3:8" s="68" customFormat="1" ht="12.75">
      <c r="C69" s="1464"/>
      <c r="D69" s="1464"/>
      <c r="E69" s="1464"/>
      <c r="F69" s="1464"/>
      <c r="G69" s="1464"/>
      <c r="H69" s="1464"/>
    </row>
    <row r="70" spans="3:8" s="68" customFormat="1" ht="12.75">
      <c r="C70" s="1464"/>
      <c r="D70" s="1464"/>
      <c r="E70" s="1464"/>
      <c r="F70" s="1464"/>
      <c r="G70" s="1464"/>
      <c r="H70" s="1464"/>
    </row>
    <row r="71" spans="3:8" s="68" customFormat="1" ht="12.75">
      <c r="C71" s="1464"/>
      <c r="D71" s="1464"/>
      <c r="E71" s="1464"/>
      <c r="F71" s="1464"/>
      <c r="G71" s="1464"/>
      <c r="H71" s="1464"/>
    </row>
    <row r="72" spans="3:8" s="68" customFormat="1" ht="12.75">
      <c r="C72" s="1464"/>
      <c r="D72" s="1464"/>
      <c r="E72" s="1464"/>
      <c r="F72" s="1464"/>
      <c r="G72" s="1464"/>
      <c r="H72" s="1464"/>
    </row>
    <row r="73" spans="3:8" s="68" customFormat="1" ht="12.75">
      <c r="C73" s="1464"/>
      <c r="D73" s="1464"/>
      <c r="E73" s="1464"/>
      <c r="F73" s="1464"/>
      <c r="G73" s="1464"/>
      <c r="H73" s="1464"/>
    </row>
    <row r="74" spans="3:8" s="68" customFormat="1" ht="12.75">
      <c r="C74" s="1464"/>
      <c r="D74" s="1464"/>
      <c r="E74" s="1464"/>
      <c r="F74" s="1464"/>
      <c r="G74" s="1464"/>
      <c r="H74" s="1464"/>
    </row>
  </sheetData>
  <mergeCells count="3">
    <mergeCell ref="B12:B13"/>
    <mergeCell ref="C12:C13"/>
    <mergeCell ref="D12:D13"/>
  </mergeCells>
  <printOptions horizontalCentered="1"/>
  <pageMargins left="0.24" right="0.25" top="0.19" bottom="0.23" header="0.22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26" sqref="A26"/>
    </sheetView>
  </sheetViews>
  <sheetFormatPr defaultColWidth="9.00390625" defaultRowHeight="12.75"/>
  <cols>
    <col min="1" max="1" width="4.00390625" style="1473" customWidth="1"/>
    <col min="2" max="2" width="22.125" style="1473" customWidth="1"/>
    <col min="3" max="3" width="11.875" style="1473" customWidth="1"/>
    <col min="4" max="7" width="11.75390625" style="1473" customWidth="1"/>
    <col min="8" max="8" width="8.00390625" style="1473" customWidth="1"/>
    <col min="9" max="16384" width="10.00390625" style="1473" customWidth="1"/>
  </cols>
  <sheetData>
    <row r="1" spans="6:7" ht="12.75" customHeight="1">
      <c r="F1" s="854" t="s">
        <v>725</v>
      </c>
      <c r="G1" s="785"/>
    </row>
    <row r="2" spans="6:7" ht="12.75" customHeight="1">
      <c r="F2" s="6" t="s">
        <v>298</v>
      </c>
      <c r="G2" s="785"/>
    </row>
    <row r="3" spans="6:7" ht="12.75" customHeight="1">
      <c r="F3" s="4" t="s">
        <v>21</v>
      </c>
      <c r="G3" s="785"/>
    </row>
    <row r="4" spans="6:7" ht="12.75" customHeight="1">
      <c r="F4" s="6"/>
      <c r="G4" s="785"/>
    </row>
    <row r="6" ht="4.5" customHeight="1"/>
    <row r="8" spans="1:7" s="1474" customFormat="1" ht="18" customHeight="1">
      <c r="A8" s="958" t="s">
        <v>726</v>
      </c>
      <c r="B8" s="958"/>
      <c r="C8" s="958"/>
      <c r="D8" s="958"/>
      <c r="E8" s="958"/>
      <c r="F8" s="958"/>
      <c r="G8" s="958"/>
    </row>
    <row r="9" spans="1:7" s="1474" customFormat="1" ht="22.5" customHeight="1">
      <c r="A9" s="958" t="s">
        <v>727</v>
      </c>
      <c r="B9" s="958"/>
      <c r="C9" s="958"/>
      <c r="D9" s="958"/>
      <c r="E9" s="958"/>
      <c r="F9" s="958"/>
      <c r="G9" s="958"/>
    </row>
    <row r="10" spans="1:7" s="1474" customFormat="1" ht="22.5" customHeight="1">
      <c r="A10" s="958" t="s">
        <v>571</v>
      </c>
      <c r="B10" s="958"/>
      <c r="C10" s="958"/>
      <c r="D10" s="958"/>
      <c r="E10" s="958"/>
      <c r="F10" s="958"/>
      <c r="G10" s="958"/>
    </row>
    <row r="11" spans="1:7" s="1883" customFormat="1" ht="25.5" customHeight="1" thickBot="1">
      <c r="A11" s="1405" t="s">
        <v>810</v>
      </c>
      <c r="B11" s="1882"/>
      <c r="C11" s="1882"/>
      <c r="D11" s="1882"/>
      <c r="E11" s="1882"/>
      <c r="F11" s="1882"/>
      <c r="G11" s="1882" t="s">
        <v>236</v>
      </c>
    </row>
    <row r="12" spans="1:7" s="1480" customFormat="1" ht="21.75" customHeight="1" thickTop="1">
      <c r="A12" s="1475"/>
      <c r="B12" s="1476"/>
      <c r="C12" s="1477" t="s">
        <v>728</v>
      </c>
      <c r="D12" s="1478"/>
      <c r="E12" s="1478"/>
      <c r="F12" s="1478"/>
      <c r="G12" s="1479"/>
    </row>
    <row r="13" spans="1:7" s="1486" customFormat="1" ht="56.25" customHeight="1" thickBot="1">
      <c r="A13" s="1481" t="s">
        <v>303</v>
      </c>
      <c r="B13" s="1482" t="s">
        <v>572</v>
      </c>
      <c r="C13" s="1483" t="s">
        <v>729</v>
      </c>
      <c r="D13" s="1484" t="s">
        <v>730</v>
      </c>
      <c r="E13" s="1484" t="s">
        <v>731</v>
      </c>
      <c r="F13" s="1484" t="s">
        <v>732</v>
      </c>
      <c r="G13" s="1485" t="s">
        <v>733</v>
      </c>
    </row>
    <row r="14" spans="1:7" s="859" customFormat="1" ht="12.75" customHeight="1" thickBot="1" thickTop="1">
      <c r="A14" s="1487">
        <v>1</v>
      </c>
      <c r="B14" s="1488">
        <v>2</v>
      </c>
      <c r="C14" s="1488">
        <v>3</v>
      </c>
      <c r="D14" s="1488">
        <v>4</v>
      </c>
      <c r="E14" s="1488">
        <v>5</v>
      </c>
      <c r="F14" s="1488">
        <v>6</v>
      </c>
      <c r="G14" s="1489">
        <v>7</v>
      </c>
    </row>
    <row r="15" spans="1:7" s="854" customFormat="1" ht="25.5" customHeight="1" thickTop="1">
      <c r="A15" s="1490" t="s">
        <v>734</v>
      </c>
      <c r="B15" s="1491" t="s">
        <v>735</v>
      </c>
      <c r="C15" s="1388">
        <v>438141.17</v>
      </c>
      <c r="D15" s="1388">
        <v>2579050</v>
      </c>
      <c r="E15" s="1388">
        <f>SUM(C15:D15)</f>
        <v>3017191.17</v>
      </c>
      <c r="F15" s="1388">
        <v>3017191.17</v>
      </c>
      <c r="G15" s="872">
        <f>E15-F15</f>
        <v>0</v>
      </c>
    </row>
    <row r="16" spans="1:7" s="854" customFormat="1" ht="25.5" customHeight="1">
      <c r="A16" s="1492" t="s">
        <v>736</v>
      </c>
      <c r="B16" s="901" t="s">
        <v>737</v>
      </c>
      <c r="C16" s="1493">
        <v>44900</v>
      </c>
      <c r="D16" s="1493">
        <v>33200</v>
      </c>
      <c r="E16" s="1493">
        <f>SUM(C16:D16)</f>
        <v>78100</v>
      </c>
      <c r="F16" s="1493">
        <v>67600</v>
      </c>
      <c r="G16" s="1494">
        <f>E16-F16</f>
        <v>10500</v>
      </c>
    </row>
    <row r="17" spans="1:7" s="935" customFormat="1" ht="30" customHeight="1">
      <c r="A17" s="1492" t="s">
        <v>738</v>
      </c>
      <c r="B17" s="901" t="s">
        <v>739</v>
      </c>
      <c r="C17" s="1493">
        <f>SUM(C19:C20)</f>
        <v>118240</v>
      </c>
      <c r="D17" s="1493">
        <f>SUM(D19:D20)</f>
        <v>951900</v>
      </c>
      <c r="E17" s="1493">
        <f>SUM(C17:D17)</f>
        <v>1070140</v>
      </c>
      <c r="F17" s="1493">
        <f>SUM(F19:F20)</f>
        <v>1070140</v>
      </c>
      <c r="G17" s="1494">
        <f>C17+D17-F17</f>
        <v>0</v>
      </c>
    </row>
    <row r="18" spans="1:7" s="854" customFormat="1" ht="14.25" customHeight="1">
      <c r="A18" s="1458"/>
      <c r="B18" s="837" t="s">
        <v>596</v>
      </c>
      <c r="C18" s="1471"/>
      <c r="D18" s="1471"/>
      <c r="E18" s="1471"/>
      <c r="F18" s="1471"/>
      <c r="G18" s="880"/>
    </row>
    <row r="19" spans="1:7" s="1495" customFormat="1" ht="18.75" customHeight="1">
      <c r="A19" s="1469"/>
      <c r="B19" s="1470" t="s">
        <v>740</v>
      </c>
      <c r="C19" s="1472">
        <v>53936</v>
      </c>
      <c r="D19" s="1472">
        <v>471800</v>
      </c>
      <c r="E19" s="1472">
        <f>SUM(C19:D19)</f>
        <v>525736</v>
      </c>
      <c r="F19" s="1472">
        <v>525736</v>
      </c>
      <c r="G19" s="697">
        <f>C19+D19-F19</f>
        <v>0</v>
      </c>
    </row>
    <row r="20" spans="1:7" s="1495" customFormat="1" ht="18.75" customHeight="1">
      <c r="A20" s="1469"/>
      <c r="B20" s="1470" t="s">
        <v>741</v>
      </c>
      <c r="C20" s="1472">
        <v>64304</v>
      </c>
      <c r="D20" s="1472">
        <f>470100+10000</f>
        <v>480100</v>
      </c>
      <c r="E20" s="1472">
        <f>SUM(C20:D20)</f>
        <v>544404</v>
      </c>
      <c r="F20" s="1472">
        <v>544404</v>
      </c>
      <c r="G20" s="697">
        <f>C20+D20-F20</f>
        <v>0</v>
      </c>
    </row>
    <row r="21" spans="1:7" s="1495" customFormat="1" ht="30" customHeight="1">
      <c r="A21" s="1490" t="s">
        <v>742</v>
      </c>
      <c r="B21" s="1496" t="s">
        <v>743</v>
      </c>
      <c r="C21" s="1388">
        <v>11641</v>
      </c>
      <c r="D21" s="1388">
        <v>20000</v>
      </c>
      <c r="E21" s="1388">
        <f>SUM(C21:D21)</f>
        <v>31641</v>
      </c>
      <c r="F21" s="1388">
        <v>23000</v>
      </c>
      <c r="G21" s="1391">
        <f>C21+D21-F21</f>
        <v>8641</v>
      </c>
    </row>
    <row r="22" spans="1:7" s="1495" customFormat="1" ht="30" customHeight="1" thickBot="1">
      <c r="A22" s="1458" t="s">
        <v>744</v>
      </c>
      <c r="B22" s="837" t="s">
        <v>745</v>
      </c>
      <c r="C22" s="1471">
        <v>0</v>
      </c>
      <c r="D22" s="1471">
        <v>6950</v>
      </c>
      <c r="E22" s="1388">
        <f>SUM(C22:D22)</f>
        <v>6950</v>
      </c>
      <c r="F22" s="1471">
        <v>6950</v>
      </c>
      <c r="G22" s="1391">
        <f>C22+D22-F22</f>
        <v>0</v>
      </c>
    </row>
    <row r="23" spans="1:7" s="1499" customFormat="1" ht="37.5" customHeight="1" thickBot="1" thickTop="1">
      <c r="A23" s="1497" t="s">
        <v>746</v>
      </c>
      <c r="B23" s="1498"/>
      <c r="C23" s="1117">
        <f>C15+C16+C17+C21+C22</f>
        <v>612922.1699999999</v>
      </c>
      <c r="D23" s="1117">
        <f>D15+D16+D17+D21+D22</f>
        <v>3591100</v>
      </c>
      <c r="E23" s="1117">
        <f>E15+E16+E17+E21+E22</f>
        <v>4204022.17</v>
      </c>
      <c r="F23" s="1117">
        <f>F15+F16+F17+F21+F22</f>
        <v>4184881.17</v>
      </c>
      <c r="G23" s="943">
        <f>G15+G16+G17+G21+G22</f>
        <v>19141</v>
      </c>
    </row>
    <row r="24" ht="19.5" customHeight="1" thickTop="1">
      <c r="A24" s="87" t="s">
        <v>724</v>
      </c>
    </row>
    <row r="25" ht="15.75">
      <c r="A25" s="87" t="s">
        <v>296</v>
      </c>
    </row>
    <row r="26" ht="15.75">
      <c r="A26" s="87" t="s">
        <v>811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9">
      <selection activeCell="A27" sqref="A27"/>
    </sheetView>
  </sheetViews>
  <sheetFormatPr defaultColWidth="9.00390625" defaultRowHeight="12.75"/>
  <cols>
    <col min="1" max="1" width="9.125" style="988" customWidth="1"/>
    <col min="2" max="2" width="50.25390625" style="988" customWidth="1"/>
    <col min="3" max="3" width="14.75390625" style="988" hidden="1" customWidth="1"/>
    <col min="4" max="4" width="21.75390625" style="988" customWidth="1"/>
    <col min="5" max="16384" width="9.125" style="988" customWidth="1"/>
  </cols>
  <sheetData>
    <row r="1" spans="1:4" ht="13.5" customHeight="1">
      <c r="A1" s="854"/>
      <c r="D1" s="854" t="s">
        <v>8</v>
      </c>
    </row>
    <row r="2" spans="1:4" ht="13.5" customHeight="1">
      <c r="A2" s="854"/>
      <c r="D2" s="6" t="s">
        <v>298</v>
      </c>
    </row>
    <row r="3" spans="1:4" ht="13.5" customHeight="1">
      <c r="A3" s="854"/>
      <c r="D3" s="4" t="s">
        <v>21</v>
      </c>
    </row>
    <row r="4" spans="1:4" ht="13.5" customHeight="1">
      <c r="A4" s="854"/>
      <c r="D4" s="6"/>
    </row>
    <row r="5" spans="1:4" ht="34.5" customHeight="1">
      <c r="A5" s="854"/>
      <c r="B5" s="854"/>
      <c r="C5" s="854"/>
      <c r="D5" s="854"/>
    </row>
    <row r="6" spans="1:4" ht="19.5" customHeight="1">
      <c r="A6" s="2585" t="s">
        <v>9</v>
      </c>
      <c r="B6" s="2612"/>
      <c r="C6" s="2612"/>
      <c r="D6" s="2612"/>
    </row>
    <row r="7" spans="1:5" ht="19.5" customHeight="1">
      <c r="A7" s="956" t="s">
        <v>10</v>
      </c>
      <c r="B7" s="956"/>
      <c r="C7" s="1504"/>
      <c r="D7" s="1504"/>
      <c r="E7" s="1505"/>
    </row>
    <row r="8" spans="1:4" ht="19.5" customHeight="1">
      <c r="A8" s="956" t="s">
        <v>571</v>
      </c>
      <c r="B8" s="956"/>
      <c r="C8" s="1502"/>
      <c r="D8" s="1502"/>
    </row>
    <row r="9" spans="1:4" ht="22.5" customHeight="1" thickBot="1">
      <c r="A9" s="1405" t="s">
        <v>810</v>
      </c>
      <c r="B9" s="854"/>
      <c r="C9" s="854"/>
      <c r="D9" s="859" t="s">
        <v>11</v>
      </c>
    </row>
    <row r="10" spans="1:4" ht="43.5" customHeight="1" thickTop="1">
      <c r="A10" s="1506" t="s">
        <v>303</v>
      </c>
      <c r="B10" s="1466" t="s">
        <v>238</v>
      </c>
      <c r="C10" s="1501" t="s">
        <v>12</v>
      </c>
      <c r="D10" s="1507" t="s">
        <v>13</v>
      </c>
    </row>
    <row r="11" spans="1:4" s="1039" customFormat="1" ht="12" customHeight="1" thickBot="1">
      <c r="A11" s="1508">
        <v>1</v>
      </c>
      <c r="B11" s="1509">
        <v>2</v>
      </c>
      <c r="C11" s="1510">
        <v>3</v>
      </c>
      <c r="D11" s="1511">
        <v>3</v>
      </c>
    </row>
    <row r="12" spans="1:4" ht="27" customHeight="1" thickBot="1" thickTop="1">
      <c r="A12" s="1512" t="s">
        <v>315</v>
      </c>
      <c r="B12" s="1467" t="s">
        <v>14</v>
      </c>
      <c r="C12" s="1513">
        <f>SUM(C13:C15)</f>
        <v>3587981</v>
      </c>
      <c r="D12" s="1503">
        <f>SUM(D13:D15)</f>
        <v>4754423</v>
      </c>
    </row>
    <row r="13" spans="1:4" s="990" customFormat="1" ht="25.5" customHeight="1" thickTop="1">
      <c r="A13" s="1514" t="s">
        <v>734</v>
      </c>
      <c r="B13" s="1468" t="s">
        <v>15</v>
      </c>
      <c r="C13" s="879">
        <v>2000000</v>
      </c>
      <c r="D13" s="1515">
        <v>3500000</v>
      </c>
    </row>
    <row r="14" spans="1:4" s="990" customFormat="1" ht="25.5" customHeight="1">
      <c r="A14" s="1516" t="s">
        <v>736</v>
      </c>
      <c r="B14" s="1491" t="s">
        <v>16</v>
      </c>
      <c r="C14" s="1392">
        <v>8854</v>
      </c>
      <c r="D14" s="1517">
        <v>130000</v>
      </c>
    </row>
    <row r="15" spans="1:4" s="990" customFormat="1" ht="30" customHeight="1" thickBot="1">
      <c r="A15" s="1514" t="s">
        <v>738</v>
      </c>
      <c r="B15" s="837" t="s">
        <v>17</v>
      </c>
      <c r="C15" s="879">
        <v>1579127</v>
      </c>
      <c r="D15" s="1515">
        <v>1124423</v>
      </c>
    </row>
    <row r="16" spans="1:4" ht="27" customHeight="1" thickBot="1" thickTop="1">
      <c r="A16" s="1512" t="s">
        <v>321</v>
      </c>
      <c r="B16" s="1467" t="s">
        <v>18</v>
      </c>
      <c r="C16" s="1513">
        <f>SUM(C17:C19)</f>
        <v>2454600</v>
      </c>
      <c r="D16" s="1503">
        <f>SUM(D17:D19)</f>
        <v>4012423</v>
      </c>
    </row>
    <row r="17" spans="1:4" s="990" customFormat="1" ht="25.5" customHeight="1" thickTop="1">
      <c r="A17" s="1514" t="s">
        <v>734</v>
      </c>
      <c r="B17" s="1468" t="s">
        <v>15</v>
      </c>
      <c r="C17" s="879">
        <v>1385000</v>
      </c>
      <c r="D17" s="1515">
        <v>2758000</v>
      </c>
    </row>
    <row r="18" spans="1:4" s="990" customFormat="1" ht="25.5" customHeight="1">
      <c r="A18" s="1518" t="s">
        <v>736</v>
      </c>
      <c r="B18" s="1519" t="s">
        <v>16</v>
      </c>
      <c r="C18" s="1388">
        <v>8000</v>
      </c>
      <c r="D18" s="1517">
        <v>130000</v>
      </c>
    </row>
    <row r="19" spans="1:4" s="990" customFormat="1" ht="30" customHeight="1" thickBot="1">
      <c r="A19" s="1520" t="s">
        <v>738</v>
      </c>
      <c r="B19" s="1521" t="s">
        <v>17</v>
      </c>
      <c r="C19" s="1398">
        <v>1061600</v>
      </c>
      <c r="D19" s="1522">
        <v>1124423</v>
      </c>
    </row>
    <row r="20" spans="1:4" ht="36.75" customHeight="1" thickBot="1" thickTop="1">
      <c r="A20" s="1512" t="s">
        <v>326</v>
      </c>
      <c r="B20" s="1523" t="s">
        <v>19</v>
      </c>
      <c r="C20" s="1513">
        <f aca="true" t="shared" si="0" ref="C20:D23">C12-C16</f>
        <v>1133381</v>
      </c>
      <c r="D20" s="1503">
        <f t="shared" si="0"/>
        <v>742000</v>
      </c>
    </row>
    <row r="21" spans="1:4" s="990" customFormat="1" ht="25.5" customHeight="1" thickTop="1">
      <c r="A21" s="1514" t="s">
        <v>734</v>
      </c>
      <c r="B21" s="1468" t="s">
        <v>15</v>
      </c>
      <c r="C21" s="879">
        <f t="shared" si="0"/>
        <v>615000</v>
      </c>
      <c r="D21" s="1515">
        <f t="shared" si="0"/>
        <v>742000</v>
      </c>
    </row>
    <row r="22" spans="1:4" s="990" customFormat="1" ht="25.5" customHeight="1">
      <c r="A22" s="1518" t="s">
        <v>736</v>
      </c>
      <c r="B22" s="1519" t="s">
        <v>16</v>
      </c>
      <c r="C22" s="1388">
        <f t="shared" si="0"/>
        <v>854</v>
      </c>
      <c r="D22" s="1517">
        <f t="shared" si="0"/>
        <v>0</v>
      </c>
    </row>
    <row r="23" spans="1:4" s="990" customFormat="1" ht="30" customHeight="1" thickBot="1">
      <c r="A23" s="1520" t="s">
        <v>738</v>
      </c>
      <c r="B23" s="1521" t="s">
        <v>17</v>
      </c>
      <c r="C23" s="1398">
        <f t="shared" si="0"/>
        <v>517527</v>
      </c>
      <c r="D23" s="1522">
        <f t="shared" si="0"/>
        <v>0</v>
      </c>
    </row>
    <row r="24" spans="1:3" ht="19.5" thickTop="1">
      <c r="A24" s="1524"/>
      <c r="B24" s="1524"/>
      <c r="C24" s="1499"/>
    </row>
    <row r="25" ht="12.75">
      <c r="A25" s="87" t="s">
        <v>724</v>
      </c>
    </row>
    <row r="26" spans="1:4" ht="12.75">
      <c r="A26" s="87" t="s">
        <v>296</v>
      </c>
      <c r="C26" s="1525"/>
      <c r="D26" s="1525"/>
    </row>
    <row r="27" ht="12.75">
      <c r="A27" s="87" t="s">
        <v>811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14"/>
  <sheetViews>
    <sheetView zoomScale="95" zoomScaleNormal="95" workbookViewId="0" topLeftCell="A98">
      <selection activeCell="J107" sqref="J107"/>
    </sheetView>
  </sheetViews>
  <sheetFormatPr defaultColWidth="9.00390625" defaultRowHeight="12.75"/>
  <cols>
    <col min="1" max="1" width="5.125" style="1533" customWidth="1"/>
    <col min="2" max="2" width="5.625" style="1533" customWidth="1"/>
    <col min="3" max="3" width="7.75390625" style="1533" customWidth="1"/>
    <col min="4" max="4" width="6.125" style="1534" customWidth="1"/>
    <col min="5" max="5" width="42.375" style="1535" customWidth="1"/>
    <col min="6" max="6" width="12.375" style="1535" customWidth="1"/>
    <col min="7" max="7" width="9.00390625" style="1536" customWidth="1"/>
    <col min="8" max="8" width="9.875" style="1537" customWidth="1"/>
    <col min="9" max="9" width="9.75390625" style="1537" customWidth="1"/>
    <col min="10" max="10" width="11.75390625" style="1537" customWidth="1"/>
    <col min="11" max="11" width="11.625" style="1537" customWidth="1"/>
    <col min="12" max="12" width="12.125" style="1537" customWidth="1"/>
    <col min="13" max="13" width="3.625" style="1537" hidden="1" customWidth="1"/>
    <col min="14" max="14" width="0.2421875" style="1537" hidden="1" customWidth="1"/>
    <col min="15" max="15" width="11.00390625" style="1537" customWidth="1"/>
    <col min="16" max="16" width="11.875" style="1537" customWidth="1"/>
    <col min="17" max="17" width="11.00390625" style="1537" customWidth="1"/>
    <col min="18" max="18" width="9.125" style="1537" customWidth="1"/>
    <col min="19" max="16384" width="9.125" style="1533" customWidth="1"/>
  </cols>
  <sheetData>
    <row r="1" ht="12.75">
      <c r="K1" s="1538" t="s">
        <v>49</v>
      </c>
    </row>
    <row r="2" spans="10:11" ht="12.75">
      <c r="J2" s="1539" t="s">
        <v>50</v>
      </c>
      <c r="K2" s="6" t="s">
        <v>298</v>
      </c>
    </row>
    <row r="3" spans="10:11" ht="12.75">
      <c r="J3" s="1540" t="s">
        <v>51</v>
      </c>
      <c r="K3" s="4" t="s">
        <v>21</v>
      </c>
    </row>
    <row r="4" spans="10:11" ht="12.75">
      <c r="J4" s="1540"/>
      <c r="K4" s="4"/>
    </row>
    <row r="5" spans="2:15" ht="24.75" customHeight="1">
      <c r="B5" s="1541" t="s">
        <v>52</v>
      </c>
      <c r="E5" s="1542"/>
      <c r="F5" s="1542"/>
      <c r="G5" s="1543"/>
      <c r="H5" s="1544"/>
      <c r="I5" s="1544"/>
      <c r="J5" s="1544"/>
      <c r="K5" s="1544"/>
      <c r="L5" s="1544"/>
      <c r="M5" s="1544"/>
      <c r="N5" s="1544"/>
      <c r="O5" s="1544"/>
    </row>
    <row r="6" spans="1:15" ht="13.5" thickBot="1">
      <c r="A6" s="1405" t="s">
        <v>810</v>
      </c>
      <c r="B6" s="1545"/>
      <c r="K6" s="1546"/>
      <c r="L6" s="1547" t="s">
        <v>53</v>
      </c>
      <c r="M6" s="1548"/>
      <c r="N6" s="1547" t="s">
        <v>53</v>
      </c>
      <c r="O6" s="1547"/>
    </row>
    <row r="7" spans="1:15" ht="53.25" customHeight="1" thickTop="1">
      <c r="A7" s="1549" t="s">
        <v>438</v>
      </c>
      <c r="B7" s="1550" t="s">
        <v>237</v>
      </c>
      <c r="C7" s="1551" t="s">
        <v>54</v>
      </c>
      <c r="D7" s="1551" t="s">
        <v>532</v>
      </c>
      <c r="E7" s="1552" t="s">
        <v>55</v>
      </c>
      <c r="F7" s="1553" t="s">
        <v>56</v>
      </c>
      <c r="G7" s="2619" t="s">
        <v>57</v>
      </c>
      <c r="H7" s="2620"/>
      <c r="I7" s="1551" t="s">
        <v>58</v>
      </c>
      <c r="J7" s="2621" t="s">
        <v>59</v>
      </c>
      <c r="K7" s="2622"/>
      <c r="L7" s="2623"/>
      <c r="M7" s="1554"/>
      <c r="N7" s="1555"/>
      <c r="O7" s="1556"/>
    </row>
    <row r="8" spans="1:19" ht="39" customHeight="1">
      <c r="A8" s="1557"/>
      <c r="B8" s="1558"/>
      <c r="C8" s="1559"/>
      <c r="D8" s="1559"/>
      <c r="E8" s="1560"/>
      <c r="F8" s="1561" t="s">
        <v>60</v>
      </c>
      <c r="G8" s="1562" t="s">
        <v>61</v>
      </c>
      <c r="H8" s="1562" t="s">
        <v>62</v>
      </c>
      <c r="I8" s="1561" t="s">
        <v>63</v>
      </c>
      <c r="J8" s="1563" t="s">
        <v>64</v>
      </c>
      <c r="K8" s="1564" t="s">
        <v>65</v>
      </c>
      <c r="L8" s="1565" t="s">
        <v>66</v>
      </c>
      <c r="M8" s="1566"/>
      <c r="N8" s="1567" t="s">
        <v>66</v>
      </c>
      <c r="O8" s="1568"/>
      <c r="S8" s="1537"/>
    </row>
    <row r="9" spans="1:15" s="1575" customFormat="1" ht="12">
      <c r="A9" s="1569">
        <v>1</v>
      </c>
      <c r="B9" s="1570">
        <v>2</v>
      </c>
      <c r="C9" s="1571">
        <v>3</v>
      </c>
      <c r="D9" s="1570">
        <v>4</v>
      </c>
      <c r="E9" s="1571">
        <v>5</v>
      </c>
      <c r="F9" s="1571">
        <v>6</v>
      </c>
      <c r="G9" s="1571">
        <v>7</v>
      </c>
      <c r="H9" s="1571">
        <v>8</v>
      </c>
      <c r="I9" s="1571">
        <v>9</v>
      </c>
      <c r="J9" s="1571">
        <v>10</v>
      </c>
      <c r="K9" s="1571">
        <v>11</v>
      </c>
      <c r="L9" s="1572">
        <v>12</v>
      </c>
      <c r="M9" s="1573"/>
      <c r="N9" s="1572">
        <v>12</v>
      </c>
      <c r="O9" s="1574"/>
    </row>
    <row r="10" spans="1:19" s="1587" customFormat="1" ht="21" customHeight="1">
      <c r="A10" s="1576" t="s">
        <v>315</v>
      </c>
      <c r="B10" s="1577"/>
      <c r="C10" s="1577"/>
      <c r="D10" s="1577"/>
      <c r="E10" s="1578" t="s">
        <v>67</v>
      </c>
      <c r="F10" s="1578"/>
      <c r="G10" s="1579"/>
      <c r="H10" s="1580"/>
      <c r="I10" s="1581"/>
      <c r="J10" s="1582">
        <f>SUM(J11:J51)</f>
        <v>33333.5</v>
      </c>
      <c r="K10" s="1582">
        <f>SUM(K11:K51)</f>
        <v>20790</v>
      </c>
      <c r="L10" s="1583">
        <f>SUM(L11:L51)</f>
        <v>19090</v>
      </c>
      <c r="M10" s="1584"/>
      <c r="N10" s="1583">
        <f>SUM(N11:N51)</f>
        <v>5900</v>
      </c>
      <c r="O10" s="1585"/>
      <c r="P10" s="1585"/>
      <c r="Q10" s="1585"/>
      <c r="R10" s="1586"/>
      <c r="S10" s="1586"/>
    </row>
    <row r="11" spans="1:19" s="1599" customFormat="1" ht="18" customHeight="1">
      <c r="A11" s="1588">
        <v>1</v>
      </c>
      <c r="B11" s="1589">
        <v>600</v>
      </c>
      <c r="C11" s="1590">
        <v>60015</v>
      </c>
      <c r="D11" s="1591">
        <v>6050</v>
      </c>
      <c r="E11" s="1592" t="s">
        <v>68</v>
      </c>
      <c r="F11" s="1590" t="s">
        <v>69</v>
      </c>
      <c r="G11" s="1593">
        <v>2006</v>
      </c>
      <c r="H11" s="1593">
        <v>2012</v>
      </c>
      <c r="I11" s="1594">
        <v>300</v>
      </c>
      <c r="J11" s="1595">
        <v>50</v>
      </c>
      <c r="K11" s="1595">
        <v>50</v>
      </c>
      <c r="L11" s="1596">
        <v>100</v>
      </c>
      <c r="M11" s="1597"/>
      <c r="N11" s="1596">
        <v>0</v>
      </c>
      <c r="O11" s="1598"/>
      <c r="P11" s="1537"/>
      <c r="Q11" s="1535"/>
      <c r="R11" s="1535"/>
      <c r="S11" s="1535"/>
    </row>
    <row r="12" spans="1:15" s="1602" customFormat="1" ht="18" customHeight="1">
      <c r="A12" s="1588">
        <v>2</v>
      </c>
      <c r="B12" s="1600">
        <v>600</v>
      </c>
      <c r="C12" s="1590">
        <v>60015</v>
      </c>
      <c r="D12" s="1591">
        <v>6050</v>
      </c>
      <c r="E12" s="1601" t="s">
        <v>70</v>
      </c>
      <c r="F12" s="1590" t="s">
        <v>69</v>
      </c>
      <c r="G12" s="1593">
        <v>2008</v>
      </c>
      <c r="H12" s="1593">
        <v>2009</v>
      </c>
      <c r="I12" s="1594">
        <v>500</v>
      </c>
      <c r="J12" s="1595">
        <v>300</v>
      </c>
      <c r="K12" s="1595">
        <v>0</v>
      </c>
      <c r="L12" s="1596">
        <v>0</v>
      </c>
      <c r="M12" s="1597"/>
      <c r="N12" s="1596">
        <v>0</v>
      </c>
      <c r="O12" s="1598"/>
    </row>
    <row r="13" spans="1:15" s="1602" customFormat="1" ht="18.75" customHeight="1">
      <c r="A13" s="1588">
        <v>3</v>
      </c>
      <c r="B13" s="1600">
        <v>600</v>
      </c>
      <c r="C13" s="1590">
        <v>60015</v>
      </c>
      <c r="D13" s="1591">
        <v>6050</v>
      </c>
      <c r="E13" s="1601" t="s">
        <v>71</v>
      </c>
      <c r="F13" s="1590" t="s">
        <v>69</v>
      </c>
      <c r="G13" s="1593">
        <v>2008</v>
      </c>
      <c r="H13" s="1593">
        <v>2012</v>
      </c>
      <c r="I13" s="1594">
        <v>1620</v>
      </c>
      <c r="J13" s="1595">
        <v>50</v>
      </c>
      <c r="K13" s="1595">
        <v>500</v>
      </c>
      <c r="L13" s="1596">
        <v>500</v>
      </c>
      <c r="M13" s="1597"/>
      <c r="N13" s="1596">
        <v>800</v>
      </c>
      <c r="O13" s="1598"/>
    </row>
    <row r="14" spans="1:19" s="1587" customFormat="1" ht="18" customHeight="1">
      <c r="A14" s="1588">
        <v>4</v>
      </c>
      <c r="B14" s="1589">
        <v>600</v>
      </c>
      <c r="C14" s="1590">
        <v>60015</v>
      </c>
      <c r="D14" s="1590">
        <v>6050</v>
      </c>
      <c r="E14" s="1601" t="s">
        <v>72</v>
      </c>
      <c r="F14" s="1590" t="s">
        <v>69</v>
      </c>
      <c r="G14" s="1603">
        <v>2006</v>
      </c>
      <c r="H14" s="1604" t="s">
        <v>73</v>
      </c>
      <c r="I14" s="1594">
        <v>3980</v>
      </c>
      <c r="J14" s="1595">
        <v>3900</v>
      </c>
      <c r="K14" s="1595">
        <v>0</v>
      </c>
      <c r="L14" s="1596">
        <v>0</v>
      </c>
      <c r="M14" s="1597"/>
      <c r="N14" s="1596">
        <v>0</v>
      </c>
      <c r="O14" s="1598"/>
      <c r="P14" s="1586"/>
      <c r="Q14" s="1586"/>
      <c r="R14" s="1586"/>
      <c r="S14" s="1586"/>
    </row>
    <row r="15" spans="1:19" s="1609" customFormat="1" ht="16.5">
      <c r="A15" s="1588">
        <v>5</v>
      </c>
      <c r="B15" s="1589">
        <v>600</v>
      </c>
      <c r="C15" s="1590">
        <v>60015</v>
      </c>
      <c r="D15" s="1590">
        <v>6050</v>
      </c>
      <c r="E15" s="1601" t="s">
        <v>74</v>
      </c>
      <c r="F15" s="1590" t="s">
        <v>69</v>
      </c>
      <c r="G15" s="1603">
        <v>2007</v>
      </c>
      <c r="H15" s="1604" t="s">
        <v>75</v>
      </c>
      <c r="I15" s="1594">
        <f>15021-200</f>
        <v>14821</v>
      </c>
      <c r="J15" s="1594">
        <f>4700-200</f>
        <v>4500</v>
      </c>
      <c r="K15" s="1594">
        <v>6400</v>
      </c>
      <c r="L15" s="1605">
        <v>1000</v>
      </c>
      <c r="M15" s="1606"/>
      <c r="N15" s="1605">
        <v>1500</v>
      </c>
      <c r="O15" s="1607"/>
      <c r="P15" s="1608"/>
      <c r="Q15" s="1608"/>
      <c r="R15" s="1608"/>
      <c r="S15" s="1608"/>
    </row>
    <row r="16" spans="1:15" s="1602" customFormat="1" ht="21.75" customHeight="1">
      <c r="A16" s="1588">
        <v>6</v>
      </c>
      <c r="B16" s="1600">
        <v>600</v>
      </c>
      <c r="C16" s="1590">
        <v>60015</v>
      </c>
      <c r="D16" s="1591">
        <v>6050</v>
      </c>
      <c r="E16" s="1601" t="s">
        <v>76</v>
      </c>
      <c r="F16" s="1590" t="s">
        <v>69</v>
      </c>
      <c r="G16" s="1593">
        <v>2009</v>
      </c>
      <c r="H16" s="1593">
        <v>2011</v>
      </c>
      <c r="I16" s="1594">
        <v>4300</v>
      </c>
      <c r="J16" s="1595">
        <v>300</v>
      </c>
      <c r="K16" s="1595">
        <v>1000</v>
      </c>
      <c r="L16" s="1596">
        <v>3000</v>
      </c>
      <c r="M16" s="1597"/>
      <c r="N16" s="1596">
        <v>1000</v>
      </c>
      <c r="O16" s="1598"/>
    </row>
    <row r="17" spans="1:15" s="1602" customFormat="1" ht="18" customHeight="1">
      <c r="A17" s="1588">
        <v>7</v>
      </c>
      <c r="B17" s="1600">
        <v>600</v>
      </c>
      <c r="C17" s="1590">
        <v>60015</v>
      </c>
      <c r="D17" s="1591">
        <v>6050</v>
      </c>
      <c r="E17" s="1601" t="s">
        <v>77</v>
      </c>
      <c r="F17" s="1590" t="s">
        <v>69</v>
      </c>
      <c r="G17" s="1593">
        <v>2008</v>
      </c>
      <c r="H17" s="1593">
        <v>2010</v>
      </c>
      <c r="I17" s="1594">
        <v>1220</v>
      </c>
      <c r="J17" s="1595">
        <v>70</v>
      </c>
      <c r="K17" s="1595">
        <v>100</v>
      </c>
      <c r="L17" s="1596">
        <v>1000</v>
      </c>
      <c r="M17" s="1597"/>
      <c r="N17" s="1596">
        <v>0</v>
      </c>
      <c r="O17" s="1598"/>
    </row>
    <row r="18" spans="1:18" s="1599" customFormat="1" ht="18.75" customHeight="1">
      <c r="A18" s="1588">
        <v>8</v>
      </c>
      <c r="B18" s="1589">
        <v>600</v>
      </c>
      <c r="C18" s="1590">
        <v>60015</v>
      </c>
      <c r="D18" s="1591">
        <v>6050</v>
      </c>
      <c r="E18" s="1610" t="s">
        <v>78</v>
      </c>
      <c r="F18" s="1590" t="s">
        <v>69</v>
      </c>
      <c r="G18" s="1611" t="s">
        <v>79</v>
      </c>
      <c r="H18" s="1611" t="s">
        <v>79</v>
      </c>
      <c r="I18" s="1611" t="s">
        <v>79</v>
      </c>
      <c r="J18" s="1595">
        <v>390</v>
      </c>
      <c r="K18" s="1595">
        <v>300</v>
      </c>
      <c r="L18" s="1596">
        <v>300</v>
      </c>
      <c r="M18" s="1597"/>
      <c r="N18" s="1596"/>
      <c r="O18" s="1598"/>
      <c r="P18" s="1535"/>
      <c r="Q18" s="1535"/>
      <c r="R18" s="1535"/>
    </row>
    <row r="19" spans="1:19" s="1609" customFormat="1" ht="25.5">
      <c r="A19" s="1588">
        <v>9</v>
      </c>
      <c r="B19" s="1589">
        <v>600</v>
      </c>
      <c r="C19" s="1590">
        <v>60016</v>
      </c>
      <c r="D19" s="1591">
        <v>6050</v>
      </c>
      <c r="E19" s="1592" t="s">
        <v>80</v>
      </c>
      <c r="F19" s="1590" t="s">
        <v>69</v>
      </c>
      <c r="G19" s="1603">
        <v>2006</v>
      </c>
      <c r="H19" s="1612">
        <v>2012</v>
      </c>
      <c r="I19" s="1594">
        <f>6187.1-100</f>
        <v>6087.1</v>
      </c>
      <c r="J19" s="1594">
        <f>950-100</f>
        <v>850</v>
      </c>
      <c r="K19" s="1594">
        <v>1100</v>
      </c>
      <c r="L19" s="1605">
        <v>1200</v>
      </c>
      <c r="M19" s="1606"/>
      <c r="N19" s="1605">
        <v>0</v>
      </c>
      <c r="O19" s="1607"/>
      <c r="P19" s="1608"/>
      <c r="Q19" s="1608"/>
      <c r="R19" s="1608"/>
      <c r="S19" s="1608"/>
    </row>
    <row r="20" spans="1:19" s="1609" customFormat="1" ht="25.5">
      <c r="A20" s="1588">
        <v>10</v>
      </c>
      <c r="B20" s="1589">
        <v>600</v>
      </c>
      <c r="C20" s="1590">
        <v>60016</v>
      </c>
      <c r="D20" s="1591">
        <v>6050</v>
      </c>
      <c r="E20" s="1592" t="s">
        <v>81</v>
      </c>
      <c r="F20" s="1590" t="s">
        <v>69</v>
      </c>
      <c r="G20" s="1593">
        <v>2006</v>
      </c>
      <c r="H20" s="1613">
        <v>2012</v>
      </c>
      <c r="I20" s="1594">
        <v>5900</v>
      </c>
      <c r="J20" s="1594">
        <v>1000</v>
      </c>
      <c r="K20" s="1594">
        <v>1500</v>
      </c>
      <c r="L20" s="1605">
        <v>1000</v>
      </c>
      <c r="M20" s="1606"/>
      <c r="N20" s="1605">
        <v>0</v>
      </c>
      <c r="O20" s="1607"/>
      <c r="P20" s="1608"/>
      <c r="Q20" s="1608"/>
      <c r="R20" s="1608"/>
      <c r="S20" s="1608"/>
    </row>
    <row r="21" spans="1:19" s="1609" customFormat="1" ht="18" customHeight="1">
      <c r="A21" s="1588">
        <v>11</v>
      </c>
      <c r="B21" s="1589">
        <v>600</v>
      </c>
      <c r="C21" s="1590">
        <v>60016</v>
      </c>
      <c r="D21" s="1591">
        <v>6050</v>
      </c>
      <c r="E21" s="1592" t="s">
        <v>82</v>
      </c>
      <c r="F21" s="1590" t="s">
        <v>69</v>
      </c>
      <c r="G21" s="1593">
        <v>2006</v>
      </c>
      <c r="H21" s="1613">
        <v>2009</v>
      </c>
      <c r="I21" s="1594">
        <f>1301.8+100</f>
        <v>1401.8</v>
      </c>
      <c r="J21" s="1594">
        <f>1200+100</f>
        <v>1300</v>
      </c>
      <c r="K21" s="1594">
        <v>0</v>
      </c>
      <c r="L21" s="1605">
        <v>0</v>
      </c>
      <c r="M21" s="1606"/>
      <c r="N21" s="1605">
        <v>0</v>
      </c>
      <c r="O21" s="1607"/>
      <c r="P21" s="1608"/>
      <c r="Q21" s="1608"/>
      <c r="R21" s="1608"/>
      <c r="S21" s="1608"/>
    </row>
    <row r="22" spans="1:19" s="1609" customFormat="1" ht="38.25">
      <c r="A22" s="1588">
        <v>12</v>
      </c>
      <c r="B22" s="1589">
        <v>600</v>
      </c>
      <c r="C22" s="1590">
        <v>60016</v>
      </c>
      <c r="D22" s="1591">
        <v>6050</v>
      </c>
      <c r="E22" s="1592" t="s">
        <v>755</v>
      </c>
      <c r="F22" s="1590" t="s">
        <v>69</v>
      </c>
      <c r="G22" s="1593">
        <v>2007</v>
      </c>
      <c r="H22" s="1613">
        <v>2010</v>
      </c>
      <c r="I22" s="1594">
        <v>4723.6</v>
      </c>
      <c r="J22" s="1594">
        <v>3500</v>
      </c>
      <c r="K22" s="1594">
        <v>1200</v>
      </c>
      <c r="L22" s="1605">
        <v>0</v>
      </c>
      <c r="M22" s="1606"/>
      <c r="N22" s="1605">
        <v>0</v>
      </c>
      <c r="O22" s="1607"/>
      <c r="P22" s="1608"/>
      <c r="Q22" s="1608"/>
      <c r="R22" s="1608"/>
      <c r="S22" s="1608"/>
    </row>
    <row r="23" spans="1:19" s="1615" customFormat="1" ht="17.25" customHeight="1">
      <c r="A23" s="1588">
        <v>13</v>
      </c>
      <c r="B23" s="1589">
        <v>600</v>
      </c>
      <c r="C23" s="1590">
        <v>60016</v>
      </c>
      <c r="D23" s="1591">
        <v>6050</v>
      </c>
      <c r="E23" s="1592" t="s">
        <v>83</v>
      </c>
      <c r="F23" s="1590" t="s">
        <v>69</v>
      </c>
      <c r="G23" s="1593">
        <v>2008</v>
      </c>
      <c r="H23" s="1593">
        <v>2009</v>
      </c>
      <c r="I23" s="1594">
        <v>250</v>
      </c>
      <c r="J23" s="1595">
        <v>100</v>
      </c>
      <c r="K23" s="1595">
        <v>0</v>
      </c>
      <c r="L23" s="1596">
        <v>0</v>
      </c>
      <c r="M23" s="1597"/>
      <c r="N23" s="1596">
        <v>0</v>
      </c>
      <c r="O23" s="1598"/>
      <c r="P23" s="1614"/>
      <c r="Q23" s="1602"/>
      <c r="R23" s="1602"/>
      <c r="S23" s="1602"/>
    </row>
    <row r="24" spans="1:19" s="1615" customFormat="1" ht="17.25" customHeight="1">
      <c r="A24" s="1588">
        <v>111</v>
      </c>
      <c r="B24" s="1589">
        <v>600</v>
      </c>
      <c r="C24" s="1590">
        <v>60016</v>
      </c>
      <c r="D24" s="1591">
        <v>6050</v>
      </c>
      <c r="E24" s="1592" t="s">
        <v>761</v>
      </c>
      <c r="F24" s="1590" t="s">
        <v>86</v>
      </c>
      <c r="G24" s="1593">
        <v>2009</v>
      </c>
      <c r="H24" s="1899">
        <v>2009</v>
      </c>
      <c r="I24" s="1594">
        <v>3.904</v>
      </c>
      <c r="J24" s="1595">
        <v>3.904</v>
      </c>
      <c r="K24" s="1595">
        <v>0</v>
      </c>
      <c r="L24" s="1596">
        <v>0</v>
      </c>
      <c r="M24" s="1597"/>
      <c r="N24" s="1596"/>
      <c r="O24" s="1598"/>
      <c r="P24" s="1614"/>
      <c r="Q24" s="1602"/>
      <c r="R24" s="1602"/>
      <c r="S24" s="1602"/>
    </row>
    <row r="25" spans="1:19" s="1609" customFormat="1" ht="18" customHeight="1">
      <c r="A25" s="1588">
        <v>14</v>
      </c>
      <c r="B25" s="1589">
        <v>600</v>
      </c>
      <c r="C25" s="1590">
        <v>60016</v>
      </c>
      <c r="D25" s="1591">
        <v>6050</v>
      </c>
      <c r="E25" s="1592" t="s">
        <v>84</v>
      </c>
      <c r="F25" s="1590" t="s">
        <v>69</v>
      </c>
      <c r="G25" s="1593">
        <v>2007</v>
      </c>
      <c r="H25" s="1613">
        <v>2009</v>
      </c>
      <c r="I25" s="1594">
        <v>2200</v>
      </c>
      <c r="J25" s="1594">
        <v>1700</v>
      </c>
      <c r="K25" s="1594">
        <v>0</v>
      </c>
      <c r="L25" s="1605">
        <v>0</v>
      </c>
      <c r="M25" s="1606"/>
      <c r="N25" s="1605">
        <v>0</v>
      </c>
      <c r="O25" s="1607"/>
      <c r="P25" s="1608"/>
      <c r="Q25" s="1608"/>
      <c r="R25" s="1608"/>
      <c r="S25" s="1608"/>
    </row>
    <row r="26" spans="1:19" s="1599" customFormat="1" ht="18" customHeight="1">
      <c r="A26" s="1588">
        <v>15</v>
      </c>
      <c r="B26" s="1600">
        <v>600</v>
      </c>
      <c r="C26" s="1590">
        <v>60016</v>
      </c>
      <c r="D26" s="1590">
        <v>6050</v>
      </c>
      <c r="E26" s="1610" t="s">
        <v>85</v>
      </c>
      <c r="F26" s="1616" t="s">
        <v>86</v>
      </c>
      <c r="G26" s="1593">
        <v>1998</v>
      </c>
      <c r="H26" s="1593" t="s">
        <v>87</v>
      </c>
      <c r="I26" s="1594">
        <v>5003</v>
      </c>
      <c r="J26" s="1594">
        <v>100</v>
      </c>
      <c r="K26" s="1594">
        <v>700</v>
      </c>
      <c r="L26" s="1605">
        <v>750</v>
      </c>
      <c r="M26" s="1606"/>
      <c r="N26" s="1605">
        <v>400</v>
      </c>
      <c r="O26" s="1607"/>
      <c r="P26" s="1535"/>
      <c r="Q26" s="1535"/>
      <c r="R26" s="1535"/>
      <c r="S26" s="1535"/>
    </row>
    <row r="27" spans="1:18" s="1615" customFormat="1" ht="18" customHeight="1">
      <c r="A27" s="1588">
        <v>16</v>
      </c>
      <c r="B27" s="1600">
        <v>600</v>
      </c>
      <c r="C27" s="1590">
        <v>60016</v>
      </c>
      <c r="D27" s="1591">
        <v>6050</v>
      </c>
      <c r="E27" s="1610" t="s">
        <v>88</v>
      </c>
      <c r="F27" s="1616" t="s">
        <v>86</v>
      </c>
      <c r="G27" s="1593">
        <v>2005</v>
      </c>
      <c r="H27" s="1611" t="s">
        <v>87</v>
      </c>
      <c r="I27" s="1594">
        <f>9430+500</f>
        <v>9930</v>
      </c>
      <c r="J27" s="1595">
        <v>700</v>
      </c>
      <c r="K27" s="1595">
        <v>100</v>
      </c>
      <c r="L27" s="1596">
        <v>500</v>
      </c>
      <c r="M27" s="1597"/>
      <c r="N27" s="1596">
        <v>500</v>
      </c>
      <c r="O27" s="1598"/>
      <c r="P27" s="1602"/>
      <c r="Q27" s="1602"/>
      <c r="R27" s="1602"/>
    </row>
    <row r="28" spans="1:19" s="1599" customFormat="1" ht="18" customHeight="1">
      <c r="A28" s="1588">
        <v>17</v>
      </c>
      <c r="B28" s="1589">
        <v>600</v>
      </c>
      <c r="C28" s="1590">
        <v>60016</v>
      </c>
      <c r="D28" s="1591">
        <v>6050</v>
      </c>
      <c r="E28" s="1592" t="s">
        <v>89</v>
      </c>
      <c r="F28" s="1590" t="s">
        <v>86</v>
      </c>
      <c r="G28" s="1593">
        <v>2008</v>
      </c>
      <c r="H28" s="1593">
        <v>2011</v>
      </c>
      <c r="I28" s="1594">
        <v>900</v>
      </c>
      <c r="J28" s="1595">
        <v>200</v>
      </c>
      <c r="K28" s="1595">
        <v>200</v>
      </c>
      <c r="L28" s="1596">
        <v>500</v>
      </c>
      <c r="M28" s="1597"/>
      <c r="N28" s="1596">
        <v>0</v>
      </c>
      <c r="O28" s="1598"/>
      <c r="P28" s="1537"/>
      <c r="Q28" s="1535"/>
      <c r="R28" s="1535"/>
      <c r="S28" s="1535"/>
    </row>
    <row r="29" spans="1:18" s="1599" customFormat="1" ht="18.75" customHeight="1">
      <c r="A29" s="1588">
        <v>18</v>
      </c>
      <c r="B29" s="1589">
        <v>600</v>
      </c>
      <c r="C29" s="1590">
        <v>60016</v>
      </c>
      <c r="D29" s="1591">
        <v>6050</v>
      </c>
      <c r="E29" s="1610" t="s">
        <v>90</v>
      </c>
      <c r="F29" s="1590" t="s">
        <v>69</v>
      </c>
      <c r="G29" s="1611" t="s">
        <v>79</v>
      </c>
      <c r="H29" s="1611" t="s">
        <v>79</v>
      </c>
      <c r="I29" s="1611" t="s">
        <v>79</v>
      </c>
      <c r="J29" s="1595">
        <v>250</v>
      </c>
      <c r="K29" s="1595">
        <v>200</v>
      </c>
      <c r="L29" s="1596">
        <v>200</v>
      </c>
      <c r="M29" s="1597"/>
      <c r="N29" s="1596"/>
      <c r="O29" s="1598"/>
      <c r="P29" s="1535"/>
      <c r="Q29" s="1535"/>
      <c r="R29" s="1535"/>
    </row>
    <row r="30" spans="1:19" s="1599" customFormat="1" ht="18" customHeight="1">
      <c r="A30" s="1588">
        <v>19</v>
      </c>
      <c r="B30" s="1589">
        <v>600</v>
      </c>
      <c r="C30" s="1590">
        <v>60016</v>
      </c>
      <c r="D30" s="1591">
        <v>6050</v>
      </c>
      <c r="E30" s="1592" t="s">
        <v>68</v>
      </c>
      <c r="F30" s="1590" t="s">
        <v>69</v>
      </c>
      <c r="G30" s="1593">
        <v>2006</v>
      </c>
      <c r="H30" s="1593">
        <v>2012</v>
      </c>
      <c r="I30" s="1594">
        <v>350</v>
      </c>
      <c r="J30" s="1595">
        <v>50</v>
      </c>
      <c r="K30" s="1595">
        <v>100</v>
      </c>
      <c r="L30" s="1596">
        <v>100</v>
      </c>
      <c r="M30" s="1597"/>
      <c r="N30" s="1596">
        <v>0</v>
      </c>
      <c r="O30" s="1598"/>
      <c r="P30" s="1537"/>
      <c r="Q30" s="1535"/>
      <c r="R30" s="1535"/>
      <c r="S30" s="1535"/>
    </row>
    <row r="31" spans="1:19" s="1599" customFormat="1" ht="25.5">
      <c r="A31" s="1588">
        <v>20</v>
      </c>
      <c r="B31" s="1589">
        <v>600</v>
      </c>
      <c r="C31" s="1590">
        <v>60017</v>
      </c>
      <c r="D31" s="1591">
        <v>6050</v>
      </c>
      <c r="E31" s="1617" t="s">
        <v>794</v>
      </c>
      <c r="F31" s="1590" t="s">
        <v>69</v>
      </c>
      <c r="G31" s="1593">
        <v>2008</v>
      </c>
      <c r="H31" s="1593">
        <v>2009</v>
      </c>
      <c r="I31" s="1594">
        <v>1020</v>
      </c>
      <c r="J31" s="1595">
        <v>720</v>
      </c>
      <c r="K31" s="1595">
        <v>0</v>
      </c>
      <c r="L31" s="1596">
        <v>0</v>
      </c>
      <c r="M31" s="1597"/>
      <c r="N31" s="1596">
        <v>0</v>
      </c>
      <c r="O31" s="1598"/>
      <c r="P31" s="1537"/>
      <c r="Q31" s="1535"/>
      <c r="R31" s="1535"/>
      <c r="S31" s="1535"/>
    </row>
    <row r="32" spans="1:19" s="1599" customFormat="1" ht="18" customHeight="1">
      <c r="A32" s="1588">
        <v>21</v>
      </c>
      <c r="B32" s="1589">
        <v>600</v>
      </c>
      <c r="C32" s="1590">
        <v>60017</v>
      </c>
      <c r="D32" s="1591">
        <v>6050</v>
      </c>
      <c r="E32" s="1592" t="s">
        <v>91</v>
      </c>
      <c r="F32" s="1590" t="s">
        <v>69</v>
      </c>
      <c r="G32" s="1593">
        <v>2008</v>
      </c>
      <c r="H32" s="1593">
        <v>2009</v>
      </c>
      <c r="I32" s="1594">
        <v>340</v>
      </c>
      <c r="J32" s="1595">
        <v>100</v>
      </c>
      <c r="K32" s="1595">
        <v>0</v>
      </c>
      <c r="L32" s="1596">
        <v>0</v>
      </c>
      <c r="M32" s="1597"/>
      <c r="N32" s="1596">
        <v>0</v>
      </c>
      <c r="O32" s="1598"/>
      <c r="P32" s="1537"/>
      <c r="Q32" s="1535"/>
      <c r="R32" s="1535"/>
      <c r="S32" s="1535"/>
    </row>
    <row r="33" spans="1:19" s="1599" customFormat="1" ht="16.5" customHeight="1">
      <c r="A33" s="1588">
        <v>22</v>
      </c>
      <c r="B33" s="1589">
        <v>600</v>
      </c>
      <c r="C33" s="1590">
        <v>60017</v>
      </c>
      <c r="D33" s="1591">
        <v>6050</v>
      </c>
      <c r="E33" s="1592" t="s">
        <v>92</v>
      </c>
      <c r="F33" s="1590" t="s">
        <v>86</v>
      </c>
      <c r="G33" s="1593">
        <v>2008</v>
      </c>
      <c r="H33" s="1593" t="s">
        <v>87</v>
      </c>
      <c r="I33" s="1594">
        <v>6500</v>
      </c>
      <c r="J33" s="1595">
        <v>200</v>
      </c>
      <c r="K33" s="1595">
        <v>200</v>
      </c>
      <c r="L33" s="1596">
        <v>1800</v>
      </c>
      <c r="M33" s="1597"/>
      <c r="N33" s="1596">
        <v>0</v>
      </c>
      <c r="O33" s="1598"/>
      <c r="P33" s="1537"/>
      <c r="Q33" s="1535"/>
      <c r="R33" s="1535"/>
      <c r="S33" s="1535"/>
    </row>
    <row r="34" ht="12.75" hidden="1">
      <c r="F34" s="1590" t="s">
        <v>86</v>
      </c>
    </row>
    <row r="35" spans="1:12" s="1602" customFormat="1" ht="51">
      <c r="A35" s="2397">
        <v>116</v>
      </c>
      <c r="B35" s="1703">
        <v>700</v>
      </c>
      <c r="C35" s="1703">
        <v>70001</v>
      </c>
      <c r="D35" s="1703">
        <v>6210</v>
      </c>
      <c r="E35" s="1668" t="s">
        <v>795</v>
      </c>
      <c r="F35" s="1590" t="s">
        <v>86</v>
      </c>
      <c r="G35" s="1703">
        <v>2009</v>
      </c>
      <c r="H35" s="1704">
        <v>2009</v>
      </c>
      <c r="I35" s="2396">
        <v>400</v>
      </c>
      <c r="J35" s="2396">
        <v>400</v>
      </c>
      <c r="K35" s="2396">
        <v>0</v>
      </c>
      <c r="L35" s="2395">
        <v>0</v>
      </c>
    </row>
    <row r="36" spans="1:18" s="1599" customFormat="1" ht="18" customHeight="1">
      <c r="A36" s="1588">
        <v>24</v>
      </c>
      <c r="B36" s="1600">
        <v>700</v>
      </c>
      <c r="C36" s="1590">
        <v>70095</v>
      </c>
      <c r="D36" s="1590">
        <v>6050</v>
      </c>
      <c r="E36" s="1618" t="s">
        <v>94</v>
      </c>
      <c r="F36" s="1590" t="s">
        <v>86</v>
      </c>
      <c r="G36" s="1593">
        <v>1996</v>
      </c>
      <c r="H36" s="1611" t="s">
        <v>87</v>
      </c>
      <c r="I36" s="1594">
        <v>45000</v>
      </c>
      <c r="J36" s="1595">
        <v>6650</v>
      </c>
      <c r="K36" s="1595">
        <v>4500</v>
      </c>
      <c r="L36" s="1596">
        <v>5200</v>
      </c>
      <c r="M36" s="1597"/>
      <c r="N36" s="1596">
        <v>0</v>
      </c>
      <c r="O36" s="1598"/>
      <c r="P36" s="1535"/>
      <c r="Q36" s="1535"/>
      <c r="R36" s="1535"/>
    </row>
    <row r="37" spans="1:18" s="1599" customFormat="1" ht="19.5" customHeight="1">
      <c r="A37" s="1588">
        <v>25</v>
      </c>
      <c r="B37" s="1600">
        <v>710</v>
      </c>
      <c r="C37" s="1590">
        <v>71035</v>
      </c>
      <c r="D37" s="1590">
        <v>6050</v>
      </c>
      <c r="E37" s="1610" t="s">
        <v>95</v>
      </c>
      <c r="F37" s="1616" t="s">
        <v>86</v>
      </c>
      <c r="G37" s="1611">
        <v>2000</v>
      </c>
      <c r="H37" s="1611" t="s">
        <v>87</v>
      </c>
      <c r="I37" s="1619">
        <v>7300</v>
      </c>
      <c r="J37" s="1620">
        <v>500</v>
      </c>
      <c r="K37" s="1620">
        <v>800</v>
      </c>
      <c r="L37" s="1621">
        <v>800</v>
      </c>
      <c r="M37" s="1622"/>
      <c r="N37" s="1596">
        <v>800</v>
      </c>
      <c r="O37" s="1598"/>
      <c r="P37" s="1535"/>
      <c r="Q37" s="1535"/>
      <c r="R37" s="1535"/>
    </row>
    <row r="38" spans="1:18" s="1599" customFormat="1" ht="19.5" customHeight="1">
      <c r="A38" s="1588">
        <v>26</v>
      </c>
      <c r="B38" s="1600">
        <v>750</v>
      </c>
      <c r="C38" s="1590">
        <v>75023</v>
      </c>
      <c r="D38" s="1590">
        <v>6050</v>
      </c>
      <c r="E38" s="1610" t="s">
        <v>426</v>
      </c>
      <c r="F38" s="1616" t="s">
        <v>96</v>
      </c>
      <c r="G38" s="1611">
        <v>2009</v>
      </c>
      <c r="H38" s="1611">
        <v>2009</v>
      </c>
      <c r="I38" s="1619">
        <f>SUM(J38:L38)</f>
        <v>1283.6</v>
      </c>
      <c r="J38" s="1620">
        <v>1283.6</v>
      </c>
      <c r="K38" s="1620">
        <v>0</v>
      </c>
      <c r="L38" s="1621">
        <v>0</v>
      </c>
      <c r="M38" s="1623"/>
      <c r="N38" s="1624"/>
      <c r="O38" s="1598"/>
      <c r="P38" s="1535"/>
      <c r="Q38" s="1535"/>
      <c r="R38" s="1535"/>
    </row>
    <row r="39" spans="1:18" s="1599" customFormat="1" ht="19.5" customHeight="1">
      <c r="A39" s="1588">
        <v>27</v>
      </c>
      <c r="B39" s="1600">
        <v>750</v>
      </c>
      <c r="C39" s="1590">
        <v>75411</v>
      </c>
      <c r="D39" s="1590">
        <v>6050</v>
      </c>
      <c r="E39" s="1625" t="s">
        <v>97</v>
      </c>
      <c r="F39" s="1626" t="s">
        <v>98</v>
      </c>
      <c r="G39" s="1627">
        <v>2007</v>
      </c>
      <c r="H39" s="1627">
        <v>2009</v>
      </c>
      <c r="I39" s="1628">
        <f>1142.2+50</f>
        <v>1192.2</v>
      </c>
      <c r="J39" s="1629">
        <v>50</v>
      </c>
      <c r="K39" s="1629">
        <v>0</v>
      </c>
      <c r="L39" s="1630">
        <v>0</v>
      </c>
      <c r="M39" s="1623"/>
      <c r="N39" s="1624"/>
      <c r="O39" s="1598"/>
      <c r="P39" s="1535"/>
      <c r="Q39" s="1535"/>
      <c r="R39" s="1535"/>
    </row>
    <row r="40" spans="1:18" s="1599" customFormat="1" ht="19.5" customHeight="1">
      <c r="A40" s="1588">
        <v>112</v>
      </c>
      <c r="B40" s="1600">
        <v>758</v>
      </c>
      <c r="C40" s="1590">
        <v>75818</v>
      </c>
      <c r="D40" s="1590">
        <v>6800</v>
      </c>
      <c r="E40" s="1625" t="s">
        <v>99</v>
      </c>
      <c r="F40" s="1626" t="s">
        <v>86</v>
      </c>
      <c r="G40" s="1627">
        <v>2009</v>
      </c>
      <c r="H40" s="1627">
        <v>2009</v>
      </c>
      <c r="I40" s="1628">
        <f>J40</f>
        <v>146.096</v>
      </c>
      <c r="J40" s="1629">
        <v>146.096</v>
      </c>
      <c r="K40" s="1629">
        <v>0</v>
      </c>
      <c r="L40" s="1630">
        <v>0</v>
      </c>
      <c r="M40" s="1623"/>
      <c r="N40" s="1624"/>
      <c r="O40" s="1598"/>
      <c r="P40" s="1535"/>
      <c r="Q40" s="1535"/>
      <c r="R40" s="1535"/>
    </row>
    <row r="41" spans="1:19" s="1599" customFormat="1" ht="28.5" customHeight="1">
      <c r="A41" s="1588">
        <v>28</v>
      </c>
      <c r="B41" s="1589">
        <v>900</v>
      </c>
      <c r="C41" s="1590">
        <v>90015</v>
      </c>
      <c r="D41" s="1590">
        <v>6050</v>
      </c>
      <c r="E41" s="1592" t="s">
        <v>100</v>
      </c>
      <c r="F41" s="1590" t="s">
        <v>69</v>
      </c>
      <c r="G41" s="1611" t="s">
        <v>79</v>
      </c>
      <c r="H41" s="1611" t="s">
        <v>79</v>
      </c>
      <c r="I41" s="1611" t="s">
        <v>79</v>
      </c>
      <c r="J41" s="1595">
        <v>140</v>
      </c>
      <c r="K41" s="1595">
        <v>200</v>
      </c>
      <c r="L41" s="1596">
        <v>200</v>
      </c>
      <c r="M41" s="1597"/>
      <c r="N41" s="1596">
        <v>100</v>
      </c>
      <c r="O41" s="1598"/>
      <c r="P41" s="1537"/>
      <c r="Q41" s="1535"/>
      <c r="R41" s="1535"/>
      <c r="S41" s="1535"/>
    </row>
    <row r="42" spans="1:19" s="1599" customFormat="1" ht="22.5" customHeight="1">
      <c r="A42" s="1588">
        <v>29</v>
      </c>
      <c r="B42" s="1589">
        <v>900</v>
      </c>
      <c r="C42" s="1590">
        <v>90015</v>
      </c>
      <c r="D42" s="1590">
        <v>6050</v>
      </c>
      <c r="E42" s="1592" t="s">
        <v>101</v>
      </c>
      <c r="F42" s="1590" t="s">
        <v>69</v>
      </c>
      <c r="G42" s="1611" t="s">
        <v>79</v>
      </c>
      <c r="H42" s="1611" t="s">
        <v>79</v>
      </c>
      <c r="I42" s="1611" t="s">
        <v>79</v>
      </c>
      <c r="J42" s="1595">
        <v>140</v>
      </c>
      <c r="K42" s="1595">
        <v>140</v>
      </c>
      <c r="L42" s="1596">
        <v>140</v>
      </c>
      <c r="M42" s="1597"/>
      <c r="N42" s="1596">
        <v>100</v>
      </c>
      <c r="O42" s="1598"/>
      <c r="P42" s="1537"/>
      <c r="Q42" s="1535"/>
      <c r="R42" s="1535"/>
      <c r="S42" s="1535"/>
    </row>
    <row r="43" spans="1:18" s="1599" customFormat="1" ht="18" customHeight="1">
      <c r="A43" s="1588">
        <v>30</v>
      </c>
      <c r="B43" s="1589">
        <v>900</v>
      </c>
      <c r="C43" s="1590">
        <v>90095</v>
      </c>
      <c r="D43" s="1590">
        <v>6050</v>
      </c>
      <c r="E43" s="1610" t="s">
        <v>102</v>
      </c>
      <c r="F43" s="1616" t="s">
        <v>86</v>
      </c>
      <c r="G43" s="1611">
        <v>2008</v>
      </c>
      <c r="H43" s="1611" t="s">
        <v>87</v>
      </c>
      <c r="I43" s="1619">
        <v>600</v>
      </c>
      <c r="J43" s="1620">
        <v>66</v>
      </c>
      <c r="K43" s="1620">
        <v>200</v>
      </c>
      <c r="L43" s="1621">
        <v>200</v>
      </c>
      <c r="M43" s="1622"/>
      <c r="N43" s="1631">
        <v>100</v>
      </c>
      <c r="O43" s="1632"/>
      <c r="P43" s="1535"/>
      <c r="Q43" s="1535"/>
      <c r="R43" s="1535"/>
    </row>
    <row r="44" spans="1:18" s="1599" customFormat="1" ht="18" customHeight="1">
      <c r="A44" s="1588">
        <v>31</v>
      </c>
      <c r="B44" s="1589">
        <v>900</v>
      </c>
      <c r="C44" s="1590">
        <v>90095</v>
      </c>
      <c r="D44" s="1590">
        <v>6050</v>
      </c>
      <c r="E44" s="1610" t="s">
        <v>103</v>
      </c>
      <c r="F44" s="1616" t="s">
        <v>86</v>
      </c>
      <c r="G44" s="1611">
        <v>2005</v>
      </c>
      <c r="H44" s="1611">
        <v>2009</v>
      </c>
      <c r="I44" s="1619">
        <v>2000</v>
      </c>
      <c r="J44" s="1620">
        <v>1453.9</v>
      </c>
      <c r="K44" s="1620">
        <v>0</v>
      </c>
      <c r="L44" s="1621">
        <v>0</v>
      </c>
      <c r="M44" s="1622"/>
      <c r="N44" s="1631"/>
      <c r="O44" s="1632"/>
      <c r="P44" s="1535"/>
      <c r="Q44" s="1535"/>
      <c r="R44" s="1535"/>
    </row>
    <row r="45" spans="1:18" s="1634" customFormat="1" ht="18.75" customHeight="1">
      <c r="A45" s="1588">
        <v>32</v>
      </c>
      <c r="B45" s="1600">
        <v>900</v>
      </c>
      <c r="C45" s="1590">
        <v>90095</v>
      </c>
      <c r="D45" s="1590">
        <v>6050</v>
      </c>
      <c r="E45" s="1633" t="s">
        <v>104</v>
      </c>
      <c r="F45" s="1616" t="s">
        <v>86</v>
      </c>
      <c r="G45" s="1611">
        <v>1995</v>
      </c>
      <c r="H45" s="1611" t="s">
        <v>87</v>
      </c>
      <c r="I45" s="1619">
        <v>2940</v>
      </c>
      <c r="J45" s="1620">
        <v>60</v>
      </c>
      <c r="K45" s="1620">
        <v>100</v>
      </c>
      <c r="L45" s="1621">
        <v>100</v>
      </c>
      <c r="M45" s="1622"/>
      <c r="N45" s="1596">
        <v>200</v>
      </c>
      <c r="O45" s="1598"/>
      <c r="P45" s="1537"/>
      <c r="Q45" s="1537"/>
      <c r="R45" s="1537"/>
    </row>
    <row r="46" spans="1:18" s="1634" customFormat="1" ht="17.25" customHeight="1">
      <c r="A46" s="1588">
        <v>33</v>
      </c>
      <c r="B46" s="1600">
        <v>900</v>
      </c>
      <c r="C46" s="1590">
        <v>90095</v>
      </c>
      <c r="D46" s="1590">
        <v>6050</v>
      </c>
      <c r="E46" s="1610" t="s">
        <v>105</v>
      </c>
      <c r="F46" s="1616" t="s">
        <v>86</v>
      </c>
      <c r="G46" s="1611" t="s">
        <v>79</v>
      </c>
      <c r="H46" s="1611" t="s">
        <v>79</v>
      </c>
      <c r="I46" s="1611" t="s">
        <v>79</v>
      </c>
      <c r="J46" s="1620">
        <v>100</v>
      </c>
      <c r="K46" s="1620">
        <v>300</v>
      </c>
      <c r="L46" s="1621">
        <v>300</v>
      </c>
      <c r="M46" s="1622"/>
      <c r="N46" s="1596">
        <v>200</v>
      </c>
      <c r="O46" s="1598"/>
      <c r="P46" s="1540"/>
      <c r="Q46" s="1537"/>
      <c r="R46" s="1537"/>
    </row>
    <row r="47" spans="1:18" s="1634" customFormat="1" ht="18" customHeight="1">
      <c r="A47" s="1588">
        <v>34</v>
      </c>
      <c r="B47" s="1600">
        <v>900</v>
      </c>
      <c r="C47" s="1590">
        <v>90095</v>
      </c>
      <c r="D47" s="1590">
        <v>6050</v>
      </c>
      <c r="E47" s="1610" t="s">
        <v>106</v>
      </c>
      <c r="F47" s="1616" t="s">
        <v>86</v>
      </c>
      <c r="G47" s="1611" t="s">
        <v>79</v>
      </c>
      <c r="H47" s="1611" t="s">
        <v>79</v>
      </c>
      <c r="I47" s="1611" t="s">
        <v>79</v>
      </c>
      <c r="J47" s="1620">
        <v>100</v>
      </c>
      <c r="K47" s="1620">
        <v>400</v>
      </c>
      <c r="L47" s="1621">
        <v>200</v>
      </c>
      <c r="M47" s="1622"/>
      <c r="N47" s="1596">
        <v>200</v>
      </c>
      <c r="O47" s="1598"/>
      <c r="P47" s="1598"/>
      <c r="Q47" s="1598"/>
      <c r="R47" s="1537"/>
    </row>
    <row r="48" spans="1:18" s="1599" customFormat="1" ht="17.25" customHeight="1">
      <c r="A48" s="1588">
        <v>35</v>
      </c>
      <c r="B48" s="1590">
        <v>921</v>
      </c>
      <c r="C48" s="1590">
        <v>92106</v>
      </c>
      <c r="D48" s="1591">
        <v>6050</v>
      </c>
      <c r="E48" s="1592" t="s">
        <v>107</v>
      </c>
      <c r="F48" s="1590" t="s">
        <v>108</v>
      </c>
      <c r="G48" s="1635">
        <v>2004</v>
      </c>
      <c r="H48" s="1636">
        <v>2010</v>
      </c>
      <c r="I48" s="1637">
        <f>10502-500</f>
        <v>10002</v>
      </c>
      <c r="J48" s="1638">
        <v>1100</v>
      </c>
      <c r="K48" s="1638">
        <v>500</v>
      </c>
      <c r="L48" s="1639">
        <v>0</v>
      </c>
      <c r="M48" s="1640"/>
      <c r="N48" s="1624"/>
      <c r="O48" s="1598"/>
      <c r="P48" s="1641"/>
      <c r="Q48" s="1535"/>
      <c r="R48" s="1535"/>
    </row>
    <row r="49" spans="1:18" s="1599" customFormat="1" ht="18" customHeight="1">
      <c r="A49" s="1588">
        <v>106</v>
      </c>
      <c r="B49" s="1589">
        <v>926</v>
      </c>
      <c r="C49" s="1590">
        <v>92601</v>
      </c>
      <c r="D49" s="1590">
        <v>6050</v>
      </c>
      <c r="E49" s="1618" t="s">
        <v>748</v>
      </c>
      <c r="F49" s="1590" t="s">
        <v>108</v>
      </c>
      <c r="G49" s="1611">
        <v>2009</v>
      </c>
      <c r="H49" s="1611">
        <v>2009</v>
      </c>
      <c r="I49" s="1619">
        <v>160</v>
      </c>
      <c r="J49" s="1620">
        <v>160</v>
      </c>
      <c r="K49" s="1620">
        <v>0</v>
      </c>
      <c r="L49" s="1621">
        <v>0</v>
      </c>
      <c r="M49" s="1622"/>
      <c r="N49" s="1596"/>
      <c r="O49" s="1598"/>
      <c r="P49" s="1535"/>
      <c r="Q49" s="1535"/>
      <c r="R49" s="1535"/>
    </row>
    <row r="50" spans="1:18" s="1599" customFormat="1" ht="18" customHeight="1">
      <c r="A50" s="1588">
        <v>107</v>
      </c>
      <c r="B50" s="1702">
        <v>926</v>
      </c>
      <c r="C50" s="1703">
        <v>92601</v>
      </c>
      <c r="D50" s="1703">
        <v>6050</v>
      </c>
      <c r="E50" s="1704" t="s">
        <v>749</v>
      </c>
      <c r="F50" s="1703" t="s">
        <v>108</v>
      </c>
      <c r="G50" s="1611">
        <v>2009</v>
      </c>
      <c r="H50" s="1611">
        <v>2009</v>
      </c>
      <c r="I50" s="1619">
        <v>350</v>
      </c>
      <c r="J50" s="1620">
        <v>350</v>
      </c>
      <c r="K50" s="1620">
        <v>0</v>
      </c>
      <c r="L50" s="1621">
        <v>0</v>
      </c>
      <c r="M50" s="1622"/>
      <c r="N50" s="1596"/>
      <c r="O50" s="1598"/>
      <c r="P50" s="1535"/>
      <c r="Q50" s="1535"/>
      <c r="R50" s="1535"/>
    </row>
    <row r="51" spans="1:18" s="1599" customFormat="1" ht="19.5" customHeight="1">
      <c r="A51" s="1588">
        <v>36</v>
      </c>
      <c r="B51" s="1600">
        <v>926</v>
      </c>
      <c r="C51" s="1590">
        <v>92601</v>
      </c>
      <c r="D51" s="1590">
        <v>6050</v>
      </c>
      <c r="E51" s="1610" t="s">
        <v>109</v>
      </c>
      <c r="F51" s="1616" t="s">
        <v>108</v>
      </c>
      <c r="G51" s="1611">
        <v>2005</v>
      </c>
      <c r="H51" s="1611">
        <v>2009</v>
      </c>
      <c r="I51" s="1619">
        <v>13373.8</v>
      </c>
      <c r="J51" s="1620">
        <v>300</v>
      </c>
      <c r="K51" s="1620">
        <v>0</v>
      </c>
      <c r="L51" s="1621">
        <v>0</v>
      </c>
      <c r="M51" s="1622"/>
      <c r="N51" s="1596">
        <v>0</v>
      </c>
      <c r="O51" s="1598"/>
      <c r="P51" s="1535"/>
      <c r="Q51" s="1535"/>
      <c r="R51" s="1535"/>
    </row>
    <row r="52" spans="1:19" s="1634" customFormat="1" ht="22.5" customHeight="1" hidden="1">
      <c r="A52" s="1588"/>
      <c r="B52" s="1600"/>
      <c r="C52" s="1590"/>
      <c r="D52" s="1590"/>
      <c r="E52" s="1610"/>
      <c r="F52" s="1616"/>
      <c r="G52" s="1611"/>
      <c r="H52" s="1611"/>
      <c r="I52" s="1619"/>
      <c r="J52" s="1620"/>
      <c r="K52" s="1620"/>
      <c r="L52" s="1621"/>
      <c r="M52" s="1622"/>
      <c r="N52" s="1596"/>
      <c r="O52" s="1598"/>
      <c r="P52" s="1537"/>
      <c r="Q52" s="1537"/>
      <c r="R52" s="1537"/>
      <c r="S52" s="1537"/>
    </row>
    <row r="53" spans="1:19" s="1634" customFormat="1" ht="22.5" customHeight="1" hidden="1">
      <c r="A53" s="1588"/>
      <c r="B53" s="1600"/>
      <c r="C53" s="1590"/>
      <c r="D53" s="1590"/>
      <c r="E53" s="1610"/>
      <c r="F53" s="1616"/>
      <c r="G53" s="1611"/>
      <c r="H53" s="1611"/>
      <c r="I53" s="1619"/>
      <c r="J53" s="1620"/>
      <c r="K53" s="1620"/>
      <c r="L53" s="1621"/>
      <c r="M53" s="1622"/>
      <c r="N53" s="1596"/>
      <c r="O53" s="1598"/>
      <c r="P53" s="1540"/>
      <c r="Q53" s="1537"/>
      <c r="R53" s="1537"/>
      <c r="S53" s="1537"/>
    </row>
    <row r="54" spans="1:19" s="1634" customFormat="1" ht="22.5" customHeight="1" hidden="1">
      <c r="A54" s="1588"/>
      <c r="B54" s="1600"/>
      <c r="C54" s="1590"/>
      <c r="D54" s="1591"/>
      <c r="E54" s="1633"/>
      <c r="F54" s="1616"/>
      <c r="G54" s="1611"/>
      <c r="H54" s="1611"/>
      <c r="I54" s="1619"/>
      <c r="J54" s="1620"/>
      <c r="K54" s="1620"/>
      <c r="L54" s="1621"/>
      <c r="M54" s="1622"/>
      <c r="N54" s="1596"/>
      <c r="O54" s="1598"/>
      <c r="P54" s="1537"/>
      <c r="Q54" s="1537"/>
      <c r="R54" s="1537"/>
      <c r="S54" s="1537"/>
    </row>
    <row r="55" spans="1:19" s="1634" customFormat="1" ht="27" customHeight="1" hidden="1">
      <c r="A55" s="1588"/>
      <c r="B55" s="1600"/>
      <c r="C55" s="1590"/>
      <c r="D55" s="1591"/>
      <c r="E55" s="1633"/>
      <c r="F55" s="1616"/>
      <c r="G55" s="1611"/>
      <c r="H55" s="1611"/>
      <c r="I55" s="1619"/>
      <c r="J55" s="1620"/>
      <c r="K55" s="1620"/>
      <c r="L55" s="1621"/>
      <c r="M55" s="1622"/>
      <c r="N55" s="1596"/>
      <c r="O55" s="1598"/>
      <c r="P55" s="1537"/>
      <c r="Q55" s="1537"/>
      <c r="R55" s="1537"/>
      <c r="S55" s="1537"/>
    </row>
    <row r="56" spans="1:19" ht="12.75" hidden="1">
      <c r="A56" s="1642"/>
      <c r="J56" s="1643"/>
      <c r="K56" s="1643"/>
      <c r="L56" s="1644"/>
      <c r="M56" s="1645"/>
      <c r="N56" s="1624"/>
      <c r="O56" s="1598"/>
      <c r="S56" s="1537"/>
    </row>
    <row r="57" spans="1:19" s="1599" customFormat="1" ht="12.75" hidden="1">
      <c r="A57" s="1588"/>
      <c r="B57" s="1600"/>
      <c r="C57" s="1590"/>
      <c r="D57" s="1646"/>
      <c r="E57" s="1592"/>
      <c r="F57" s="1590"/>
      <c r="G57" s="1593"/>
      <c r="H57" s="1611"/>
      <c r="I57" s="1594"/>
      <c r="J57" s="1595"/>
      <c r="K57" s="1595"/>
      <c r="L57" s="1596"/>
      <c r="M57" s="1597"/>
      <c r="N57" s="1596"/>
      <c r="O57" s="1598"/>
      <c r="P57" s="1535"/>
      <c r="Q57" s="1535"/>
      <c r="R57" s="1535"/>
      <c r="S57" s="1535"/>
    </row>
    <row r="58" spans="1:19" s="1599" customFormat="1" ht="19.5" customHeight="1" hidden="1">
      <c r="A58" s="1588"/>
      <c r="B58" s="1600"/>
      <c r="C58" s="1590"/>
      <c r="D58" s="1646"/>
      <c r="E58" s="1592"/>
      <c r="F58" s="1590"/>
      <c r="G58" s="1593"/>
      <c r="H58" s="1611"/>
      <c r="I58" s="1594"/>
      <c r="J58" s="1595"/>
      <c r="K58" s="1595"/>
      <c r="L58" s="1596"/>
      <c r="M58" s="1597"/>
      <c r="N58" s="1596"/>
      <c r="O58" s="1598"/>
      <c r="P58" s="1535"/>
      <c r="Q58" s="1535"/>
      <c r="R58" s="1535"/>
      <c r="S58" s="1535"/>
    </row>
    <row r="59" spans="1:19" s="1599" customFormat="1" ht="26.25" customHeight="1" hidden="1">
      <c r="A59" s="1588"/>
      <c r="B59" s="1600"/>
      <c r="C59" s="1590"/>
      <c r="D59" s="1590"/>
      <c r="E59" s="1633"/>
      <c r="F59" s="1616"/>
      <c r="G59" s="1611"/>
      <c r="H59" s="1611"/>
      <c r="I59" s="1619"/>
      <c r="J59" s="1620"/>
      <c r="K59" s="1620"/>
      <c r="L59" s="1621"/>
      <c r="M59" s="1622"/>
      <c r="N59" s="1596"/>
      <c r="O59" s="1598"/>
      <c r="P59" s="1641"/>
      <c r="Q59" s="1535"/>
      <c r="R59" s="1535"/>
      <c r="S59" s="1535"/>
    </row>
    <row r="60" spans="1:19" s="1599" customFormat="1" ht="23.25" customHeight="1" hidden="1">
      <c r="A60" s="1588"/>
      <c r="B60" s="1600"/>
      <c r="C60" s="1590"/>
      <c r="D60" s="1590"/>
      <c r="E60" s="1610"/>
      <c r="F60" s="1616"/>
      <c r="G60" s="1611"/>
      <c r="H60" s="1611"/>
      <c r="I60" s="1619"/>
      <c r="J60" s="1620"/>
      <c r="K60" s="1620"/>
      <c r="L60" s="1621"/>
      <c r="M60" s="1622"/>
      <c r="N60" s="1596"/>
      <c r="O60" s="1598"/>
      <c r="P60" s="1641"/>
      <c r="Q60" s="1535"/>
      <c r="R60" s="1535"/>
      <c r="S60" s="1535"/>
    </row>
    <row r="61" spans="1:19" s="1599" customFormat="1" ht="41.25" customHeight="1" hidden="1">
      <c r="A61" s="2624"/>
      <c r="B61" s="2627"/>
      <c r="C61" s="2630"/>
      <c r="D61" s="1591"/>
      <c r="E61" s="2633"/>
      <c r="F61" s="2636"/>
      <c r="G61" s="2637"/>
      <c r="H61" s="2638"/>
      <c r="I61" s="2641"/>
      <c r="J61" s="1620"/>
      <c r="K61" s="2613"/>
      <c r="L61" s="1647"/>
      <c r="M61" s="1648"/>
      <c r="N61" s="2616"/>
      <c r="O61" s="1598"/>
      <c r="P61" s="1641"/>
      <c r="Q61" s="1535"/>
      <c r="R61" s="1535"/>
      <c r="S61" s="1535"/>
    </row>
    <row r="62" spans="1:19" s="1599" customFormat="1" ht="25.5" customHeight="1" hidden="1">
      <c r="A62" s="2625"/>
      <c r="B62" s="2628"/>
      <c r="C62" s="2631"/>
      <c r="D62" s="1591"/>
      <c r="E62" s="2634"/>
      <c r="F62" s="2631"/>
      <c r="G62" s="2631"/>
      <c r="H62" s="2639"/>
      <c r="I62" s="2642"/>
      <c r="J62" s="1620"/>
      <c r="K62" s="2614"/>
      <c r="L62" s="1650"/>
      <c r="M62" s="1623"/>
      <c r="N62" s="2617"/>
      <c r="O62" s="1598"/>
      <c r="P62" s="1535"/>
      <c r="Q62" s="1535"/>
      <c r="R62" s="1535"/>
      <c r="S62" s="1535"/>
    </row>
    <row r="63" spans="1:19" s="1599" customFormat="1" ht="25.5" customHeight="1" hidden="1">
      <c r="A63" s="2626"/>
      <c r="B63" s="2629"/>
      <c r="C63" s="2632"/>
      <c r="D63" s="1591"/>
      <c r="E63" s="2635"/>
      <c r="F63" s="2632"/>
      <c r="G63" s="2632"/>
      <c r="H63" s="2640"/>
      <c r="I63" s="2643"/>
      <c r="J63" s="1620"/>
      <c r="K63" s="2615"/>
      <c r="L63" s="1651"/>
      <c r="M63" s="1652"/>
      <c r="N63" s="2618"/>
      <c r="O63" s="1598"/>
      <c r="P63" s="1535"/>
      <c r="Q63" s="1535"/>
      <c r="R63" s="1535"/>
      <c r="S63" s="1535"/>
    </row>
    <row r="64" spans="1:17" s="1660" customFormat="1" ht="23.25" customHeight="1">
      <c r="A64" s="1576" t="s">
        <v>321</v>
      </c>
      <c r="B64" s="1653"/>
      <c r="C64" s="1653"/>
      <c r="D64" s="1577"/>
      <c r="E64" s="1578" t="s">
        <v>110</v>
      </c>
      <c r="F64" s="1578"/>
      <c r="G64" s="1654"/>
      <c r="H64" s="1654"/>
      <c r="I64" s="1655"/>
      <c r="J64" s="1656">
        <f>SUM(J69:J121)</f>
        <v>12308.102000000004</v>
      </c>
      <c r="K64" s="1656">
        <f>SUM(K69:K121)</f>
        <v>17880</v>
      </c>
      <c r="L64" s="1657">
        <f>SUM(L69:L121)</f>
        <v>14100</v>
      </c>
      <c r="M64" s="1658"/>
      <c r="N64" s="1657" t="e">
        <f>SUM(N78:N158)</f>
        <v>#REF!</v>
      </c>
      <c r="O64" s="1659"/>
      <c r="P64" s="1659"/>
      <c r="Q64" s="1659"/>
    </row>
    <row r="65" spans="1:16" s="1660" customFormat="1" ht="24.75" customHeight="1" hidden="1">
      <c r="A65" s="1661"/>
      <c r="B65" s="1653"/>
      <c r="C65" s="1653"/>
      <c r="D65" s="1662"/>
      <c r="E65" s="1663"/>
      <c r="F65" s="1578"/>
      <c r="G65" s="1654"/>
      <c r="H65" s="1654"/>
      <c r="I65" s="1655"/>
      <c r="J65" s="1656"/>
      <c r="K65" s="1656"/>
      <c r="L65" s="1657"/>
      <c r="M65" s="1664"/>
      <c r="N65" s="1665"/>
      <c r="O65" s="1659"/>
      <c r="P65" s="1666"/>
    </row>
    <row r="66" spans="1:16" s="1660" customFormat="1" ht="24.75" customHeight="1" hidden="1">
      <c r="A66" s="1661"/>
      <c r="B66" s="1653"/>
      <c r="C66" s="1653"/>
      <c r="D66" s="1662"/>
      <c r="E66" s="1663"/>
      <c r="F66" s="1578"/>
      <c r="G66" s="1654"/>
      <c r="H66" s="1654"/>
      <c r="I66" s="1655"/>
      <c r="J66" s="1656"/>
      <c r="K66" s="1656"/>
      <c r="L66" s="1657"/>
      <c r="M66" s="1664"/>
      <c r="N66" s="1665"/>
      <c r="O66" s="1659"/>
      <c r="P66" s="1666"/>
    </row>
    <row r="67" spans="1:16" s="1660" customFormat="1" ht="24.75" customHeight="1" hidden="1">
      <c r="A67" s="1661"/>
      <c r="B67" s="1653"/>
      <c r="C67" s="1653"/>
      <c r="D67" s="1662"/>
      <c r="E67" s="1663"/>
      <c r="F67" s="1578"/>
      <c r="G67" s="1654"/>
      <c r="H67" s="1654"/>
      <c r="I67" s="1655"/>
      <c r="J67" s="1656"/>
      <c r="K67" s="1656"/>
      <c r="L67" s="1657"/>
      <c r="M67" s="1664"/>
      <c r="N67" s="1665"/>
      <c r="O67" s="1659"/>
      <c r="P67" s="1666"/>
    </row>
    <row r="68" spans="1:16" s="1660" customFormat="1" ht="24.75" customHeight="1" hidden="1">
      <c r="A68" s="1661"/>
      <c r="B68" s="1653"/>
      <c r="C68" s="1653"/>
      <c r="D68" s="1662"/>
      <c r="E68" s="1663"/>
      <c r="F68" s="1578"/>
      <c r="G68" s="1654"/>
      <c r="H68" s="1654"/>
      <c r="I68" s="1655"/>
      <c r="J68" s="1656"/>
      <c r="K68" s="1656"/>
      <c r="L68" s="1657"/>
      <c r="M68" s="1664"/>
      <c r="N68" s="1665"/>
      <c r="O68" s="1659"/>
      <c r="P68" s="1666"/>
    </row>
    <row r="69" spans="1:12" s="1614" customFormat="1" ht="25.5">
      <c r="A69" s="1588">
        <v>37</v>
      </c>
      <c r="B69" s="1589">
        <v>500</v>
      </c>
      <c r="C69" s="1590">
        <v>50095</v>
      </c>
      <c r="D69" s="1591">
        <v>605</v>
      </c>
      <c r="E69" s="1592" t="s">
        <v>111</v>
      </c>
      <c r="F69" s="1590" t="s">
        <v>86</v>
      </c>
      <c r="G69" s="1590">
        <v>2009</v>
      </c>
      <c r="H69" s="1590">
        <v>2010</v>
      </c>
      <c r="I69" s="1594">
        <v>220</v>
      </c>
      <c r="J69" s="1594">
        <v>20</v>
      </c>
      <c r="K69" s="1594">
        <v>200</v>
      </c>
      <c r="L69" s="1605">
        <v>0</v>
      </c>
    </row>
    <row r="70" spans="1:19" s="1587" customFormat="1" ht="25.5" customHeight="1">
      <c r="A70" s="1588">
        <v>38</v>
      </c>
      <c r="B70" s="1589">
        <v>600</v>
      </c>
      <c r="C70" s="1590">
        <v>60015</v>
      </c>
      <c r="D70" s="1591">
        <v>6050</v>
      </c>
      <c r="E70" s="1592" t="s">
        <v>112</v>
      </c>
      <c r="F70" s="1590" t="s">
        <v>69</v>
      </c>
      <c r="G70" s="1603">
        <v>2007</v>
      </c>
      <c r="H70" s="1604" t="s">
        <v>113</v>
      </c>
      <c r="I70" s="1594">
        <v>5991.8</v>
      </c>
      <c r="J70" s="1595">
        <v>0</v>
      </c>
      <c r="K70" s="1595">
        <v>3500</v>
      </c>
      <c r="L70" s="1596">
        <v>0</v>
      </c>
      <c r="M70" s="1597"/>
      <c r="N70" s="1596">
        <v>0</v>
      </c>
      <c r="O70" s="1598"/>
      <c r="P70" s="1667"/>
      <c r="Q70" s="1586"/>
      <c r="R70" s="1586"/>
      <c r="S70" s="1586"/>
    </row>
    <row r="71" spans="1:19" s="1587" customFormat="1" ht="18" customHeight="1">
      <c r="A71" s="1588">
        <v>39</v>
      </c>
      <c r="B71" s="1589">
        <v>600</v>
      </c>
      <c r="C71" s="1590">
        <v>60015</v>
      </c>
      <c r="D71" s="1590">
        <v>6050</v>
      </c>
      <c r="E71" s="1601" t="s">
        <v>114</v>
      </c>
      <c r="F71" s="1590" t="s">
        <v>69</v>
      </c>
      <c r="G71" s="1603">
        <v>2007</v>
      </c>
      <c r="H71" s="1604" t="s">
        <v>75</v>
      </c>
      <c r="I71" s="1594">
        <v>2359</v>
      </c>
      <c r="J71" s="1595">
        <v>0</v>
      </c>
      <c r="K71" s="1595">
        <v>250</v>
      </c>
      <c r="L71" s="1596">
        <v>2000</v>
      </c>
      <c r="M71" s="1597"/>
      <c r="N71" s="1596">
        <v>0</v>
      </c>
      <c r="O71" s="1598"/>
      <c r="P71" s="1586"/>
      <c r="Q71" s="1586"/>
      <c r="R71" s="1586"/>
      <c r="S71" s="1586"/>
    </row>
    <row r="72" ht="12.75" hidden="1"/>
    <row r="73" spans="1:19" s="1587" customFormat="1" ht="18" customHeight="1">
      <c r="A73" s="1588">
        <v>117</v>
      </c>
      <c r="B73" s="1589">
        <v>600</v>
      </c>
      <c r="C73" s="1590">
        <v>60015</v>
      </c>
      <c r="D73" s="1590">
        <v>6050</v>
      </c>
      <c r="E73" s="1601" t="s">
        <v>800</v>
      </c>
      <c r="F73" s="1590" t="s">
        <v>69</v>
      </c>
      <c r="G73" s="1603">
        <v>2009</v>
      </c>
      <c r="H73" s="1604" t="s">
        <v>73</v>
      </c>
      <c r="I73" s="1594">
        <v>10</v>
      </c>
      <c r="J73" s="1595">
        <v>10</v>
      </c>
      <c r="K73" s="1595">
        <v>0</v>
      </c>
      <c r="L73" s="1596">
        <v>0</v>
      </c>
      <c r="M73" s="1597"/>
      <c r="N73" s="1596">
        <v>0</v>
      </c>
      <c r="O73" s="1598"/>
      <c r="P73" s="1586"/>
      <c r="Q73" s="1586"/>
      <c r="R73" s="1586"/>
      <c r="S73" s="1586"/>
    </row>
    <row r="74" spans="1:19" s="1587" customFormat="1" ht="18" customHeight="1">
      <c r="A74" s="1588">
        <v>118</v>
      </c>
      <c r="B74" s="1589">
        <v>600</v>
      </c>
      <c r="C74" s="1590">
        <v>60015</v>
      </c>
      <c r="D74" s="1590">
        <v>6050</v>
      </c>
      <c r="E74" s="1601" t="s">
        <v>801</v>
      </c>
      <c r="F74" s="1590" t="s">
        <v>69</v>
      </c>
      <c r="G74" s="1603">
        <v>2009</v>
      </c>
      <c r="H74" s="1604" t="s">
        <v>73</v>
      </c>
      <c r="I74" s="1594">
        <v>100</v>
      </c>
      <c r="J74" s="1595">
        <v>100</v>
      </c>
      <c r="K74" s="1595">
        <v>0</v>
      </c>
      <c r="L74" s="1596">
        <v>0</v>
      </c>
      <c r="M74" s="1597"/>
      <c r="N74" s="1596">
        <v>0</v>
      </c>
      <c r="O74" s="1598"/>
      <c r="P74" s="1586"/>
      <c r="Q74" s="1586"/>
      <c r="R74" s="1586"/>
      <c r="S74" s="1586"/>
    </row>
    <row r="75" spans="1:19" s="1587" customFormat="1" ht="25.5">
      <c r="A75" s="1588">
        <v>40</v>
      </c>
      <c r="B75" s="1589">
        <v>600</v>
      </c>
      <c r="C75" s="1590">
        <v>60015</v>
      </c>
      <c r="D75" s="1590">
        <v>6050</v>
      </c>
      <c r="E75" s="1601" t="s">
        <v>115</v>
      </c>
      <c r="F75" s="1590" t="s">
        <v>69</v>
      </c>
      <c r="G75" s="1603">
        <v>2007</v>
      </c>
      <c r="H75" s="1604" t="s">
        <v>116</v>
      </c>
      <c r="I75" s="1594">
        <v>2246</v>
      </c>
      <c r="J75" s="1595">
        <v>0</v>
      </c>
      <c r="K75" s="1595">
        <v>220</v>
      </c>
      <c r="L75" s="1596">
        <v>1000</v>
      </c>
      <c r="M75" s="1597"/>
      <c r="N75" s="1596">
        <v>0</v>
      </c>
      <c r="O75" s="1598"/>
      <c r="P75" s="1586"/>
      <c r="Q75" s="1586"/>
      <c r="R75" s="1586"/>
      <c r="S75" s="1586"/>
    </row>
    <row r="76" spans="1:15" s="1602" customFormat="1" ht="38.25">
      <c r="A76" s="1588">
        <v>41</v>
      </c>
      <c r="B76" s="1600">
        <v>600</v>
      </c>
      <c r="C76" s="1590">
        <v>60015</v>
      </c>
      <c r="D76" s="1591">
        <v>6050</v>
      </c>
      <c r="E76" s="1601" t="s">
        <v>117</v>
      </c>
      <c r="F76" s="1590" t="s">
        <v>69</v>
      </c>
      <c r="G76" s="1593">
        <v>2006</v>
      </c>
      <c r="H76" s="1593">
        <v>2011</v>
      </c>
      <c r="I76" s="1594">
        <v>1500</v>
      </c>
      <c r="J76" s="1595">
        <v>0</v>
      </c>
      <c r="K76" s="1595">
        <v>500</v>
      </c>
      <c r="L76" s="1596">
        <v>700</v>
      </c>
      <c r="M76" s="1597"/>
      <c r="N76" s="1596">
        <v>0</v>
      </c>
      <c r="O76" s="1598"/>
    </row>
    <row r="77" spans="1:15" s="1602" customFormat="1" ht="18.75" customHeight="1">
      <c r="A77" s="1588">
        <v>42</v>
      </c>
      <c r="B77" s="1600">
        <v>600</v>
      </c>
      <c r="C77" s="1590">
        <v>60015</v>
      </c>
      <c r="D77" s="1591">
        <v>6050</v>
      </c>
      <c r="E77" s="1601" t="s">
        <v>118</v>
      </c>
      <c r="F77" s="1590" t="s">
        <v>69</v>
      </c>
      <c r="G77" s="1593">
        <v>2008</v>
      </c>
      <c r="H77" s="1593">
        <v>2010</v>
      </c>
      <c r="I77" s="1594">
        <v>310</v>
      </c>
      <c r="J77" s="1595">
        <v>0</v>
      </c>
      <c r="K77" s="1595">
        <v>300</v>
      </c>
      <c r="L77" s="1596">
        <v>0</v>
      </c>
      <c r="M77" s="1597"/>
      <c r="N77" s="1596">
        <v>0</v>
      </c>
      <c r="O77" s="1598"/>
    </row>
    <row r="78" spans="1:12" s="1614" customFormat="1" ht="25.5">
      <c r="A78" s="1588">
        <v>43</v>
      </c>
      <c r="B78" s="1589">
        <v>600</v>
      </c>
      <c r="C78" s="1590">
        <v>60015</v>
      </c>
      <c r="D78" s="1591">
        <v>6050</v>
      </c>
      <c r="E78" s="1668" t="s">
        <v>119</v>
      </c>
      <c r="F78" s="1590" t="s">
        <v>69</v>
      </c>
      <c r="G78" s="1590">
        <v>2010</v>
      </c>
      <c r="H78" s="1590">
        <v>2013</v>
      </c>
      <c r="I78" s="1594">
        <v>4000</v>
      </c>
      <c r="J78" s="1594">
        <v>400</v>
      </c>
      <c r="K78" s="1594">
        <v>500</v>
      </c>
      <c r="L78" s="1605">
        <v>2000</v>
      </c>
    </row>
    <row r="79" spans="1:15" s="1602" customFormat="1" ht="18" customHeight="1">
      <c r="A79" s="1588">
        <v>44</v>
      </c>
      <c r="B79" s="1600">
        <v>600</v>
      </c>
      <c r="C79" s="1590">
        <v>60015</v>
      </c>
      <c r="D79" s="1591">
        <v>6050</v>
      </c>
      <c r="E79" s="1601" t="s">
        <v>120</v>
      </c>
      <c r="F79" s="1590" t="s">
        <v>69</v>
      </c>
      <c r="G79" s="1593">
        <v>2010</v>
      </c>
      <c r="H79" s="1593">
        <v>2011</v>
      </c>
      <c r="I79" s="1594">
        <v>1000</v>
      </c>
      <c r="J79" s="1595">
        <v>0</v>
      </c>
      <c r="K79" s="1595">
        <v>500</v>
      </c>
      <c r="L79" s="1596">
        <v>500</v>
      </c>
      <c r="M79" s="1597"/>
      <c r="N79" s="1596">
        <v>0</v>
      </c>
      <c r="O79" s="1598"/>
    </row>
    <row r="80" spans="1:19" s="1599" customFormat="1" ht="18" customHeight="1">
      <c r="A80" s="1588">
        <v>45</v>
      </c>
      <c r="B80" s="1589">
        <v>600</v>
      </c>
      <c r="C80" s="1590">
        <v>60015</v>
      </c>
      <c r="D80" s="1591">
        <v>6050</v>
      </c>
      <c r="E80" s="1617" t="s">
        <v>121</v>
      </c>
      <c r="F80" s="1590" t="s">
        <v>69</v>
      </c>
      <c r="G80" s="1593">
        <v>2011</v>
      </c>
      <c r="H80" s="1593">
        <v>2012</v>
      </c>
      <c r="I80" s="1594">
        <v>3000</v>
      </c>
      <c r="J80" s="1595">
        <v>0</v>
      </c>
      <c r="K80" s="1595">
        <v>0</v>
      </c>
      <c r="L80" s="1596">
        <v>1000</v>
      </c>
      <c r="M80" s="1597"/>
      <c r="N80" s="1596">
        <v>0</v>
      </c>
      <c r="O80" s="1598"/>
      <c r="P80" s="1537"/>
      <c r="Q80" s="1535"/>
      <c r="R80" s="1535"/>
      <c r="S80" s="1535"/>
    </row>
    <row r="81" spans="1:19" s="1599" customFormat="1" ht="18" customHeight="1">
      <c r="A81" s="1588">
        <v>46</v>
      </c>
      <c r="B81" s="1589">
        <v>600</v>
      </c>
      <c r="C81" s="1590">
        <v>60015</v>
      </c>
      <c r="D81" s="1591">
        <v>6050</v>
      </c>
      <c r="E81" s="1617" t="s">
        <v>122</v>
      </c>
      <c r="F81" s="1590" t="s">
        <v>123</v>
      </c>
      <c r="G81" s="1593">
        <v>2009</v>
      </c>
      <c r="H81" s="1593">
        <v>2011</v>
      </c>
      <c r="I81" s="1594">
        <f>SUM(J81:L81)</f>
        <v>700</v>
      </c>
      <c r="J81" s="1595">
        <v>100</v>
      </c>
      <c r="K81" s="1595">
        <v>300</v>
      </c>
      <c r="L81" s="1596">
        <v>300</v>
      </c>
      <c r="M81" s="1597"/>
      <c r="N81" s="1596"/>
      <c r="O81" s="1598"/>
      <c r="P81" s="1537"/>
      <c r="Q81" s="1535"/>
      <c r="R81" s="1535"/>
      <c r="S81" s="1535"/>
    </row>
    <row r="82" spans="1:15" s="1602" customFormat="1" ht="20.25" customHeight="1">
      <c r="A82" s="1588">
        <v>47</v>
      </c>
      <c r="B82" s="1600">
        <v>600</v>
      </c>
      <c r="C82" s="1590">
        <v>60016</v>
      </c>
      <c r="D82" s="1591">
        <v>6050</v>
      </c>
      <c r="E82" s="1601" t="s">
        <v>124</v>
      </c>
      <c r="F82" s="1590" t="s">
        <v>69</v>
      </c>
      <c r="G82" s="1593">
        <v>2009</v>
      </c>
      <c r="H82" s="1593">
        <v>2010</v>
      </c>
      <c r="I82" s="1594">
        <v>2800</v>
      </c>
      <c r="J82" s="1595">
        <v>200</v>
      </c>
      <c r="K82" s="1595">
        <v>2600</v>
      </c>
      <c r="L82" s="1596">
        <v>0</v>
      </c>
      <c r="M82" s="1597"/>
      <c r="N82" s="1596"/>
      <c r="O82" s="1598"/>
    </row>
    <row r="83" spans="1:19" s="1599" customFormat="1" ht="18" customHeight="1">
      <c r="A83" s="1588">
        <v>48</v>
      </c>
      <c r="B83" s="1589">
        <v>600</v>
      </c>
      <c r="C83" s="1590">
        <v>60016</v>
      </c>
      <c r="D83" s="1591">
        <v>6050</v>
      </c>
      <c r="E83" s="1592" t="s">
        <v>125</v>
      </c>
      <c r="F83" s="1590" t="s">
        <v>69</v>
      </c>
      <c r="G83" s="1593">
        <v>2006</v>
      </c>
      <c r="H83" s="1593">
        <v>2011</v>
      </c>
      <c r="I83" s="1594">
        <v>853</v>
      </c>
      <c r="J83" s="1595">
        <v>0</v>
      </c>
      <c r="K83" s="1595">
        <v>0</v>
      </c>
      <c r="L83" s="1596">
        <v>800</v>
      </c>
      <c r="M83" s="1597"/>
      <c r="N83" s="1596">
        <v>0</v>
      </c>
      <c r="O83" s="1598"/>
      <c r="P83" s="1537"/>
      <c r="Q83" s="1535"/>
      <c r="R83" s="1535"/>
      <c r="S83" s="1535"/>
    </row>
    <row r="84" spans="1:19" s="1599" customFormat="1" ht="18" customHeight="1">
      <c r="A84" s="1588">
        <v>49</v>
      </c>
      <c r="B84" s="1589">
        <v>600</v>
      </c>
      <c r="C84" s="1590">
        <v>60016</v>
      </c>
      <c r="D84" s="1591">
        <v>6050</v>
      </c>
      <c r="E84" s="1592" t="s">
        <v>126</v>
      </c>
      <c r="F84" s="1590" t="s">
        <v>69</v>
      </c>
      <c r="G84" s="1593">
        <v>2006</v>
      </c>
      <c r="H84" s="1593">
        <v>2011</v>
      </c>
      <c r="I84" s="1594">
        <v>430</v>
      </c>
      <c r="J84" s="1595">
        <v>0</v>
      </c>
      <c r="K84" s="1595">
        <v>0</v>
      </c>
      <c r="L84" s="1596">
        <v>400</v>
      </c>
      <c r="M84" s="1597"/>
      <c r="N84" s="1596">
        <v>0</v>
      </c>
      <c r="O84" s="1598"/>
      <c r="P84" s="1537"/>
      <c r="Q84" s="1535"/>
      <c r="R84" s="1535"/>
      <c r="S84" s="1535"/>
    </row>
    <row r="85" spans="1:18" s="1599" customFormat="1" ht="29.25" customHeight="1">
      <c r="A85" s="1588">
        <v>50</v>
      </c>
      <c r="B85" s="1589">
        <v>600</v>
      </c>
      <c r="C85" s="1590">
        <v>60016</v>
      </c>
      <c r="D85" s="1591">
        <v>6050</v>
      </c>
      <c r="E85" s="1592" t="s">
        <v>127</v>
      </c>
      <c r="F85" s="1590" t="s">
        <v>86</v>
      </c>
      <c r="G85" s="1593">
        <v>2007</v>
      </c>
      <c r="H85" s="1593">
        <v>2010</v>
      </c>
      <c r="I85" s="1594">
        <v>1200</v>
      </c>
      <c r="J85" s="1595">
        <v>100</v>
      </c>
      <c r="K85" s="1595">
        <v>500</v>
      </c>
      <c r="L85" s="1596">
        <v>500</v>
      </c>
      <c r="M85" s="1597"/>
      <c r="N85" s="1596">
        <v>0</v>
      </c>
      <c r="O85" s="1598"/>
      <c r="P85" s="1535"/>
      <c r="Q85" s="1535"/>
      <c r="R85" s="1535"/>
    </row>
    <row r="86" spans="1:19" s="1599" customFormat="1" ht="27.75" customHeight="1">
      <c r="A86" s="1588">
        <v>51</v>
      </c>
      <c r="B86" s="1600">
        <v>600</v>
      </c>
      <c r="C86" s="1590">
        <v>60016</v>
      </c>
      <c r="D86" s="1591">
        <v>6050</v>
      </c>
      <c r="E86" s="1592" t="s">
        <v>128</v>
      </c>
      <c r="F86" s="1590" t="s">
        <v>86</v>
      </c>
      <c r="G86" s="1593">
        <v>2007</v>
      </c>
      <c r="H86" s="1593" t="s">
        <v>87</v>
      </c>
      <c r="I86" s="1594">
        <v>2700</v>
      </c>
      <c r="J86" s="1595">
        <v>500</v>
      </c>
      <c r="K86" s="1595">
        <v>1000</v>
      </c>
      <c r="L86" s="1596">
        <v>1000</v>
      </c>
      <c r="M86" s="1597"/>
      <c r="N86" s="1596"/>
      <c r="O86" s="1598"/>
      <c r="P86" s="1537"/>
      <c r="Q86" s="1535"/>
      <c r="R86" s="1535"/>
      <c r="S86" s="1535"/>
    </row>
    <row r="87" spans="1:18" s="1615" customFormat="1" ht="18" customHeight="1">
      <c r="A87" s="1588">
        <v>52</v>
      </c>
      <c r="B87" s="1600">
        <v>600</v>
      </c>
      <c r="C87" s="1590">
        <v>60016</v>
      </c>
      <c r="D87" s="1591">
        <v>6050</v>
      </c>
      <c r="E87" s="1610" t="s">
        <v>129</v>
      </c>
      <c r="F87" s="1616" t="s">
        <v>86</v>
      </c>
      <c r="G87" s="1593">
        <v>2006</v>
      </c>
      <c r="H87" s="1611" t="s">
        <v>87</v>
      </c>
      <c r="I87" s="1594">
        <v>3200</v>
      </c>
      <c r="J87" s="1595">
        <v>100</v>
      </c>
      <c r="K87" s="1595">
        <v>300</v>
      </c>
      <c r="L87" s="1596">
        <v>300</v>
      </c>
      <c r="M87" s="1597"/>
      <c r="N87" s="1596">
        <v>500</v>
      </c>
      <c r="O87" s="1598"/>
      <c r="P87" s="1602"/>
      <c r="Q87" s="1602"/>
      <c r="R87" s="1602"/>
    </row>
    <row r="88" spans="1:18" s="1599" customFormat="1" ht="20.25" customHeight="1">
      <c r="A88" s="1588">
        <v>53</v>
      </c>
      <c r="B88" s="1589">
        <v>600</v>
      </c>
      <c r="C88" s="1590">
        <v>60017</v>
      </c>
      <c r="D88" s="1591">
        <v>6050</v>
      </c>
      <c r="E88" s="1592" t="s">
        <v>130</v>
      </c>
      <c r="F88" s="1590" t="s">
        <v>86</v>
      </c>
      <c r="G88" s="1593">
        <v>2008</v>
      </c>
      <c r="H88" s="1593">
        <v>2010</v>
      </c>
      <c r="I88" s="1594">
        <v>300</v>
      </c>
      <c r="J88" s="1595">
        <v>60</v>
      </c>
      <c r="K88" s="1595">
        <v>100</v>
      </c>
      <c r="L88" s="1596">
        <v>0</v>
      </c>
      <c r="M88" s="1597"/>
      <c r="N88" s="1596"/>
      <c r="O88" s="1598"/>
      <c r="P88" s="1535"/>
      <c r="Q88" s="1535"/>
      <c r="R88" s="1535"/>
    </row>
    <row r="89" spans="1:19" s="1599" customFormat="1" ht="18" customHeight="1">
      <c r="A89" s="1588">
        <v>54</v>
      </c>
      <c r="B89" s="1589">
        <v>600</v>
      </c>
      <c r="C89" s="1590">
        <v>60017</v>
      </c>
      <c r="D89" s="1591">
        <v>6050</v>
      </c>
      <c r="E89" s="1592" t="s">
        <v>131</v>
      </c>
      <c r="F89" s="1590" t="s">
        <v>69</v>
      </c>
      <c r="G89" s="1593">
        <v>2011</v>
      </c>
      <c r="H89" s="1593">
        <v>2013</v>
      </c>
      <c r="I89" s="1594">
        <v>2600</v>
      </c>
      <c r="J89" s="1595">
        <v>0</v>
      </c>
      <c r="K89" s="1595">
        <v>0</v>
      </c>
      <c r="L89" s="1596">
        <v>100</v>
      </c>
      <c r="M89" s="1597"/>
      <c r="N89" s="1596">
        <v>0</v>
      </c>
      <c r="O89" s="1598"/>
      <c r="P89" s="1537"/>
      <c r="Q89" s="1535"/>
      <c r="R89" s="1535"/>
      <c r="S89" s="1535"/>
    </row>
    <row r="90" spans="1:19" s="1599" customFormat="1" ht="18" customHeight="1">
      <c r="A90" s="1588">
        <v>55</v>
      </c>
      <c r="B90" s="1589">
        <v>600</v>
      </c>
      <c r="C90" s="1590">
        <v>60017</v>
      </c>
      <c r="D90" s="1591">
        <v>6050</v>
      </c>
      <c r="E90" s="1617" t="s">
        <v>132</v>
      </c>
      <c r="F90" s="1590" t="s">
        <v>69</v>
      </c>
      <c r="G90" s="1593">
        <v>2011</v>
      </c>
      <c r="H90" s="1593">
        <v>2011</v>
      </c>
      <c r="I90" s="1594">
        <v>400</v>
      </c>
      <c r="J90" s="1595">
        <v>0</v>
      </c>
      <c r="K90" s="1595">
        <v>0</v>
      </c>
      <c r="L90" s="1596">
        <v>400</v>
      </c>
      <c r="M90" s="1597"/>
      <c r="N90" s="1596">
        <v>0</v>
      </c>
      <c r="O90" s="1598"/>
      <c r="P90" s="1537"/>
      <c r="Q90" s="1535"/>
      <c r="R90" s="1535"/>
      <c r="S90" s="1535"/>
    </row>
    <row r="91" spans="1:19" s="1599" customFormat="1" ht="18" customHeight="1">
      <c r="A91" s="1588">
        <v>122</v>
      </c>
      <c r="B91" s="1589">
        <v>600</v>
      </c>
      <c r="C91" s="1590">
        <v>60017</v>
      </c>
      <c r="D91" s="1591">
        <v>6050</v>
      </c>
      <c r="E91" s="1617" t="s">
        <v>802</v>
      </c>
      <c r="F91" s="1590" t="s">
        <v>69</v>
      </c>
      <c r="G91" s="1593">
        <v>2009</v>
      </c>
      <c r="H91" s="1593">
        <v>2009</v>
      </c>
      <c r="I91" s="1594">
        <v>20</v>
      </c>
      <c r="J91" s="1595">
        <v>20</v>
      </c>
      <c r="K91" s="1595">
        <v>0</v>
      </c>
      <c r="L91" s="1596">
        <v>0</v>
      </c>
      <c r="M91" s="1597"/>
      <c r="N91" s="1596">
        <v>0</v>
      </c>
      <c r="O91" s="1598"/>
      <c r="P91" s="1537"/>
      <c r="Q91" s="1535"/>
      <c r="R91" s="1535"/>
      <c r="S91" s="1535"/>
    </row>
    <row r="92" spans="1:19" s="1599" customFormat="1" ht="18" customHeight="1">
      <c r="A92" s="1588">
        <v>56</v>
      </c>
      <c r="B92" s="1589">
        <v>600</v>
      </c>
      <c r="C92" s="1590">
        <v>60017</v>
      </c>
      <c r="D92" s="1591">
        <v>6050</v>
      </c>
      <c r="E92" s="1617" t="s">
        <v>133</v>
      </c>
      <c r="F92" s="1590" t="s">
        <v>69</v>
      </c>
      <c r="G92" s="1593">
        <v>2010</v>
      </c>
      <c r="H92" s="1593">
        <v>2010</v>
      </c>
      <c r="I92" s="1594">
        <v>200</v>
      </c>
      <c r="J92" s="1595">
        <v>0</v>
      </c>
      <c r="K92" s="1595">
        <v>0</v>
      </c>
      <c r="L92" s="1596">
        <v>200</v>
      </c>
      <c r="M92" s="1597"/>
      <c r="N92" s="1596">
        <v>0</v>
      </c>
      <c r="O92" s="1598"/>
      <c r="P92" s="1537"/>
      <c r="Q92" s="1535"/>
      <c r="R92" s="1535"/>
      <c r="S92" s="1535"/>
    </row>
    <row r="93" spans="1:18" s="1599" customFormat="1" ht="18" customHeight="1">
      <c r="A93" s="1588">
        <v>57</v>
      </c>
      <c r="B93" s="1589">
        <v>600</v>
      </c>
      <c r="C93" s="1590">
        <v>60017</v>
      </c>
      <c r="D93" s="1591">
        <v>6050</v>
      </c>
      <c r="E93" s="1592" t="s">
        <v>134</v>
      </c>
      <c r="F93" s="1590" t="s">
        <v>69</v>
      </c>
      <c r="G93" s="1593">
        <v>2007</v>
      </c>
      <c r="H93" s="1593">
        <v>2011</v>
      </c>
      <c r="I93" s="1594">
        <v>1400</v>
      </c>
      <c r="J93" s="1595">
        <v>0</v>
      </c>
      <c r="K93" s="1595">
        <v>700</v>
      </c>
      <c r="L93" s="1596">
        <v>700</v>
      </c>
      <c r="M93" s="1597"/>
      <c r="N93" s="1596">
        <v>0</v>
      </c>
      <c r="O93" s="1598"/>
      <c r="P93" s="1535"/>
      <c r="Q93" s="1535"/>
      <c r="R93" s="1535"/>
    </row>
    <row r="94" spans="1:18" s="1599" customFormat="1" ht="18" customHeight="1">
      <c r="A94" s="1588">
        <v>58</v>
      </c>
      <c r="B94" s="1589">
        <v>801</v>
      </c>
      <c r="C94" s="1590">
        <v>80101</v>
      </c>
      <c r="D94" s="1590">
        <v>6050</v>
      </c>
      <c r="E94" s="1618" t="s">
        <v>135</v>
      </c>
      <c r="F94" s="1590" t="s">
        <v>136</v>
      </c>
      <c r="G94" s="1611">
        <v>2009</v>
      </c>
      <c r="H94" s="1611">
        <v>2009</v>
      </c>
      <c r="I94" s="1619">
        <f>SUM(J94:L94)</f>
        <v>137.862</v>
      </c>
      <c r="J94" s="1620">
        <v>137.862</v>
      </c>
      <c r="K94" s="1620">
        <v>0</v>
      </c>
      <c r="L94" s="1621">
        <v>0</v>
      </c>
      <c r="M94" s="1622"/>
      <c r="N94" s="1596">
        <v>0</v>
      </c>
      <c r="O94" s="1598"/>
      <c r="P94" s="1535"/>
      <c r="Q94" s="1535"/>
      <c r="R94" s="1535"/>
    </row>
    <row r="95" spans="1:18" s="1599" customFormat="1" ht="18" customHeight="1">
      <c r="A95" s="1588">
        <v>59</v>
      </c>
      <c r="B95" s="1589">
        <v>801</v>
      </c>
      <c r="C95" s="1590">
        <v>80104</v>
      </c>
      <c r="D95" s="1590">
        <v>6210</v>
      </c>
      <c r="E95" s="1618" t="s">
        <v>137</v>
      </c>
      <c r="F95" s="1590" t="s">
        <v>136</v>
      </c>
      <c r="G95" s="1611">
        <v>2009</v>
      </c>
      <c r="H95" s="1611">
        <v>2009</v>
      </c>
      <c r="I95" s="1619">
        <v>360</v>
      </c>
      <c r="J95" s="1620">
        <v>360</v>
      </c>
      <c r="K95" s="1620">
        <v>0</v>
      </c>
      <c r="L95" s="1621">
        <v>0</v>
      </c>
      <c r="M95" s="1622"/>
      <c r="N95" s="1596"/>
      <c r="O95" s="1598"/>
      <c r="P95" s="1535"/>
      <c r="Q95" s="1535"/>
      <c r="R95" s="1535"/>
    </row>
    <row r="96" spans="1:18" s="1599" customFormat="1" ht="17.25" customHeight="1">
      <c r="A96" s="1588">
        <v>60</v>
      </c>
      <c r="B96" s="1589">
        <v>801</v>
      </c>
      <c r="C96" s="1590">
        <v>80110</v>
      </c>
      <c r="D96" s="1590">
        <v>6050</v>
      </c>
      <c r="E96" s="1618" t="s">
        <v>135</v>
      </c>
      <c r="F96" s="1590" t="s">
        <v>136</v>
      </c>
      <c r="G96" s="1611">
        <v>2009</v>
      </c>
      <c r="H96" s="1611">
        <v>2009</v>
      </c>
      <c r="I96" s="1619">
        <v>70.9</v>
      </c>
      <c r="J96" s="1620">
        <v>76.9</v>
      </c>
      <c r="K96" s="1620">
        <v>0</v>
      </c>
      <c r="L96" s="1621">
        <v>0</v>
      </c>
      <c r="M96" s="1622"/>
      <c r="N96" s="1596">
        <v>0</v>
      </c>
      <c r="O96" s="1598"/>
      <c r="P96" s="1535"/>
      <c r="Q96" s="1535"/>
      <c r="R96" s="1535"/>
    </row>
    <row r="97" spans="1:18" s="1599" customFormat="1" ht="18" customHeight="1">
      <c r="A97" s="1588">
        <v>61</v>
      </c>
      <c r="B97" s="1600">
        <v>801</v>
      </c>
      <c r="C97" s="1590">
        <v>80114</v>
      </c>
      <c r="D97" s="1590">
        <v>6050</v>
      </c>
      <c r="E97" s="1618" t="s">
        <v>138</v>
      </c>
      <c r="F97" s="1590" t="s">
        <v>136</v>
      </c>
      <c r="G97" s="1611">
        <v>2009</v>
      </c>
      <c r="H97" s="1611">
        <v>2009</v>
      </c>
      <c r="I97" s="1619">
        <v>385</v>
      </c>
      <c r="J97" s="1620">
        <v>385</v>
      </c>
      <c r="K97" s="1620">
        <v>0</v>
      </c>
      <c r="L97" s="1621">
        <v>0</v>
      </c>
      <c r="M97" s="1622"/>
      <c r="N97" s="1596">
        <v>0</v>
      </c>
      <c r="O97" s="1598"/>
      <c r="P97" s="1535"/>
      <c r="Q97" s="1535"/>
      <c r="R97" s="1535"/>
    </row>
    <row r="98" spans="1:18" s="1599" customFormat="1" ht="18" customHeight="1">
      <c r="A98" s="1588">
        <v>62</v>
      </c>
      <c r="B98" s="1589">
        <v>801</v>
      </c>
      <c r="C98" s="1590">
        <v>80120</v>
      </c>
      <c r="D98" s="1590">
        <v>6050</v>
      </c>
      <c r="E98" s="1592" t="s">
        <v>750</v>
      </c>
      <c r="F98" s="1590" t="s">
        <v>139</v>
      </c>
      <c r="G98" s="1611">
        <v>2008</v>
      </c>
      <c r="H98" s="1611">
        <v>2009</v>
      </c>
      <c r="I98" s="1619">
        <f>SUM(J98:L98)</f>
        <v>1605</v>
      </c>
      <c r="J98" s="1620">
        <v>1605</v>
      </c>
      <c r="K98" s="1620">
        <v>0</v>
      </c>
      <c r="L98" s="1621">
        <v>0</v>
      </c>
      <c r="M98" s="1622"/>
      <c r="N98" s="1596"/>
      <c r="O98" s="1598"/>
      <c r="P98" s="1535"/>
      <c r="Q98" s="1535"/>
      <c r="R98" s="1535"/>
    </row>
    <row r="99" spans="1:18" s="1599" customFormat="1" ht="17.25" customHeight="1">
      <c r="A99" s="1588">
        <v>63</v>
      </c>
      <c r="B99" s="1589">
        <v>801</v>
      </c>
      <c r="C99" s="1590">
        <v>80120</v>
      </c>
      <c r="D99" s="1590">
        <v>6050</v>
      </c>
      <c r="E99" s="1618" t="s">
        <v>135</v>
      </c>
      <c r="F99" s="1590" t="s">
        <v>136</v>
      </c>
      <c r="G99" s="1611">
        <v>2009</v>
      </c>
      <c r="H99" s="1611">
        <v>2009</v>
      </c>
      <c r="I99" s="1619">
        <f>SUM(J99:L99)</f>
        <v>131.9</v>
      </c>
      <c r="J99" s="1620">
        <v>131.9</v>
      </c>
      <c r="K99" s="1620">
        <v>0</v>
      </c>
      <c r="L99" s="1621">
        <v>0</v>
      </c>
      <c r="M99" s="1622"/>
      <c r="N99" s="1596">
        <v>0</v>
      </c>
      <c r="O99" s="1598"/>
      <c r="P99" s="1535"/>
      <c r="Q99" s="1535"/>
      <c r="R99" s="1535"/>
    </row>
    <row r="100" spans="1:18" s="1599" customFormat="1" ht="17.25" customHeight="1">
      <c r="A100" s="1588">
        <v>64</v>
      </c>
      <c r="B100" s="1589">
        <v>801</v>
      </c>
      <c r="C100" s="1590">
        <v>80130</v>
      </c>
      <c r="D100" s="1590">
        <v>6050</v>
      </c>
      <c r="E100" s="1618" t="s">
        <v>135</v>
      </c>
      <c r="F100" s="1590" t="s">
        <v>136</v>
      </c>
      <c r="G100" s="1611">
        <v>2009</v>
      </c>
      <c r="H100" s="1611">
        <v>2009</v>
      </c>
      <c r="I100" s="1619">
        <v>123.5</v>
      </c>
      <c r="J100" s="1620">
        <v>129</v>
      </c>
      <c r="K100" s="1620">
        <v>0</v>
      </c>
      <c r="L100" s="1621">
        <v>0</v>
      </c>
      <c r="M100" s="1622"/>
      <c r="N100" s="1596">
        <v>0</v>
      </c>
      <c r="O100" s="1598"/>
      <c r="P100" s="1535"/>
      <c r="Q100" s="1535"/>
      <c r="R100" s="1535"/>
    </row>
    <row r="101" spans="1:18" s="1599" customFormat="1" ht="17.25" customHeight="1">
      <c r="A101" s="1588">
        <v>65</v>
      </c>
      <c r="B101" s="1589">
        <v>801</v>
      </c>
      <c r="C101" s="1590">
        <v>80140</v>
      </c>
      <c r="D101" s="1590">
        <v>6050</v>
      </c>
      <c r="E101" s="1618" t="s">
        <v>135</v>
      </c>
      <c r="F101" s="1590" t="s">
        <v>136</v>
      </c>
      <c r="G101" s="1611">
        <v>2009</v>
      </c>
      <c r="H101" s="1611">
        <v>2009</v>
      </c>
      <c r="I101" s="1619">
        <v>41.6</v>
      </c>
      <c r="J101" s="1620">
        <v>41.6</v>
      </c>
      <c r="K101" s="1620">
        <v>0</v>
      </c>
      <c r="L101" s="1621">
        <v>0</v>
      </c>
      <c r="M101" s="1622"/>
      <c r="N101" s="1596">
        <v>0</v>
      </c>
      <c r="O101" s="1598"/>
      <c r="P101" s="1535"/>
      <c r="Q101" s="1535"/>
      <c r="R101" s="1535"/>
    </row>
    <row r="102" spans="1:18" s="1599" customFormat="1" ht="17.25" customHeight="1">
      <c r="A102" s="1588">
        <v>66</v>
      </c>
      <c r="B102" s="1589">
        <v>801</v>
      </c>
      <c r="C102" s="1590">
        <v>80195</v>
      </c>
      <c r="D102" s="1590">
        <v>6050</v>
      </c>
      <c r="E102" s="1618" t="s">
        <v>135</v>
      </c>
      <c r="F102" s="1590" t="s">
        <v>136</v>
      </c>
      <c r="G102" s="1611">
        <v>2009</v>
      </c>
      <c r="H102" s="1611">
        <v>2009</v>
      </c>
      <c r="I102" s="1619">
        <f>SUM(J102:L102)</f>
        <v>2270</v>
      </c>
      <c r="J102" s="1620">
        <v>2270</v>
      </c>
      <c r="K102" s="1620">
        <v>0</v>
      </c>
      <c r="L102" s="1621">
        <v>0</v>
      </c>
      <c r="M102" s="1622"/>
      <c r="N102" s="1596">
        <v>0</v>
      </c>
      <c r="O102" s="1598"/>
      <c r="P102" s="1535"/>
      <c r="Q102" s="1535"/>
      <c r="R102" s="1535"/>
    </row>
    <row r="103" ht="12.75" hidden="1"/>
    <row r="104" spans="1:18" s="1599" customFormat="1" ht="31.5" customHeight="1">
      <c r="A104" s="1588">
        <v>67</v>
      </c>
      <c r="B104" s="1589">
        <v>801</v>
      </c>
      <c r="C104" s="1590">
        <v>80195</v>
      </c>
      <c r="D104" s="1590">
        <v>6050</v>
      </c>
      <c r="E104" s="1592" t="s">
        <v>140</v>
      </c>
      <c r="F104" s="1590" t="s">
        <v>136</v>
      </c>
      <c r="G104" s="1611">
        <v>2009</v>
      </c>
      <c r="H104" s="1611">
        <v>2010</v>
      </c>
      <c r="I104" s="1619">
        <v>4048.4</v>
      </c>
      <c r="J104" s="1620">
        <v>2395.3</v>
      </c>
      <c r="K104" s="1620">
        <v>883.1</v>
      </c>
      <c r="L104" s="1621">
        <v>0</v>
      </c>
      <c r="M104" s="1622"/>
      <c r="N104" s="1596"/>
      <c r="O104" s="1598"/>
      <c r="P104" s="1535"/>
      <c r="Q104" s="1535"/>
      <c r="R104" s="1535"/>
    </row>
    <row r="105" spans="1:18" s="1599" customFormat="1" ht="21" customHeight="1">
      <c r="A105" s="1588">
        <v>68</v>
      </c>
      <c r="B105" s="1600">
        <v>851</v>
      </c>
      <c r="C105" s="1591">
        <v>85154</v>
      </c>
      <c r="D105" s="1590">
        <v>6050</v>
      </c>
      <c r="E105" s="1592" t="s">
        <v>141</v>
      </c>
      <c r="F105" s="1590" t="s">
        <v>142</v>
      </c>
      <c r="G105" s="1611">
        <v>2009</v>
      </c>
      <c r="H105" s="1611">
        <v>2009</v>
      </c>
      <c r="I105" s="1619">
        <v>100</v>
      </c>
      <c r="J105" s="1620">
        <v>100</v>
      </c>
      <c r="K105" s="1620">
        <v>0</v>
      </c>
      <c r="L105" s="1621">
        <v>0</v>
      </c>
      <c r="M105" s="1622"/>
      <c r="N105" s="1596"/>
      <c r="O105" s="1598"/>
      <c r="P105" s="1535"/>
      <c r="Q105" s="1535"/>
      <c r="R105" s="1535"/>
    </row>
    <row r="106" spans="1:18" s="1599" customFormat="1" ht="21" customHeight="1">
      <c r="A106" s="1588">
        <v>119</v>
      </c>
      <c r="B106" s="1600">
        <v>851</v>
      </c>
      <c r="C106" s="1591">
        <v>85154</v>
      </c>
      <c r="D106" s="1590">
        <v>6050</v>
      </c>
      <c r="E106" s="1592" t="s">
        <v>797</v>
      </c>
      <c r="F106" s="1590" t="s">
        <v>142</v>
      </c>
      <c r="G106" s="1611">
        <v>2009</v>
      </c>
      <c r="H106" s="1611">
        <v>2009</v>
      </c>
      <c r="I106" s="1619">
        <f>SUM(J106:L106)</f>
        <v>105.5</v>
      </c>
      <c r="J106" s="1620">
        <v>105.5</v>
      </c>
      <c r="K106" s="1620">
        <v>0</v>
      </c>
      <c r="L106" s="1621">
        <v>0</v>
      </c>
      <c r="M106" s="1622"/>
      <c r="N106" s="1596"/>
      <c r="O106" s="1598"/>
      <c r="P106" s="1535"/>
      <c r="Q106" s="1535"/>
      <c r="R106" s="1535"/>
    </row>
    <row r="107" spans="1:18" s="1599" customFormat="1" ht="38.25">
      <c r="A107" s="1588">
        <v>120</v>
      </c>
      <c r="B107" s="1600">
        <v>851</v>
      </c>
      <c r="C107" s="1591">
        <v>85195</v>
      </c>
      <c r="D107" s="1590">
        <v>6210</v>
      </c>
      <c r="E107" s="1592" t="s">
        <v>798</v>
      </c>
      <c r="F107" s="1590" t="s">
        <v>86</v>
      </c>
      <c r="G107" s="1611">
        <v>2009</v>
      </c>
      <c r="H107" s="1611">
        <v>2009</v>
      </c>
      <c r="I107" s="1619">
        <v>36</v>
      </c>
      <c r="J107" s="1620">
        <v>36</v>
      </c>
      <c r="K107" s="1620">
        <v>0</v>
      </c>
      <c r="L107" s="1621">
        <v>0</v>
      </c>
      <c r="M107" s="1622"/>
      <c r="N107" s="1596"/>
      <c r="O107" s="1598"/>
      <c r="P107" s="1535"/>
      <c r="Q107" s="1535"/>
      <c r="R107" s="1535"/>
    </row>
    <row r="108" spans="1:18" s="1599" customFormat="1" ht="39.75" customHeight="1">
      <c r="A108" s="1588">
        <v>69</v>
      </c>
      <c r="B108" s="1589">
        <v>852</v>
      </c>
      <c r="C108" s="1590">
        <v>85219</v>
      </c>
      <c r="D108" s="1590">
        <v>6050</v>
      </c>
      <c r="E108" s="1592" t="s">
        <v>143</v>
      </c>
      <c r="F108" s="1590" t="s">
        <v>144</v>
      </c>
      <c r="G108" s="1593">
        <v>2009</v>
      </c>
      <c r="H108" s="1611">
        <v>2009</v>
      </c>
      <c r="I108" s="1619">
        <v>400</v>
      </c>
      <c r="J108" s="1620">
        <v>400</v>
      </c>
      <c r="K108" s="1620">
        <v>0</v>
      </c>
      <c r="L108" s="1621">
        <v>0</v>
      </c>
      <c r="M108" s="1622"/>
      <c r="N108" s="1596">
        <v>0</v>
      </c>
      <c r="O108" s="1598"/>
      <c r="P108" s="1535"/>
      <c r="Q108" s="1535"/>
      <c r="R108" s="1535"/>
    </row>
    <row r="109" spans="1:19" s="1599" customFormat="1" ht="27" customHeight="1">
      <c r="A109" s="1588">
        <v>70</v>
      </c>
      <c r="B109" s="1589">
        <v>853</v>
      </c>
      <c r="C109" s="1590">
        <v>85305</v>
      </c>
      <c r="D109" s="1591">
        <v>6210</v>
      </c>
      <c r="E109" s="1592" t="s">
        <v>145</v>
      </c>
      <c r="F109" s="1590" t="s">
        <v>144</v>
      </c>
      <c r="G109" s="1593">
        <v>2009</v>
      </c>
      <c r="H109" s="1593">
        <v>2009</v>
      </c>
      <c r="I109" s="1594">
        <v>166</v>
      </c>
      <c r="J109" s="1595">
        <v>166</v>
      </c>
      <c r="K109" s="1595">
        <v>0</v>
      </c>
      <c r="L109" s="1596">
        <v>0</v>
      </c>
      <c r="M109" s="1597"/>
      <c r="N109" s="1596"/>
      <c r="O109" s="1598"/>
      <c r="P109" s="1537"/>
      <c r="Q109" s="1535"/>
      <c r="R109" s="1535"/>
      <c r="S109" s="1535"/>
    </row>
    <row r="110" spans="1:19" s="1599" customFormat="1" ht="38.25">
      <c r="A110" s="1588">
        <v>109</v>
      </c>
      <c r="B110" s="1589">
        <v>853</v>
      </c>
      <c r="C110" s="1590">
        <v>85305</v>
      </c>
      <c r="D110" s="1591">
        <v>6050</v>
      </c>
      <c r="E110" s="1894" t="s">
        <v>756</v>
      </c>
      <c r="F110" s="1590" t="s">
        <v>86</v>
      </c>
      <c r="G110" s="1593">
        <v>2009</v>
      </c>
      <c r="H110" s="1593">
        <v>2011</v>
      </c>
      <c r="I110" s="1594">
        <v>78.5</v>
      </c>
      <c r="J110" s="1595">
        <v>78.5</v>
      </c>
      <c r="K110" s="1595">
        <v>1560</v>
      </c>
      <c r="L110" s="1596">
        <v>200</v>
      </c>
      <c r="M110" s="1597"/>
      <c r="N110" s="1596"/>
      <c r="O110" s="1598"/>
      <c r="P110" s="1537"/>
      <c r="Q110" s="1535"/>
      <c r="R110" s="1535"/>
      <c r="S110" s="1535"/>
    </row>
    <row r="111" spans="1:19" s="1599" customFormat="1" ht="17.25" customHeight="1">
      <c r="A111" s="1588">
        <v>71</v>
      </c>
      <c r="B111" s="1589">
        <v>854</v>
      </c>
      <c r="C111" s="1590">
        <v>85407</v>
      </c>
      <c r="D111" s="1591">
        <v>6050</v>
      </c>
      <c r="E111" s="1592" t="s">
        <v>146</v>
      </c>
      <c r="F111" s="1590" t="s">
        <v>136</v>
      </c>
      <c r="G111" s="1593">
        <v>2009</v>
      </c>
      <c r="H111" s="1593">
        <v>2009</v>
      </c>
      <c r="I111" s="1594">
        <v>70</v>
      </c>
      <c r="J111" s="1595">
        <v>70</v>
      </c>
      <c r="K111" s="1595">
        <v>0</v>
      </c>
      <c r="L111" s="1596">
        <v>0</v>
      </c>
      <c r="M111" s="1597"/>
      <c r="N111" s="1596"/>
      <c r="O111" s="1598"/>
      <c r="P111" s="1537"/>
      <c r="Q111" s="1535"/>
      <c r="R111" s="1535"/>
      <c r="S111" s="1535"/>
    </row>
    <row r="112" spans="1:19" s="1599" customFormat="1" ht="28.5" customHeight="1">
      <c r="A112" s="1588">
        <v>72</v>
      </c>
      <c r="B112" s="1589">
        <v>854</v>
      </c>
      <c r="C112" s="1590">
        <v>85410</v>
      </c>
      <c r="D112" s="1591">
        <v>6050</v>
      </c>
      <c r="E112" s="1592" t="s">
        <v>140</v>
      </c>
      <c r="F112" s="1590" t="s">
        <v>136</v>
      </c>
      <c r="G112" s="1593">
        <v>2009</v>
      </c>
      <c r="H112" s="1593">
        <v>2010</v>
      </c>
      <c r="I112" s="1594">
        <v>3731.6</v>
      </c>
      <c r="J112" s="1595">
        <v>0</v>
      </c>
      <c r="K112" s="1595">
        <v>966.9</v>
      </c>
      <c r="L112" s="1596">
        <v>0</v>
      </c>
      <c r="M112" s="1597"/>
      <c r="N112" s="1596"/>
      <c r="O112" s="1598"/>
      <c r="P112" s="1537"/>
      <c r="Q112" s="1535"/>
      <c r="R112" s="1535"/>
      <c r="S112" s="1535"/>
    </row>
    <row r="113" spans="1:18" s="1599" customFormat="1" ht="18" customHeight="1">
      <c r="A113" s="1588">
        <v>73</v>
      </c>
      <c r="B113" s="1589">
        <v>854</v>
      </c>
      <c r="C113" s="1590">
        <v>85410</v>
      </c>
      <c r="D113" s="1590">
        <v>6050</v>
      </c>
      <c r="E113" s="1618" t="s">
        <v>147</v>
      </c>
      <c r="F113" s="1590" t="s">
        <v>136</v>
      </c>
      <c r="G113" s="1593">
        <v>2009</v>
      </c>
      <c r="H113" s="1611">
        <v>2009</v>
      </c>
      <c r="I113" s="1619">
        <v>112.1</v>
      </c>
      <c r="J113" s="1620">
        <v>112.1</v>
      </c>
      <c r="K113" s="1620">
        <v>0</v>
      </c>
      <c r="L113" s="1621">
        <v>0</v>
      </c>
      <c r="M113" s="1622"/>
      <c r="N113" s="1596">
        <v>0</v>
      </c>
      <c r="O113" s="1598"/>
      <c r="P113" s="1535"/>
      <c r="Q113" s="1535"/>
      <c r="R113" s="1535"/>
    </row>
    <row r="114" spans="1:18" s="1599" customFormat="1" ht="25.5">
      <c r="A114" s="1588">
        <v>74</v>
      </c>
      <c r="B114" s="1589">
        <v>854</v>
      </c>
      <c r="C114" s="1590">
        <v>85417</v>
      </c>
      <c r="D114" s="1590">
        <v>6050</v>
      </c>
      <c r="E114" s="1592" t="s">
        <v>148</v>
      </c>
      <c r="F114" s="1590" t="s">
        <v>773</v>
      </c>
      <c r="G114" s="1593">
        <v>2009</v>
      </c>
      <c r="H114" s="1611">
        <v>2009</v>
      </c>
      <c r="I114" s="1619">
        <v>41.2</v>
      </c>
      <c r="J114" s="1620">
        <v>41.2</v>
      </c>
      <c r="K114" s="1620">
        <v>0</v>
      </c>
      <c r="L114" s="1621">
        <v>0</v>
      </c>
      <c r="M114" s="1622"/>
      <c r="N114" s="1596">
        <v>0</v>
      </c>
      <c r="O114" s="1598"/>
      <c r="P114" s="1535"/>
      <c r="Q114" s="1535"/>
      <c r="R114" s="1535"/>
    </row>
    <row r="115" spans="1:18" s="1599" customFormat="1" ht="18" customHeight="1">
      <c r="A115" s="1588">
        <v>75</v>
      </c>
      <c r="B115" s="1589">
        <v>900</v>
      </c>
      <c r="C115" s="1590">
        <v>90013</v>
      </c>
      <c r="D115" s="1590">
        <v>6050</v>
      </c>
      <c r="E115" s="1592" t="s">
        <v>149</v>
      </c>
      <c r="F115" s="1590" t="s">
        <v>86</v>
      </c>
      <c r="G115" s="1593">
        <v>2009</v>
      </c>
      <c r="H115" s="1611">
        <v>2011</v>
      </c>
      <c r="I115" s="1594">
        <f>SUM(J115:L115)</f>
        <v>4957.7</v>
      </c>
      <c r="J115" s="1595">
        <v>457.7</v>
      </c>
      <c r="K115" s="1595">
        <v>2500</v>
      </c>
      <c r="L115" s="1596">
        <v>2000</v>
      </c>
      <c r="M115" s="1597"/>
      <c r="N115" s="1596">
        <v>0</v>
      </c>
      <c r="O115" s="1598"/>
      <c r="P115" s="1535"/>
      <c r="Q115" s="1535"/>
      <c r="R115" s="1535"/>
    </row>
    <row r="116" spans="1:18" s="1599" customFormat="1" ht="38.25">
      <c r="A116" s="1588">
        <v>113</v>
      </c>
      <c r="B116" s="1589">
        <v>900</v>
      </c>
      <c r="C116" s="1590">
        <v>90095</v>
      </c>
      <c r="D116" s="1590">
        <v>6300</v>
      </c>
      <c r="E116" s="2067" t="s">
        <v>783</v>
      </c>
      <c r="F116" s="1590" t="s">
        <v>86</v>
      </c>
      <c r="G116" s="1593">
        <v>2009</v>
      </c>
      <c r="H116" s="1611">
        <v>2009</v>
      </c>
      <c r="I116" s="1594">
        <v>1200</v>
      </c>
      <c r="J116" s="1595">
        <v>1200</v>
      </c>
      <c r="K116" s="1595">
        <v>0</v>
      </c>
      <c r="L116" s="1596">
        <v>0</v>
      </c>
      <c r="M116" s="1597"/>
      <c r="N116" s="1596">
        <v>0</v>
      </c>
      <c r="O116" s="1598"/>
      <c r="P116" s="1535"/>
      <c r="Q116" s="1535"/>
      <c r="R116" s="1535"/>
    </row>
    <row r="117" spans="1:18" s="1599" customFormat="1" ht="18" customHeight="1">
      <c r="A117" s="1588">
        <v>114</v>
      </c>
      <c r="B117" s="1589">
        <v>900</v>
      </c>
      <c r="C117" s="1590">
        <v>90095</v>
      </c>
      <c r="D117" s="1590">
        <v>6050</v>
      </c>
      <c r="E117" s="1592" t="s">
        <v>762</v>
      </c>
      <c r="F117" s="1590" t="s">
        <v>69</v>
      </c>
      <c r="G117" s="1593">
        <v>2009</v>
      </c>
      <c r="H117" s="1611">
        <v>2009</v>
      </c>
      <c r="I117" s="1594">
        <v>21.5</v>
      </c>
      <c r="J117" s="1595">
        <v>21.54</v>
      </c>
      <c r="K117" s="1595">
        <v>0</v>
      </c>
      <c r="L117" s="1596">
        <v>0</v>
      </c>
      <c r="M117" s="1597"/>
      <c r="N117" s="1596"/>
      <c r="O117" s="1598"/>
      <c r="P117" s="1535"/>
      <c r="Q117" s="1535"/>
      <c r="R117" s="1535"/>
    </row>
    <row r="118" spans="1:18" s="1599" customFormat="1" ht="29.25" customHeight="1">
      <c r="A118" s="1588">
        <v>76</v>
      </c>
      <c r="B118" s="1589">
        <v>900</v>
      </c>
      <c r="C118" s="1590">
        <v>90095</v>
      </c>
      <c r="D118" s="1590">
        <v>6050</v>
      </c>
      <c r="E118" s="1633" t="s">
        <v>150</v>
      </c>
      <c r="F118" s="1616" t="s">
        <v>151</v>
      </c>
      <c r="G118" s="1611">
        <v>2009</v>
      </c>
      <c r="H118" s="1611">
        <v>2010</v>
      </c>
      <c r="I118" s="1619">
        <f>J118+K118</f>
        <v>520</v>
      </c>
      <c r="J118" s="1620">
        <v>20</v>
      </c>
      <c r="K118" s="1620">
        <v>500</v>
      </c>
      <c r="L118" s="1621">
        <v>0</v>
      </c>
      <c r="M118" s="1622"/>
      <c r="N118" s="1596">
        <v>1000</v>
      </c>
      <c r="O118" s="1598"/>
      <c r="P118" s="1535"/>
      <c r="Q118" s="1535"/>
      <c r="R118" s="1535"/>
    </row>
    <row r="119" spans="1:18" s="1599" customFormat="1" ht="18" customHeight="1" thickBot="1">
      <c r="A119" s="1588">
        <v>77</v>
      </c>
      <c r="B119" s="1600">
        <v>921</v>
      </c>
      <c r="C119" s="1590">
        <v>92118</v>
      </c>
      <c r="D119" s="1591">
        <v>6220</v>
      </c>
      <c r="E119" s="1633" t="s">
        <v>152</v>
      </c>
      <c r="F119" s="1669" t="s">
        <v>144</v>
      </c>
      <c r="G119" s="1593">
        <v>2009</v>
      </c>
      <c r="H119" s="1611">
        <v>2009</v>
      </c>
      <c r="I119" s="1670">
        <v>357</v>
      </c>
      <c r="J119" s="1595">
        <v>357</v>
      </c>
      <c r="K119" s="1595">
        <v>0</v>
      </c>
      <c r="L119" s="1596">
        <v>0</v>
      </c>
      <c r="M119" s="1597"/>
      <c r="N119" s="1596"/>
      <c r="O119" s="1598"/>
      <c r="P119" s="1535"/>
      <c r="Q119" s="1535"/>
      <c r="R119" s="1535"/>
    </row>
    <row r="120" ht="12.75" hidden="1"/>
    <row r="121" ht="13.5" hidden="1" thickBot="1"/>
    <row r="122" spans="1:28" s="1682" customFormat="1" ht="27" customHeight="1" thickBot="1" thickTop="1">
      <c r="A122" s="1671"/>
      <c r="B122" s="1672"/>
      <c r="C122" s="1672"/>
      <c r="D122" s="1673"/>
      <c r="E122" s="1674" t="s">
        <v>153</v>
      </c>
      <c r="F122" s="1674"/>
      <c r="G122" s="1675"/>
      <c r="H122" s="1676"/>
      <c r="I122" s="1676"/>
      <c r="J122" s="1677">
        <f>J10+J64</f>
        <v>45641.602000000006</v>
      </c>
      <c r="K122" s="1677">
        <f>K10+K64</f>
        <v>38670</v>
      </c>
      <c r="L122" s="1678">
        <f>L10+L64</f>
        <v>33190</v>
      </c>
      <c r="M122" s="1679"/>
      <c r="N122" s="1680" t="e">
        <f>#REF!+#REF!+N83</f>
        <v>#REF!</v>
      </c>
      <c r="O122" s="1681"/>
      <c r="P122" s="1660"/>
      <c r="Q122" s="1660"/>
      <c r="R122" s="1660"/>
      <c r="S122" s="1660"/>
      <c r="T122" s="1660"/>
      <c r="U122" s="1660"/>
      <c r="V122" s="1660"/>
      <c r="W122" s="1660"/>
      <c r="X122" s="1660"/>
      <c r="Y122" s="1660"/>
      <c r="Z122" s="1660"/>
      <c r="AA122" s="1660"/>
      <c r="AB122" s="1660"/>
    </row>
    <row r="123" spans="1:16" s="1660" customFormat="1" ht="33.75" thickTop="1">
      <c r="A123" s="1683" t="s">
        <v>326</v>
      </c>
      <c r="B123" s="1684"/>
      <c r="C123" s="1684"/>
      <c r="D123" s="1685"/>
      <c r="E123" s="1686" t="s">
        <v>154</v>
      </c>
      <c r="F123" s="1687"/>
      <c r="G123" s="1688"/>
      <c r="H123" s="1688"/>
      <c r="I123" s="1689"/>
      <c r="J123" s="1690">
        <f>SUM(J124:J158)</f>
        <v>41104.54</v>
      </c>
      <c r="K123" s="1690">
        <f>SUM(K124:K158)</f>
        <v>57814.2</v>
      </c>
      <c r="L123" s="1657">
        <f>SUM(L124:L158)</f>
        <v>101851.7</v>
      </c>
      <c r="M123" s="1658"/>
      <c r="N123" s="1657">
        <f>SUM(N124:N129)</f>
        <v>14700</v>
      </c>
      <c r="O123" s="1659"/>
      <c r="P123" s="1666"/>
    </row>
    <row r="124" spans="1:16" s="1602" customFormat="1" ht="17.25" customHeight="1" hidden="1">
      <c r="A124" s="1588">
        <v>77</v>
      </c>
      <c r="B124" s="1600">
        <v>600</v>
      </c>
      <c r="C124" s="1590">
        <v>60015</v>
      </c>
      <c r="D124" s="1591">
        <v>6050</v>
      </c>
      <c r="E124" s="1601" t="s">
        <v>155</v>
      </c>
      <c r="F124" s="1600" t="s">
        <v>69</v>
      </c>
      <c r="G124" s="1593">
        <v>2007</v>
      </c>
      <c r="H124" s="1593">
        <v>2014</v>
      </c>
      <c r="I124" s="1670">
        <v>10000</v>
      </c>
      <c r="J124" s="1595">
        <v>0</v>
      </c>
      <c r="K124" s="1595">
        <v>0</v>
      </c>
      <c r="L124" s="1596">
        <v>0</v>
      </c>
      <c r="M124" s="1597"/>
      <c r="N124" s="1596">
        <v>0</v>
      </c>
      <c r="O124" s="1598"/>
      <c r="P124" s="1691"/>
    </row>
    <row r="125" spans="1:19" s="1609" customFormat="1" ht="18" customHeight="1">
      <c r="A125" s="1588">
        <v>78</v>
      </c>
      <c r="B125" s="1600">
        <v>600</v>
      </c>
      <c r="C125" s="1590">
        <v>60015</v>
      </c>
      <c r="D125" s="1591">
        <v>6050</v>
      </c>
      <c r="E125" s="1592" t="s">
        <v>156</v>
      </c>
      <c r="F125" s="1590" t="s">
        <v>69</v>
      </c>
      <c r="G125" s="1692" t="s">
        <v>157</v>
      </c>
      <c r="H125" s="1604" t="s">
        <v>116</v>
      </c>
      <c r="I125" s="1594">
        <v>4433.7</v>
      </c>
      <c r="J125" s="1594">
        <v>1600</v>
      </c>
      <c r="K125" s="1594">
        <v>600</v>
      </c>
      <c r="L125" s="1605">
        <v>600</v>
      </c>
      <c r="M125" s="1606"/>
      <c r="N125" s="1605">
        <v>700</v>
      </c>
      <c r="O125" s="1607"/>
      <c r="P125" s="1608"/>
      <c r="Q125" s="1608"/>
      <c r="R125" s="1608"/>
      <c r="S125" s="1608"/>
    </row>
    <row r="126" spans="1:19" s="1615" customFormat="1" ht="25.5">
      <c r="A126" s="1588">
        <v>79</v>
      </c>
      <c r="B126" s="1600">
        <v>600</v>
      </c>
      <c r="C126" s="1590">
        <v>60015</v>
      </c>
      <c r="D126" s="1591">
        <v>6050</v>
      </c>
      <c r="E126" s="1601" t="s">
        <v>158</v>
      </c>
      <c r="F126" s="1590" t="s">
        <v>69</v>
      </c>
      <c r="G126" s="1593">
        <v>2008</v>
      </c>
      <c r="H126" s="1593">
        <v>2013</v>
      </c>
      <c r="I126" s="1594">
        <v>50000</v>
      </c>
      <c r="J126" s="1595">
        <v>1023</v>
      </c>
      <c r="K126" s="1595">
        <v>8000</v>
      </c>
      <c r="L126" s="1596">
        <v>22000</v>
      </c>
      <c r="M126" s="1597"/>
      <c r="N126" s="1596">
        <v>10000</v>
      </c>
      <c r="O126" s="1598"/>
      <c r="P126" s="1614"/>
      <c r="Q126" s="1602"/>
      <c r="R126" s="1602"/>
      <c r="S126" s="1602"/>
    </row>
    <row r="127" ht="12.75" hidden="1"/>
    <row r="128" spans="1:16" s="1660" customFormat="1" ht="25.5">
      <c r="A128" s="1588">
        <v>81</v>
      </c>
      <c r="B128" s="1600">
        <v>600</v>
      </c>
      <c r="C128" s="1590">
        <v>60015</v>
      </c>
      <c r="D128" s="1591">
        <v>6050</v>
      </c>
      <c r="E128" s="1601" t="s">
        <v>160</v>
      </c>
      <c r="F128" s="1600" t="s">
        <v>69</v>
      </c>
      <c r="G128" s="1593">
        <v>2008</v>
      </c>
      <c r="H128" s="1593">
        <v>2014</v>
      </c>
      <c r="I128" s="1670">
        <f>10699.2+4500</f>
        <v>15199.2</v>
      </c>
      <c r="J128" s="1595">
        <v>3000</v>
      </c>
      <c r="K128" s="1595">
        <v>3820</v>
      </c>
      <c r="L128" s="1596">
        <v>102</v>
      </c>
      <c r="M128" s="1597"/>
      <c r="N128" s="1596">
        <v>0</v>
      </c>
      <c r="O128" s="1598"/>
      <c r="P128" s="1666"/>
    </row>
    <row r="129" spans="1:16" s="1660" customFormat="1" ht="18" customHeight="1">
      <c r="A129" s="1588">
        <v>82</v>
      </c>
      <c r="B129" s="1600">
        <v>600</v>
      </c>
      <c r="C129" s="1590">
        <v>60015</v>
      </c>
      <c r="D129" s="1591">
        <v>6050</v>
      </c>
      <c r="E129" s="1601" t="s">
        <v>161</v>
      </c>
      <c r="F129" s="1600" t="s">
        <v>69</v>
      </c>
      <c r="G129" s="1593">
        <v>2006</v>
      </c>
      <c r="H129" s="1593">
        <v>2012</v>
      </c>
      <c r="I129" s="1670">
        <v>11062.6</v>
      </c>
      <c r="J129" s="1595">
        <v>0</v>
      </c>
      <c r="K129" s="1595">
        <v>0</v>
      </c>
      <c r="L129" s="1596">
        <v>0</v>
      </c>
      <c r="M129" s="1597"/>
      <c r="N129" s="1596">
        <v>4000</v>
      </c>
      <c r="O129" s="1598"/>
      <c r="P129" s="1666"/>
    </row>
    <row r="130" spans="1:16" s="1660" customFormat="1" ht="25.5">
      <c r="A130" s="1588">
        <v>82</v>
      </c>
      <c r="B130" s="1589">
        <v>600</v>
      </c>
      <c r="C130" s="1590">
        <v>60015</v>
      </c>
      <c r="D130" s="1590">
        <v>6050</v>
      </c>
      <c r="E130" s="1601" t="s">
        <v>757</v>
      </c>
      <c r="F130" s="1693" t="s">
        <v>69</v>
      </c>
      <c r="G130" s="1593">
        <v>2007</v>
      </c>
      <c r="H130" s="1593">
        <v>2010</v>
      </c>
      <c r="I130" s="1670">
        <v>22479.4</v>
      </c>
      <c r="J130" s="1595">
        <v>10000</v>
      </c>
      <c r="K130" s="1595">
        <v>3271</v>
      </c>
      <c r="L130" s="1596">
        <v>4000</v>
      </c>
      <c r="M130" s="1597"/>
      <c r="N130" s="1596">
        <v>0</v>
      </c>
      <c r="O130" s="1598"/>
      <c r="P130" s="1666"/>
    </row>
    <row r="131" spans="1:19" s="1587" customFormat="1" ht="25.5">
      <c r="A131" s="1588">
        <v>110</v>
      </c>
      <c r="B131" s="1589">
        <v>600</v>
      </c>
      <c r="C131" s="1590">
        <v>60015</v>
      </c>
      <c r="D131" s="1590">
        <v>6050</v>
      </c>
      <c r="E131" s="1601" t="s">
        <v>769</v>
      </c>
      <c r="F131" s="1590" t="s">
        <v>69</v>
      </c>
      <c r="G131" s="1603">
        <v>2008</v>
      </c>
      <c r="H131" s="1604" t="s">
        <v>770</v>
      </c>
      <c r="I131" s="1594">
        <v>40000</v>
      </c>
      <c r="J131" s="1595">
        <v>977</v>
      </c>
      <c r="K131" s="1595">
        <v>480</v>
      </c>
      <c r="L131" s="1596">
        <v>798</v>
      </c>
      <c r="M131" s="1597"/>
      <c r="N131" s="1596"/>
      <c r="O131" s="1598"/>
      <c r="P131" s="1586"/>
      <c r="Q131" s="1586"/>
      <c r="R131" s="1586"/>
      <c r="S131" s="1586"/>
    </row>
    <row r="132" spans="1:18" s="1599" customFormat="1" ht="25.5" customHeight="1">
      <c r="A132" s="1588">
        <v>83</v>
      </c>
      <c r="B132" s="1589">
        <v>600</v>
      </c>
      <c r="C132" s="1590">
        <v>60016</v>
      </c>
      <c r="D132" s="1591">
        <v>6050</v>
      </c>
      <c r="E132" s="1592" t="s">
        <v>162</v>
      </c>
      <c r="F132" s="1590" t="s">
        <v>86</v>
      </c>
      <c r="G132" s="1593">
        <v>2007</v>
      </c>
      <c r="H132" s="1593" t="s">
        <v>87</v>
      </c>
      <c r="I132" s="1594">
        <v>10000</v>
      </c>
      <c r="J132" s="1595">
        <v>450</v>
      </c>
      <c r="K132" s="1595">
        <v>500</v>
      </c>
      <c r="L132" s="1596">
        <v>0</v>
      </c>
      <c r="M132" s="1597"/>
      <c r="N132" s="1596">
        <v>0</v>
      </c>
      <c r="O132" s="1598"/>
      <c r="P132" s="1535"/>
      <c r="Q132" s="1535"/>
      <c r="R132" s="1535"/>
    </row>
    <row r="133" spans="1:18" s="1615" customFormat="1" ht="18" customHeight="1">
      <c r="A133" s="1588">
        <v>84</v>
      </c>
      <c r="B133" s="1600">
        <v>600</v>
      </c>
      <c r="C133" s="1590">
        <v>60016</v>
      </c>
      <c r="D133" s="1591">
        <v>6050</v>
      </c>
      <c r="E133" s="1610" t="s">
        <v>163</v>
      </c>
      <c r="F133" s="1616" t="s">
        <v>86</v>
      </c>
      <c r="G133" s="1593">
        <v>1998</v>
      </c>
      <c r="H133" s="1593" t="s">
        <v>87</v>
      </c>
      <c r="I133" s="1594">
        <v>6740</v>
      </c>
      <c r="J133" s="1594">
        <v>1800</v>
      </c>
      <c r="K133" s="1594">
        <v>3100</v>
      </c>
      <c r="L133" s="1605">
        <v>1000</v>
      </c>
      <c r="M133" s="1606"/>
      <c r="N133" s="1605">
        <v>1000</v>
      </c>
      <c r="O133" s="1607"/>
      <c r="P133" s="1602"/>
      <c r="Q133" s="1602"/>
      <c r="R133" s="1602"/>
    </row>
    <row r="134" spans="1:18" s="1615" customFormat="1" ht="18" customHeight="1">
      <c r="A134" s="1588">
        <v>85</v>
      </c>
      <c r="B134" s="1600">
        <v>600</v>
      </c>
      <c r="C134" s="1590">
        <v>60016</v>
      </c>
      <c r="D134" s="1591">
        <v>6050</v>
      </c>
      <c r="E134" s="1610" t="s">
        <v>164</v>
      </c>
      <c r="F134" s="1616" t="s">
        <v>86</v>
      </c>
      <c r="G134" s="1593">
        <v>2007</v>
      </c>
      <c r="H134" s="1611" t="s">
        <v>87</v>
      </c>
      <c r="I134" s="1594">
        <v>2500</v>
      </c>
      <c r="J134" s="1595">
        <v>10</v>
      </c>
      <c r="K134" s="1595">
        <v>1500</v>
      </c>
      <c r="L134" s="1596">
        <v>100</v>
      </c>
      <c r="M134" s="1597"/>
      <c r="N134" s="1596">
        <v>600</v>
      </c>
      <c r="O134" s="1598"/>
      <c r="P134" s="1602"/>
      <c r="Q134" s="1602"/>
      <c r="R134" s="1602"/>
    </row>
    <row r="135" spans="1:19" s="1599" customFormat="1" ht="18" customHeight="1">
      <c r="A135" s="1588">
        <v>86</v>
      </c>
      <c r="B135" s="1600">
        <v>600</v>
      </c>
      <c r="C135" s="1590">
        <v>60016</v>
      </c>
      <c r="D135" s="1591">
        <v>6050</v>
      </c>
      <c r="E135" s="1592" t="s">
        <v>165</v>
      </c>
      <c r="F135" s="1590" t="s">
        <v>86</v>
      </c>
      <c r="G135" s="1593">
        <v>2006</v>
      </c>
      <c r="H135" s="1593">
        <v>2011</v>
      </c>
      <c r="I135" s="1594">
        <v>1200</v>
      </c>
      <c r="J135" s="1595">
        <v>10</v>
      </c>
      <c r="K135" s="1595">
        <v>100</v>
      </c>
      <c r="L135" s="1596">
        <v>0</v>
      </c>
      <c r="M135" s="1597"/>
      <c r="N135" s="1596"/>
      <c r="O135" s="1598"/>
      <c r="P135" s="1537"/>
      <c r="Q135" s="1535"/>
      <c r="R135" s="1535"/>
      <c r="S135" s="1535"/>
    </row>
    <row r="136" spans="1:18" s="1599" customFormat="1" ht="18" customHeight="1">
      <c r="A136" s="1588">
        <v>23</v>
      </c>
      <c r="B136" s="1600">
        <v>600</v>
      </c>
      <c r="C136" s="1590">
        <v>60053</v>
      </c>
      <c r="D136" s="1591">
        <v>6050</v>
      </c>
      <c r="E136" s="1592" t="s">
        <v>771</v>
      </c>
      <c r="F136" s="1590" t="s">
        <v>93</v>
      </c>
      <c r="G136" s="1593">
        <v>2006</v>
      </c>
      <c r="H136" s="1593">
        <v>2011</v>
      </c>
      <c r="I136" s="1594">
        <v>2900</v>
      </c>
      <c r="J136" s="1595">
        <v>990</v>
      </c>
      <c r="K136" s="1595">
        <v>700</v>
      </c>
      <c r="L136" s="1596">
        <v>1200</v>
      </c>
      <c r="M136" s="1597"/>
      <c r="N136" s="1596">
        <v>0</v>
      </c>
      <c r="O136" s="1598"/>
      <c r="P136" s="1535"/>
      <c r="Q136" s="1535"/>
      <c r="R136" s="1535"/>
    </row>
    <row r="137" spans="1:18" s="1599" customFormat="1" ht="18" customHeight="1">
      <c r="A137" s="1588">
        <v>115</v>
      </c>
      <c r="B137" s="1600">
        <v>600</v>
      </c>
      <c r="C137" s="1590">
        <v>60053</v>
      </c>
      <c r="D137" s="1591">
        <v>6050</v>
      </c>
      <c r="E137" s="1592" t="s">
        <v>782</v>
      </c>
      <c r="F137" s="1590" t="s">
        <v>93</v>
      </c>
      <c r="G137" s="1593">
        <v>2009</v>
      </c>
      <c r="H137" s="1593">
        <v>2009</v>
      </c>
      <c r="I137" s="1594">
        <v>10</v>
      </c>
      <c r="J137" s="1595">
        <v>10</v>
      </c>
      <c r="K137" s="1595">
        <v>0</v>
      </c>
      <c r="L137" s="1596">
        <v>0</v>
      </c>
      <c r="M137" s="1597"/>
      <c r="N137" s="1596">
        <v>0</v>
      </c>
      <c r="O137" s="1598"/>
      <c r="P137" s="1535"/>
      <c r="Q137" s="1535"/>
      <c r="R137" s="1535"/>
    </row>
    <row r="138" spans="1:19" s="1599" customFormat="1" ht="25.5">
      <c r="A138" s="1588">
        <v>87</v>
      </c>
      <c r="B138" s="1589">
        <v>754</v>
      </c>
      <c r="C138" s="1590">
        <v>75495</v>
      </c>
      <c r="D138" s="1591">
        <v>6050</v>
      </c>
      <c r="E138" s="1592" t="s">
        <v>796</v>
      </c>
      <c r="F138" s="1590" t="s">
        <v>93</v>
      </c>
      <c r="G138" s="1593">
        <v>2009</v>
      </c>
      <c r="H138" s="1593">
        <v>2011</v>
      </c>
      <c r="I138" s="1594">
        <f>SUM(J138:N138)</f>
        <v>11200</v>
      </c>
      <c r="J138" s="1595">
        <v>100</v>
      </c>
      <c r="K138" s="1595">
        <v>1300</v>
      </c>
      <c r="L138" s="1596">
        <v>1800</v>
      </c>
      <c r="M138" s="1597"/>
      <c r="N138" s="1596">
        <v>8000</v>
      </c>
      <c r="O138" s="1598"/>
      <c r="P138" s="1537"/>
      <c r="Q138" s="1535"/>
      <c r="R138" s="1535"/>
      <c r="S138" s="1535"/>
    </row>
    <row r="139" spans="1:18" s="1599" customFormat="1" ht="18" customHeight="1">
      <c r="A139" s="1588">
        <v>88</v>
      </c>
      <c r="B139" s="1589">
        <v>801</v>
      </c>
      <c r="C139" s="1590">
        <v>80101</v>
      </c>
      <c r="D139" s="1590">
        <v>6050</v>
      </c>
      <c r="E139" s="1618" t="s">
        <v>166</v>
      </c>
      <c r="F139" s="1694" t="s">
        <v>86</v>
      </c>
      <c r="G139" s="1695">
        <v>2008</v>
      </c>
      <c r="H139" s="1696">
        <v>2009</v>
      </c>
      <c r="I139" s="1697">
        <v>3100</v>
      </c>
      <c r="J139" s="1698">
        <v>2180</v>
      </c>
      <c r="K139" s="1698">
        <v>0</v>
      </c>
      <c r="L139" s="1624">
        <v>0</v>
      </c>
      <c r="M139" s="1640"/>
      <c r="N139" s="1699">
        <v>0</v>
      </c>
      <c r="O139" s="1632"/>
      <c r="P139" s="1535"/>
      <c r="Q139" s="1535"/>
      <c r="R139" s="1535"/>
    </row>
    <row r="140" spans="1:18" s="1599" customFormat="1" ht="18" customHeight="1">
      <c r="A140" s="1588">
        <v>89</v>
      </c>
      <c r="B140" s="1589">
        <v>801</v>
      </c>
      <c r="C140" s="1590">
        <v>80101</v>
      </c>
      <c r="D140" s="1590">
        <v>6050</v>
      </c>
      <c r="E140" s="1618" t="s">
        <v>167</v>
      </c>
      <c r="F140" s="1590" t="s">
        <v>86</v>
      </c>
      <c r="G140" s="1611">
        <v>2008</v>
      </c>
      <c r="H140" s="1611">
        <v>2009</v>
      </c>
      <c r="I140" s="1619">
        <v>1530</v>
      </c>
      <c r="J140" s="1620">
        <v>1560</v>
      </c>
      <c r="K140" s="1620">
        <v>0</v>
      </c>
      <c r="L140" s="1621">
        <v>0</v>
      </c>
      <c r="M140" s="1622"/>
      <c r="N140" s="1596"/>
      <c r="O140" s="1598"/>
      <c r="P140" s="1535"/>
      <c r="Q140" s="1535"/>
      <c r="R140" s="1535"/>
    </row>
    <row r="141" spans="1:18" s="1599" customFormat="1" ht="18" customHeight="1">
      <c r="A141" s="1588">
        <v>90</v>
      </c>
      <c r="B141" s="1589">
        <v>801</v>
      </c>
      <c r="C141" s="1590">
        <v>80101</v>
      </c>
      <c r="D141" s="1590">
        <v>6050</v>
      </c>
      <c r="E141" s="1618" t="s">
        <v>168</v>
      </c>
      <c r="F141" s="1590" t="s">
        <v>139</v>
      </c>
      <c r="G141" s="1611">
        <v>2008</v>
      </c>
      <c r="H141" s="1611">
        <v>2011</v>
      </c>
      <c r="I141" s="1619">
        <v>3000</v>
      </c>
      <c r="J141" s="1620">
        <v>500</v>
      </c>
      <c r="K141" s="1620">
        <v>1500</v>
      </c>
      <c r="L141" s="1621">
        <v>1000</v>
      </c>
      <c r="M141" s="1622"/>
      <c r="N141" s="1596"/>
      <c r="O141" s="1598"/>
      <c r="P141" s="1535"/>
      <c r="Q141" s="1535"/>
      <c r="R141" s="1535"/>
    </row>
    <row r="142" spans="1:18" s="1599" customFormat="1" ht="18" customHeight="1">
      <c r="A142" s="1588">
        <v>91</v>
      </c>
      <c r="B142" s="1589">
        <v>801</v>
      </c>
      <c r="C142" s="1590">
        <v>80110</v>
      </c>
      <c r="D142" s="1590">
        <v>6050</v>
      </c>
      <c r="E142" s="1618" t="s">
        <v>169</v>
      </c>
      <c r="F142" s="1590" t="s">
        <v>139</v>
      </c>
      <c r="G142" s="1593">
        <v>2007</v>
      </c>
      <c r="H142" s="1611">
        <v>2011</v>
      </c>
      <c r="I142" s="1594">
        <v>11500</v>
      </c>
      <c r="J142" s="1595">
        <v>500</v>
      </c>
      <c r="K142" s="1595">
        <v>2450</v>
      </c>
      <c r="L142" s="1596">
        <v>7000</v>
      </c>
      <c r="M142" s="1597"/>
      <c r="N142" s="1631">
        <v>900</v>
      </c>
      <c r="O142" s="1632"/>
      <c r="P142" s="1535"/>
      <c r="Q142" s="1535"/>
      <c r="R142" s="1535"/>
    </row>
    <row r="143" spans="1:18" s="1599" customFormat="1" ht="17.25" customHeight="1">
      <c r="A143" s="1588">
        <v>105</v>
      </c>
      <c r="B143" s="1589">
        <v>801</v>
      </c>
      <c r="C143" s="1590">
        <v>80195</v>
      </c>
      <c r="D143" s="1590">
        <v>6050</v>
      </c>
      <c r="E143" s="1618" t="s">
        <v>747</v>
      </c>
      <c r="F143" s="1590" t="s">
        <v>136</v>
      </c>
      <c r="G143" s="1611">
        <v>2009</v>
      </c>
      <c r="H143" s="1611">
        <v>2009</v>
      </c>
      <c r="I143" s="1619">
        <f>SUM(J143:L143)</f>
        <v>25000</v>
      </c>
      <c r="J143" s="1620">
        <v>2170</v>
      </c>
      <c r="K143" s="1620">
        <v>11415</v>
      </c>
      <c r="L143" s="1621">
        <v>11415</v>
      </c>
      <c r="M143" s="1622"/>
      <c r="N143" s="1596">
        <v>0</v>
      </c>
      <c r="O143" s="1598"/>
      <c r="P143" s="1535"/>
      <c r="Q143" s="1535"/>
      <c r="R143" s="1535"/>
    </row>
    <row r="144" spans="1:18" s="1599" customFormat="1" ht="25.5">
      <c r="A144" s="1588">
        <v>92</v>
      </c>
      <c r="B144" s="1589">
        <v>900</v>
      </c>
      <c r="C144" s="1590">
        <v>90001</v>
      </c>
      <c r="D144" s="1590">
        <v>6050</v>
      </c>
      <c r="E144" s="1633" t="s">
        <v>170</v>
      </c>
      <c r="F144" s="1700" t="s">
        <v>86</v>
      </c>
      <c r="G144" s="1593">
        <v>2004</v>
      </c>
      <c r="H144" s="1611">
        <v>2011</v>
      </c>
      <c r="I144" s="1670">
        <v>6600</v>
      </c>
      <c r="J144" s="1595">
        <v>1600</v>
      </c>
      <c r="K144" s="1595">
        <v>2800</v>
      </c>
      <c r="L144" s="1596">
        <v>0</v>
      </c>
      <c r="M144" s="1597"/>
      <c r="N144" s="1596">
        <v>3000</v>
      </c>
      <c r="O144" s="1598"/>
      <c r="P144" s="1535"/>
      <c r="Q144" s="1535"/>
      <c r="R144" s="1535"/>
    </row>
    <row r="145" spans="1:18" s="1599" customFormat="1" ht="25.5" customHeight="1">
      <c r="A145" s="1588">
        <v>93</v>
      </c>
      <c r="B145" s="1600">
        <v>900</v>
      </c>
      <c r="C145" s="1590">
        <v>90001</v>
      </c>
      <c r="D145" s="1590">
        <v>6050</v>
      </c>
      <c r="E145" s="1592" t="s">
        <v>171</v>
      </c>
      <c r="F145" s="1591" t="s">
        <v>86</v>
      </c>
      <c r="G145" s="1593">
        <v>2004</v>
      </c>
      <c r="H145" s="1611" t="s">
        <v>87</v>
      </c>
      <c r="I145" s="1594">
        <v>35000</v>
      </c>
      <c r="J145" s="1595">
        <v>4500</v>
      </c>
      <c r="K145" s="1595">
        <v>3000</v>
      </c>
      <c r="L145" s="1596">
        <v>6200</v>
      </c>
      <c r="M145" s="1597"/>
      <c r="N145" s="1596">
        <v>0</v>
      </c>
      <c r="O145" s="1598"/>
      <c r="P145" s="1535"/>
      <c r="Q145" s="1535"/>
      <c r="R145" s="1535"/>
    </row>
    <row r="146" spans="1:18" s="1599" customFormat="1" ht="18" customHeight="1">
      <c r="A146" s="1588">
        <v>94</v>
      </c>
      <c r="B146" s="1589">
        <v>900</v>
      </c>
      <c r="C146" s="1590">
        <v>90001</v>
      </c>
      <c r="D146" s="1590">
        <v>6050</v>
      </c>
      <c r="E146" s="1610" t="s">
        <v>172</v>
      </c>
      <c r="F146" s="1590" t="s">
        <v>86</v>
      </c>
      <c r="G146" s="1593">
        <v>2007</v>
      </c>
      <c r="H146" s="1611" t="s">
        <v>87</v>
      </c>
      <c r="I146" s="1594">
        <v>5000</v>
      </c>
      <c r="J146" s="1595">
        <v>40</v>
      </c>
      <c r="K146" s="1595">
        <v>500</v>
      </c>
      <c r="L146" s="1596">
        <v>500</v>
      </c>
      <c r="M146" s="1597"/>
      <c r="N146" s="1596">
        <v>500</v>
      </c>
      <c r="O146" s="1598"/>
      <c r="P146" s="1535"/>
      <c r="Q146" s="1535"/>
      <c r="R146" s="1535"/>
    </row>
    <row r="147" spans="1:18" s="1599" customFormat="1" ht="18" customHeight="1">
      <c r="A147" s="1588">
        <v>95</v>
      </c>
      <c r="B147" s="1600">
        <v>900</v>
      </c>
      <c r="C147" s="1590">
        <v>90001</v>
      </c>
      <c r="D147" s="1590">
        <v>6050</v>
      </c>
      <c r="E147" s="1610" t="s">
        <v>173</v>
      </c>
      <c r="F147" s="1701" t="s">
        <v>86</v>
      </c>
      <c r="G147" s="1635">
        <v>2004</v>
      </c>
      <c r="H147" s="1636" t="s">
        <v>87</v>
      </c>
      <c r="I147" s="1607">
        <v>6400</v>
      </c>
      <c r="J147" s="1698">
        <v>500</v>
      </c>
      <c r="K147" s="1698">
        <v>2900</v>
      </c>
      <c r="L147" s="1624">
        <v>3000</v>
      </c>
      <c r="M147" s="1640"/>
      <c r="N147" s="1699">
        <v>1000</v>
      </c>
      <c r="O147" s="1632"/>
      <c r="P147" s="1535"/>
      <c r="Q147" s="1535"/>
      <c r="R147" s="1535"/>
    </row>
    <row r="148" spans="1:18" s="1599" customFormat="1" ht="18.75" customHeight="1">
      <c r="A148" s="1588">
        <v>96</v>
      </c>
      <c r="B148" s="1589">
        <v>900</v>
      </c>
      <c r="C148" s="1590">
        <v>90001</v>
      </c>
      <c r="D148" s="1590">
        <v>6050</v>
      </c>
      <c r="E148" s="1610" t="s">
        <v>174</v>
      </c>
      <c r="F148" s="1616" t="s">
        <v>86</v>
      </c>
      <c r="G148" s="1611">
        <v>2007</v>
      </c>
      <c r="H148" s="1611" t="s">
        <v>87</v>
      </c>
      <c r="I148" s="1619">
        <v>3000</v>
      </c>
      <c r="J148" s="1620">
        <v>1060</v>
      </c>
      <c r="K148" s="1620">
        <v>1070</v>
      </c>
      <c r="L148" s="1621">
        <v>0</v>
      </c>
      <c r="M148" s="1622"/>
      <c r="N148" s="1596">
        <v>1000</v>
      </c>
      <c r="O148" s="1598"/>
      <c r="P148" s="1535"/>
      <c r="Q148" s="1535"/>
      <c r="R148" s="1535"/>
    </row>
    <row r="149" spans="1:18" s="1599" customFormat="1" ht="18.75" customHeight="1">
      <c r="A149" s="1588">
        <v>97</v>
      </c>
      <c r="B149" s="1589">
        <v>900</v>
      </c>
      <c r="C149" s="1590">
        <v>90001</v>
      </c>
      <c r="D149" s="1590">
        <v>6050</v>
      </c>
      <c r="E149" s="1610" t="s">
        <v>175</v>
      </c>
      <c r="F149" s="1616" t="s">
        <v>86</v>
      </c>
      <c r="G149" s="1611">
        <v>2000</v>
      </c>
      <c r="H149" s="1611" t="s">
        <v>87</v>
      </c>
      <c r="I149" s="1619">
        <v>2400</v>
      </c>
      <c r="J149" s="1620">
        <v>50</v>
      </c>
      <c r="K149" s="1620">
        <v>620</v>
      </c>
      <c r="L149" s="1621">
        <v>0</v>
      </c>
      <c r="M149" s="1622"/>
      <c r="N149" s="1596">
        <v>1000</v>
      </c>
      <c r="O149" s="1598"/>
      <c r="P149" s="1535"/>
      <c r="Q149" s="1535"/>
      <c r="R149" s="1535"/>
    </row>
    <row r="150" spans="1:18" s="1599" customFormat="1" ht="18.75" customHeight="1">
      <c r="A150" s="1588">
        <v>104</v>
      </c>
      <c r="B150" s="1589">
        <v>900</v>
      </c>
      <c r="C150" s="1590">
        <v>90001</v>
      </c>
      <c r="D150" s="1590">
        <v>6050</v>
      </c>
      <c r="E150" s="1610" t="s">
        <v>758</v>
      </c>
      <c r="F150" s="1616" t="s">
        <v>86</v>
      </c>
      <c r="G150" s="1611">
        <v>2009</v>
      </c>
      <c r="H150" s="1611">
        <v>2010</v>
      </c>
      <c r="I150" s="1619">
        <f>SUM(J150:L150)</f>
        <v>3620</v>
      </c>
      <c r="J150" s="1620">
        <v>500</v>
      </c>
      <c r="K150" s="1620">
        <v>760</v>
      </c>
      <c r="L150" s="1621">
        <v>2360</v>
      </c>
      <c r="M150" s="1622"/>
      <c r="N150" s="1596">
        <v>1000</v>
      </c>
      <c r="O150" s="1598"/>
      <c r="P150" s="1535"/>
      <c r="Q150" s="1535"/>
      <c r="R150" s="1535"/>
    </row>
    <row r="151" spans="1:18" s="1599" customFormat="1" ht="18.75" customHeight="1">
      <c r="A151" s="1588">
        <v>98</v>
      </c>
      <c r="B151" s="1589">
        <v>900</v>
      </c>
      <c r="C151" s="1590">
        <v>90001</v>
      </c>
      <c r="D151" s="1590">
        <v>6050</v>
      </c>
      <c r="E151" s="1610" t="s">
        <v>176</v>
      </c>
      <c r="F151" s="1616" t="s">
        <v>86</v>
      </c>
      <c r="G151" s="1611">
        <v>2008</v>
      </c>
      <c r="H151" s="1611">
        <v>2010</v>
      </c>
      <c r="I151" s="1619">
        <v>600</v>
      </c>
      <c r="J151" s="1620">
        <v>30</v>
      </c>
      <c r="K151" s="1620">
        <v>300</v>
      </c>
      <c r="L151" s="1621">
        <v>0</v>
      </c>
      <c r="M151" s="1622"/>
      <c r="N151" s="1596"/>
      <c r="O151" s="1598"/>
      <c r="P151" s="1535"/>
      <c r="Q151" s="1535"/>
      <c r="R151" s="1535"/>
    </row>
    <row r="152" spans="1:19" s="1599" customFormat="1" ht="19.5" customHeight="1">
      <c r="A152" s="1588">
        <v>99</v>
      </c>
      <c r="B152" s="1589">
        <v>900</v>
      </c>
      <c r="C152" s="1590">
        <v>90004</v>
      </c>
      <c r="D152" s="1590">
        <v>6050</v>
      </c>
      <c r="E152" s="1633" t="s">
        <v>753</v>
      </c>
      <c r="F152" s="1590" t="s">
        <v>69</v>
      </c>
      <c r="G152" s="1593">
        <v>2009</v>
      </c>
      <c r="H152" s="1593">
        <v>2009</v>
      </c>
      <c r="I152" s="1594">
        <v>5000</v>
      </c>
      <c r="J152" s="1595">
        <v>900</v>
      </c>
      <c r="K152" s="1595">
        <v>1000</v>
      </c>
      <c r="L152" s="1596">
        <v>1000</v>
      </c>
      <c r="M152" s="1597"/>
      <c r="N152" s="1596">
        <v>0</v>
      </c>
      <c r="O152" s="1598"/>
      <c r="P152" s="1537"/>
      <c r="Q152" s="1535"/>
      <c r="R152" s="1535"/>
      <c r="S152" s="1535"/>
    </row>
    <row r="153" spans="1:18" s="1599" customFormat="1" ht="16.5" customHeight="1">
      <c r="A153" s="1588">
        <v>100</v>
      </c>
      <c r="B153" s="1600">
        <v>900</v>
      </c>
      <c r="C153" s="1590">
        <v>90015</v>
      </c>
      <c r="D153" s="1590">
        <v>6050</v>
      </c>
      <c r="E153" s="1610" t="s">
        <v>177</v>
      </c>
      <c r="F153" s="1616" t="s">
        <v>86</v>
      </c>
      <c r="G153" s="1611">
        <v>2003</v>
      </c>
      <c r="H153" s="1611" t="s">
        <v>87</v>
      </c>
      <c r="I153" s="1619">
        <v>950</v>
      </c>
      <c r="J153" s="1620">
        <v>10</v>
      </c>
      <c r="K153" s="1620">
        <v>100</v>
      </c>
      <c r="L153" s="1621">
        <v>100</v>
      </c>
      <c r="M153" s="1622"/>
      <c r="N153" s="1596">
        <v>100</v>
      </c>
      <c r="O153" s="1598"/>
      <c r="P153" s="1535"/>
      <c r="Q153" s="1535"/>
      <c r="R153" s="1535"/>
    </row>
    <row r="154" spans="1:18" s="1599" customFormat="1" ht="38.25">
      <c r="A154" s="1588">
        <v>121</v>
      </c>
      <c r="B154" s="1600">
        <v>900</v>
      </c>
      <c r="C154" s="1590">
        <v>90095</v>
      </c>
      <c r="D154" s="1590">
        <v>6050</v>
      </c>
      <c r="E154" s="1633" t="s">
        <v>809</v>
      </c>
      <c r="F154" s="1616" t="s">
        <v>86</v>
      </c>
      <c r="G154" s="1611">
        <v>2009</v>
      </c>
      <c r="H154" s="1611">
        <v>2013</v>
      </c>
      <c r="I154" s="1619">
        <v>280000</v>
      </c>
      <c r="J154" s="1620">
        <v>500</v>
      </c>
      <c r="K154" s="1620">
        <v>1000</v>
      </c>
      <c r="L154" s="1621">
        <v>20000</v>
      </c>
      <c r="M154" s="1622"/>
      <c r="N154" s="1596">
        <v>100</v>
      </c>
      <c r="O154" s="1598"/>
      <c r="P154" s="1535"/>
      <c r="Q154" s="1535"/>
      <c r="R154" s="1535"/>
    </row>
    <row r="155" spans="1:18" s="1599" customFormat="1" ht="18" customHeight="1">
      <c r="A155" s="1588">
        <v>101</v>
      </c>
      <c r="B155" s="1600">
        <v>921</v>
      </c>
      <c r="C155" s="1590">
        <v>92108</v>
      </c>
      <c r="D155" s="1591">
        <v>6050</v>
      </c>
      <c r="E155" s="1633" t="s">
        <v>178</v>
      </c>
      <c r="F155" s="1669" t="s">
        <v>108</v>
      </c>
      <c r="G155" s="1593">
        <v>2008</v>
      </c>
      <c r="H155" s="1611" t="s">
        <v>87</v>
      </c>
      <c r="I155" s="1670">
        <v>30000</v>
      </c>
      <c r="J155" s="1595">
        <v>1000</v>
      </c>
      <c r="K155" s="1595">
        <v>2000</v>
      </c>
      <c r="L155" s="1596">
        <v>10000</v>
      </c>
      <c r="M155" s="1597"/>
      <c r="N155" s="1596">
        <v>18000</v>
      </c>
      <c r="O155" s="1598"/>
      <c r="P155" s="1535"/>
      <c r="Q155" s="1535"/>
      <c r="R155" s="1535"/>
    </row>
    <row r="156" spans="1:18" s="1599" customFormat="1" ht="18" customHeight="1">
      <c r="A156" s="1588">
        <v>108</v>
      </c>
      <c r="B156" s="1884">
        <v>926</v>
      </c>
      <c r="C156" s="1703">
        <v>92601</v>
      </c>
      <c r="D156" s="1895">
        <v>6050</v>
      </c>
      <c r="E156" s="1896" t="s">
        <v>754</v>
      </c>
      <c r="F156" s="1897" t="s">
        <v>86</v>
      </c>
      <c r="G156" s="1593">
        <v>2009</v>
      </c>
      <c r="H156" s="1611">
        <v>2012</v>
      </c>
      <c r="I156" s="1670">
        <v>47651.1</v>
      </c>
      <c r="J156" s="1595">
        <v>734.54</v>
      </c>
      <c r="K156" s="1595">
        <v>3028.2</v>
      </c>
      <c r="L156" s="1596">
        <v>7676.7</v>
      </c>
      <c r="M156" s="1597"/>
      <c r="N156" s="1596"/>
      <c r="O156" s="1598"/>
      <c r="P156" s="1535"/>
      <c r="Q156" s="1535"/>
      <c r="R156" s="1535"/>
    </row>
    <row r="157" spans="1:18" s="1599" customFormat="1" ht="18" customHeight="1">
      <c r="A157" s="1588">
        <v>102</v>
      </c>
      <c r="B157" s="1702">
        <v>926</v>
      </c>
      <c r="C157" s="1703">
        <v>92601</v>
      </c>
      <c r="D157" s="1703">
        <v>6050</v>
      </c>
      <c r="E157" s="1704" t="s">
        <v>799</v>
      </c>
      <c r="F157" s="1703" t="s">
        <v>108</v>
      </c>
      <c r="G157" s="1611">
        <v>2008</v>
      </c>
      <c r="H157" s="1611">
        <v>2009</v>
      </c>
      <c r="I157" s="1619">
        <v>2000</v>
      </c>
      <c r="J157" s="1620">
        <v>1400</v>
      </c>
      <c r="K157" s="1620">
        <v>0</v>
      </c>
      <c r="L157" s="1621">
        <v>0</v>
      </c>
      <c r="M157" s="1622"/>
      <c r="N157" s="1596"/>
      <c r="O157" s="1598"/>
      <c r="P157" s="1535"/>
      <c r="Q157" s="1535"/>
      <c r="R157" s="1535"/>
    </row>
    <row r="158" spans="1:18" s="1599" customFormat="1" ht="20.25" customHeight="1" thickBot="1">
      <c r="A158" s="1588">
        <v>103</v>
      </c>
      <c r="B158" s="1589">
        <v>926</v>
      </c>
      <c r="C158" s="1590">
        <v>92601</v>
      </c>
      <c r="D158" s="1590">
        <v>6050</v>
      </c>
      <c r="E158" s="1618" t="s">
        <v>179</v>
      </c>
      <c r="F158" s="1590" t="s">
        <v>108</v>
      </c>
      <c r="G158" s="1611">
        <v>2008</v>
      </c>
      <c r="H158" s="1611">
        <v>2009</v>
      </c>
      <c r="I158" s="1619">
        <v>2000</v>
      </c>
      <c r="J158" s="1620">
        <v>1400</v>
      </c>
      <c r="K158" s="1620">
        <v>0</v>
      </c>
      <c r="L158" s="1621">
        <v>0</v>
      </c>
      <c r="M158" s="1622"/>
      <c r="N158" s="1596"/>
      <c r="O158" s="1598"/>
      <c r="P158" s="1535"/>
      <c r="Q158" s="1535"/>
      <c r="R158" s="1535"/>
    </row>
    <row r="159" spans="1:28" s="1682" customFormat="1" ht="24.75" customHeight="1" thickBot="1" thickTop="1">
      <c r="A159" s="1705"/>
      <c r="B159" s="1706"/>
      <c r="C159" s="1706"/>
      <c r="D159" s="1707"/>
      <c r="E159" s="1708" t="s">
        <v>180</v>
      </c>
      <c r="F159" s="1708"/>
      <c r="G159" s="1709"/>
      <c r="H159" s="1710"/>
      <c r="I159" s="1710"/>
      <c r="J159" s="1711">
        <f>J10+J64+J123</f>
        <v>86746.142</v>
      </c>
      <c r="K159" s="1711">
        <f>K10+K64+K123</f>
        <v>96484.2</v>
      </c>
      <c r="L159" s="1680">
        <f>L10+L64+L123</f>
        <v>135041.7</v>
      </c>
      <c r="M159" s="1679"/>
      <c r="N159" s="1680" t="e">
        <f>N10+N64+N123</f>
        <v>#REF!</v>
      </c>
      <c r="O159" s="1681"/>
      <c r="P159" s="1660"/>
      <c r="Q159" s="1660"/>
      <c r="R159" s="1660"/>
      <c r="S159" s="1660"/>
      <c r="T159" s="1660"/>
      <c r="U159" s="1660"/>
      <c r="V159" s="1660"/>
      <c r="W159" s="1660"/>
      <c r="X159" s="1660"/>
      <c r="Y159" s="1660"/>
      <c r="Z159" s="1660"/>
      <c r="AA159" s="1660"/>
      <c r="AB159" s="1660"/>
    </row>
    <row r="160" spans="2:28" s="1682" customFormat="1" ht="6" customHeight="1" thickTop="1">
      <c r="B160" s="1712"/>
      <c r="C160" s="1712"/>
      <c r="D160" s="1713"/>
      <c r="E160" s="1714"/>
      <c r="F160" s="1714"/>
      <c r="G160" s="1715"/>
      <c r="H160" s="1716"/>
      <c r="I160" s="1716"/>
      <c r="J160" s="1681"/>
      <c r="K160" s="1681"/>
      <c r="L160" s="1681"/>
      <c r="M160" s="1681"/>
      <c r="N160" s="1681"/>
      <c r="O160" s="1681"/>
      <c r="P160" s="1660"/>
      <c r="Q160" s="1660"/>
      <c r="R160" s="1660"/>
      <c r="S160" s="1660"/>
      <c r="T160" s="1660"/>
      <c r="U160" s="1660"/>
      <c r="V160" s="1660"/>
      <c r="W160" s="1660"/>
      <c r="X160" s="1660"/>
      <c r="Y160" s="1660"/>
      <c r="Z160" s="1660"/>
      <c r="AA160" s="1660"/>
      <c r="AB160" s="1660"/>
    </row>
    <row r="161" spans="1:5" s="1405" customFormat="1" ht="12.75">
      <c r="A161" s="87" t="s">
        <v>724</v>
      </c>
      <c r="B161" s="1526"/>
      <c r="D161" s="1406"/>
      <c r="E161" s="1527"/>
    </row>
    <row r="162" spans="1:10" s="1405" customFormat="1" ht="12.75">
      <c r="A162" s="87" t="s">
        <v>296</v>
      </c>
      <c r="B162" s="1526"/>
      <c r="D162" s="1406"/>
      <c r="E162" s="1527"/>
      <c r="J162" s="1405" t="s">
        <v>438</v>
      </c>
    </row>
    <row r="163" spans="1:10" s="1405" customFormat="1" ht="12.75">
      <c r="A163" s="87" t="s">
        <v>811</v>
      </c>
      <c r="B163" s="1526"/>
      <c r="D163" s="1406"/>
      <c r="E163" s="1527"/>
      <c r="J163" s="1717"/>
    </row>
    <row r="164" spans="2:19" s="1718" customFormat="1" ht="12.75">
      <c r="B164" s="1719"/>
      <c r="E164" s="1720"/>
      <c r="H164" s="1721"/>
      <c r="J164" s="1720"/>
      <c r="K164" s="1720"/>
      <c r="L164" s="1722"/>
      <c r="M164" s="1722"/>
      <c r="N164" s="1723"/>
      <c r="O164" s="1723"/>
      <c r="Q164" s="1720"/>
      <c r="R164" s="1724"/>
      <c r="S164" s="1721"/>
    </row>
    <row r="165" spans="2:19" s="1718" customFormat="1" ht="12.75">
      <c r="B165" s="1725"/>
      <c r="D165" s="1726"/>
      <c r="E165" s="1720"/>
      <c r="H165" s="1721"/>
      <c r="J165" s="1720"/>
      <c r="K165" s="1720"/>
      <c r="L165" s="1722"/>
      <c r="M165" s="1722"/>
      <c r="N165" s="1723"/>
      <c r="O165" s="1723"/>
      <c r="Q165" s="1720"/>
      <c r="R165" s="1724"/>
      <c r="S165" s="1721"/>
    </row>
    <row r="166" spans="4:21" ht="18">
      <c r="D166" s="1727"/>
      <c r="E166" s="1728"/>
      <c r="F166" s="1728"/>
      <c r="G166" s="1729"/>
      <c r="H166" s="1728"/>
      <c r="I166" s="1728"/>
      <c r="J166" s="1728"/>
      <c r="K166" s="1730"/>
      <c r="L166" s="1730"/>
      <c r="M166" s="1730"/>
      <c r="N166" s="1731"/>
      <c r="O166" s="1731"/>
      <c r="P166" s="1730"/>
      <c r="Q166" s="1730"/>
      <c r="R166" s="1730"/>
      <c r="S166" s="1730"/>
      <c r="T166" s="1730"/>
      <c r="U166" s="1730"/>
    </row>
    <row r="167" spans="4:55" s="1730" customFormat="1" ht="18">
      <c r="D167" s="1727"/>
      <c r="E167" s="1643"/>
      <c r="F167" s="1643"/>
      <c r="G167" s="1732"/>
      <c r="H167" s="1643"/>
      <c r="I167" s="1643"/>
      <c r="J167" s="1643"/>
      <c r="K167" s="1733"/>
      <c r="L167" s="1733"/>
      <c r="M167" s="1733"/>
      <c r="N167" s="1734"/>
      <c r="O167" s="1734"/>
      <c r="P167" s="1733"/>
      <c r="Q167" s="1733"/>
      <c r="R167" s="1733"/>
      <c r="S167" s="1733"/>
      <c r="T167" s="1733"/>
      <c r="U167" s="1733"/>
      <c r="V167" s="1733"/>
      <c r="W167" s="1733"/>
      <c r="X167" s="1733"/>
      <c r="Y167" s="1733"/>
      <c r="Z167" s="1733"/>
      <c r="AA167" s="1733"/>
      <c r="AB167" s="1733"/>
      <c r="AC167" s="1733"/>
      <c r="AD167" s="1733"/>
      <c r="AE167" s="1733"/>
      <c r="AF167" s="1733"/>
      <c r="AG167" s="1733"/>
      <c r="AH167" s="1733"/>
      <c r="AI167" s="1733"/>
      <c r="AJ167" s="1733"/>
      <c r="AK167" s="1733"/>
      <c r="AL167" s="1733"/>
      <c r="AM167" s="1733"/>
      <c r="AN167" s="1733"/>
      <c r="AO167" s="1733"/>
      <c r="AP167" s="1733"/>
      <c r="AQ167" s="1733"/>
      <c r="AR167" s="1733"/>
      <c r="AS167" s="1733"/>
      <c r="AT167" s="1733"/>
      <c r="AU167" s="1733"/>
      <c r="AV167" s="1733"/>
      <c r="AW167" s="1733"/>
      <c r="AX167" s="1733"/>
      <c r="AY167" s="1733"/>
      <c r="AZ167" s="1733"/>
      <c r="BA167" s="1733"/>
      <c r="BB167" s="1733"/>
      <c r="BC167" s="1733"/>
    </row>
    <row r="168" spans="4:15" s="1733" customFormat="1" ht="12.75">
      <c r="D168" s="1735"/>
      <c r="E168" s="1643"/>
      <c r="F168" s="1643"/>
      <c r="G168" s="1732"/>
      <c r="H168" s="1643"/>
      <c r="I168" s="1643"/>
      <c r="J168" s="1643"/>
      <c r="N168" s="1734"/>
      <c r="O168" s="1734"/>
    </row>
    <row r="169" spans="4:15" s="1733" customFormat="1" ht="12.75">
      <c r="D169" s="1735"/>
      <c r="E169" s="1643"/>
      <c r="F169" s="1643"/>
      <c r="G169" s="1732"/>
      <c r="H169" s="1643"/>
      <c r="I169" s="1643"/>
      <c r="J169" s="1643"/>
      <c r="N169" s="1734"/>
      <c r="O169" s="1734"/>
    </row>
    <row r="170" spans="4:21" s="1733" customFormat="1" ht="12.75">
      <c r="D170" s="1727"/>
      <c r="E170" s="1736"/>
      <c r="F170" s="1736"/>
      <c r="G170" s="1649"/>
      <c r="H170" s="1736"/>
      <c r="I170" s="1736"/>
      <c r="J170" s="1736"/>
      <c r="K170" s="1736"/>
      <c r="L170" s="1736"/>
      <c r="M170" s="1736"/>
      <c r="N170" s="1598"/>
      <c r="O170" s="1598"/>
      <c r="P170" s="1736"/>
      <c r="Q170" s="1736"/>
      <c r="R170" s="1736"/>
      <c r="S170" s="1736"/>
      <c r="T170" s="1736"/>
      <c r="U170" s="1736"/>
    </row>
    <row r="171" spans="4:55" s="1733" customFormat="1" ht="12.75">
      <c r="D171" s="1727"/>
      <c r="E171" s="1736"/>
      <c r="F171" s="1736"/>
      <c r="G171" s="1649"/>
      <c r="H171" s="1736"/>
      <c r="I171" s="1736"/>
      <c r="J171" s="1736"/>
      <c r="K171" s="1736"/>
      <c r="L171" s="1736"/>
      <c r="M171" s="1736"/>
      <c r="N171" s="1598"/>
      <c r="O171" s="1598"/>
      <c r="P171" s="1736"/>
      <c r="Q171" s="1736"/>
      <c r="R171" s="1736"/>
      <c r="S171" s="1736"/>
      <c r="T171" s="1736"/>
      <c r="U171" s="1736"/>
      <c r="V171" s="1736"/>
      <c r="W171" s="1736"/>
      <c r="X171" s="1736"/>
      <c r="Y171" s="1736"/>
      <c r="Z171" s="1736"/>
      <c r="AA171" s="1736"/>
      <c r="AB171" s="1736"/>
      <c r="AC171" s="1736"/>
      <c r="AD171" s="1736"/>
      <c r="AE171" s="1736"/>
      <c r="AF171" s="1736"/>
      <c r="AG171" s="1736"/>
      <c r="AH171" s="1736"/>
      <c r="AI171" s="1736"/>
      <c r="AJ171" s="1736"/>
      <c r="AK171" s="1736"/>
      <c r="AL171" s="1736"/>
      <c r="AM171" s="1736"/>
      <c r="AN171" s="1736"/>
      <c r="AO171" s="1736"/>
      <c r="AP171" s="1736"/>
      <c r="AQ171" s="1736"/>
      <c r="AR171" s="1736"/>
      <c r="AS171" s="1736"/>
      <c r="AT171" s="1736"/>
      <c r="AU171" s="1736"/>
      <c r="AV171" s="1736"/>
      <c r="AW171" s="1736"/>
      <c r="AX171" s="1736"/>
      <c r="AY171" s="1736"/>
      <c r="AZ171" s="1736"/>
      <c r="BA171" s="1736"/>
      <c r="BB171" s="1736"/>
      <c r="BC171" s="1736"/>
    </row>
    <row r="172" spans="4:27" s="1736" customFormat="1" ht="12.75">
      <c r="D172" s="1727"/>
      <c r="E172" s="1733"/>
      <c r="F172" s="1733"/>
      <c r="G172" s="1649"/>
      <c r="N172" s="1737"/>
      <c r="O172" s="1737"/>
      <c r="P172" s="1643"/>
      <c r="Q172" s="1643"/>
      <c r="R172" s="1643"/>
      <c r="S172" s="1733"/>
      <c r="T172" s="1733"/>
      <c r="U172" s="1733"/>
      <c r="V172" s="1733"/>
      <c r="W172" s="1733"/>
      <c r="X172" s="1733"/>
      <c r="Y172" s="1733"/>
      <c r="Z172" s="1733"/>
      <c r="AA172" s="1733"/>
    </row>
    <row r="173" spans="4:61" s="1736" customFormat="1" ht="12.75">
      <c r="D173" s="1727"/>
      <c r="E173" s="1733"/>
      <c r="F173" s="1733"/>
      <c r="G173" s="1649"/>
      <c r="N173" s="1737"/>
      <c r="O173" s="1737"/>
      <c r="P173" s="1643"/>
      <c r="Q173" s="1643"/>
      <c r="R173" s="1643"/>
      <c r="S173" s="1733"/>
      <c r="T173" s="1733"/>
      <c r="U173" s="1733"/>
      <c r="V173" s="1733"/>
      <c r="W173" s="1733"/>
      <c r="X173" s="1733"/>
      <c r="Y173" s="1733"/>
      <c r="Z173" s="1733"/>
      <c r="AA173" s="1733"/>
      <c r="AB173" s="1733"/>
      <c r="AC173" s="1733"/>
      <c r="AD173" s="1733"/>
      <c r="AE173" s="1733"/>
      <c r="AF173" s="1733"/>
      <c r="AG173" s="1733"/>
      <c r="AH173" s="1733"/>
      <c r="AI173" s="1733"/>
      <c r="AJ173" s="1733"/>
      <c r="AK173" s="1733"/>
      <c r="AL173" s="1733"/>
      <c r="AM173" s="1733"/>
      <c r="AN173" s="1733"/>
      <c r="AO173" s="1733"/>
      <c r="AP173" s="1733"/>
      <c r="AQ173" s="1733"/>
      <c r="AR173" s="1733"/>
      <c r="AS173" s="1733"/>
      <c r="AT173" s="1733"/>
      <c r="AU173" s="1733"/>
      <c r="AV173" s="1733"/>
      <c r="AW173" s="1733"/>
      <c r="AX173" s="1733"/>
      <c r="AY173" s="1733"/>
      <c r="AZ173" s="1733"/>
      <c r="BA173" s="1733"/>
      <c r="BB173" s="1733"/>
      <c r="BC173" s="1733"/>
      <c r="BD173" s="1733"/>
      <c r="BE173" s="1733"/>
      <c r="BF173" s="1733"/>
      <c r="BG173" s="1733"/>
      <c r="BH173" s="1733"/>
      <c r="BI173" s="1733"/>
    </row>
    <row r="174" spans="4:18" s="1733" customFormat="1" ht="12.75">
      <c r="D174" s="1727"/>
      <c r="G174" s="1649"/>
      <c r="H174" s="1736"/>
      <c r="I174" s="1736"/>
      <c r="J174" s="1736"/>
      <c r="K174" s="1736"/>
      <c r="L174" s="1736"/>
      <c r="M174" s="1736"/>
      <c r="N174" s="1737"/>
      <c r="O174" s="1737"/>
      <c r="P174" s="1643"/>
      <c r="Q174" s="1643"/>
      <c r="R174" s="1643"/>
    </row>
    <row r="175" spans="4:18" s="1733" customFormat="1" ht="12.75">
      <c r="D175" s="1727"/>
      <c r="E175" s="1738"/>
      <c r="F175" s="1738"/>
      <c r="G175" s="1739"/>
      <c r="H175" s="1740"/>
      <c r="I175" s="1740"/>
      <c r="J175" s="1740"/>
      <c r="K175" s="1740"/>
      <c r="L175" s="1740"/>
      <c r="M175" s="1740"/>
      <c r="N175" s="1737"/>
      <c r="O175" s="1737"/>
      <c r="P175" s="1643"/>
      <c r="Q175" s="1643"/>
      <c r="R175" s="1643"/>
    </row>
    <row r="176" spans="4:18" s="1733" customFormat="1" ht="12.75">
      <c r="D176" s="1741"/>
      <c r="E176" s="1738"/>
      <c r="F176" s="1738"/>
      <c r="G176" s="1739"/>
      <c r="H176" s="1740"/>
      <c r="I176" s="1740"/>
      <c r="J176" s="1740"/>
      <c r="K176" s="1740"/>
      <c r="L176" s="1740"/>
      <c r="M176" s="1740"/>
      <c r="N176" s="1737"/>
      <c r="O176" s="1737"/>
      <c r="P176" s="1643"/>
      <c r="Q176" s="1643"/>
      <c r="R176" s="1643"/>
    </row>
    <row r="177" spans="4:18" s="1733" customFormat="1" ht="12.75">
      <c r="D177" s="1741"/>
      <c r="E177" s="1738"/>
      <c r="F177" s="1738"/>
      <c r="G177" s="1739"/>
      <c r="H177" s="1740"/>
      <c r="I177" s="1740"/>
      <c r="J177" s="1740"/>
      <c r="K177" s="1740"/>
      <c r="L177" s="1740"/>
      <c r="M177" s="1740"/>
      <c r="N177" s="1737"/>
      <c r="O177" s="1737"/>
      <c r="P177" s="1643"/>
      <c r="Q177" s="1643"/>
      <c r="R177" s="1643"/>
    </row>
    <row r="178" spans="4:27" s="1733" customFormat="1" ht="12.75">
      <c r="D178" s="1741"/>
      <c r="E178" s="1738"/>
      <c r="F178" s="1738"/>
      <c r="G178" s="1739"/>
      <c r="H178" s="1740"/>
      <c r="I178" s="1740"/>
      <c r="J178" s="1740"/>
      <c r="K178" s="1742"/>
      <c r="L178" s="1742"/>
      <c r="M178" s="1742"/>
      <c r="N178" s="1743"/>
      <c r="O178" s="1743"/>
      <c r="P178" s="1744"/>
      <c r="Q178" s="1744"/>
      <c r="R178" s="1744"/>
      <c r="S178" s="1738"/>
      <c r="T178" s="1738"/>
      <c r="U178" s="1738"/>
      <c r="V178" s="1738"/>
      <c r="W178" s="1738"/>
      <c r="X178" s="1738"/>
      <c r="Y178" s="1738"/>
      <c r="Z178" s="1738"/>
      <c r="AA178" s="1738"/>
    </row>
    <row r="179" spans="4:61" s="1733" customFormat="1" ht="12.75">
      <c r="D179" s="1741"/>
      <c r="E179" s="1738"/>
      <c r="F179" s="1738"/>
      <c r="G179" s="1739"/>
      <c r="H179" s="1740"/>
      <c r="I179" s="1740"/>
      <c r="J179" s="1740"/>
      <c r="K179" s="1740"/>
      <c r="L179" s="1740"/>
      <c r="M179" s="1740"/>
      <c r="N179" s="1743"/>
      <c r="O179" s="1743"/>
      <c r="P179" s="1744"/>
      <c r="Q179" s="1744"/>
      <c r="R179" s="1744"/>
      <c r="S179" s="1738"/>
      <c r="T179" s="1738"/>
      <c r="U179" s="1738"/>
      <c r="V179" s="1738"/>
      <c r="W179" s="1738"/>
      <c r="X179" s="1738"/>
      <c r="Y179" s="1738"/>
      <c r="Z179" s="1738"/>
      <c r="AA179" s="1738"/>
      <c r="AB179" s="1738"/>
      <c r="AC179" s="1738"/>
      <c r="AD179" s="1738"/>
      <c r="AE179" s="1738"/>
      <c r="AF179" s="1738"/>
      <c r="AG179" s="1738"/>
      <c r="AH179" s="1738"/>
      <c r="AI179" s="1738"/>
      <c r="AJ179" s="1738"/>
      <c r="AK179" s="1738"/>
      <c r="AL179" s="1738"/>
      <c r="AM179" s="1738"/>
      <c r="AN179" s="1738"/>
      <c r="AO179" s="1738"/>
      <c r="AP179" s="1738"/>
      <c r="AQ179" s="1738"/>
      <c r="AR179" s="1738"/>
      <c r="AS179" s="1738"/>
      <c r="AT179" s="1738"/>
      <c r="AU179" s="1738"/>
      <c r="AV179" s="1738"/>
      <c r="AW179" s="1738"/>
      <c r="AX179" s="1738"/>
      <c r="AY179" s="1738"/>
      <c r="AZ179" s="1738"/>
      <c r="BA179" s="1738"/>
      <c r="BB179" s="1738"/>
      <c r="BC179" s="1738"/>
      <c r="BD179" s="1738"/>
      <c r="BE179" s="1738"/>
      <c r="BF179" s="1738"/>
      <c r="BG179" s="1738"/>
      <c r="BH179" s="1738"/>
      <c r="BI179" s="1738"/>
    </row>
    <row r="180" spans="4:18" s="1738" customFormat="1" ht="12.75">
      <c r="D180" s="1741"/>
      <c r="G180" s="1739"/>
      <c r="H180" s="1740"/>
      <c r="I180" s="1740"/>
      <c r="J180" s="1740"/>
      <c r="K180" s="1740"/>
      <c r="L180" s="1740"/>
      <c r="M180" s="1740"/>
      <c r="N180" s="1743"/>
      <c r="O180" s="1743"/>
      <c r="P180" s="1744"/>
      <c r="Q180" s="1744"/>
      <c r="R180" s="1744"/>
    </row>
    <row r="181" spans="4:18" s="1738" customFormat="1" ht="12.75">
      <c r="D181" s="1741"/>
      <c r="G181" s="1739"/>
      <c r="H181" s="1740"/>
      <c r="I181" s="1740"/>
      <c r="J181" s="1740"/>
      <c r="K181" s="1740"/>
      <c r="L181" s="1740"/>
      <c r="M181" s="1740"/>
      <c r="N181" s="1743"/>
      <c r="O181" s="1743"/>
      <c r="P181" s="1744"/>
      <c r="Q181" s="1744"/>
      <c r="R181" s="1744"/>
    </row>
    <row r="182" spans="4:18" s="1738" customFormat="1" ht="12.75">
      <c r="D182" s="1741"/>
      <c r="G182" s="1739"/>
      <c r="H182" s="1740"/>
      <c r="I182" s="1740"/>
      <c r="J182" s="1740"/>
      <c r="K182" s="1740"/>
      <c r="L182" s="1740"/>
      <c r="M182" s="1740"/>
      <c r="N182" s="1743"/>
      <c r="O182" s="1743"/>
      <c r="P182" s="1744"/>
      <c r="Q182" s="1744"/>
      <c r="R182" s="1744"/>
    </row>
    <row r="183" spans="4:18" s="1738" customFormat="1" ht="12.75">
      <c r="D183" s="1741"/>
      <c r="G183" s="1739"/>
      <c r="H183" s="1740"/>
      <c r="I183" s="1740"/>
      <c r="J183" s="1740"/>
      <c r="K183" s="1740"/>
      <c r="L183" s="1740"/>
      <c r="M183" s="1740"/>
      <c r="N183" s="1743"/>
      <c r="O183" s="1743"/>
      <c r="P183" s="1744"/>
      <c r="Q183" s="1744"/>
      <c r="R183" s="1744"/>
    </row>
    <row r="184" spans="4:18" s="1738" customFormat="1" ht="12.75">
      <c r="D184" s="1741"/>
      <c r="E184" s="1535"/>
      <c r="F184" s="1535"/>
      <c r="G184" s="1536"/>
      <c r="H184" s="1537"/>
      <c r="I184" s="1537"/>
      <c r="J184" s="1537"/>
      <c r="K184" s="1537"/>
      <c r="L184" s="1537"/>
      <c r="M184" s="1537"/>
      <c r="N184" s="1743"/>
      <c r="O184" s="1743"/>
      <c r="P184" s="1744"/>
      <c r="Q184" s="1744"/>
      <c r="R184" s="1744"/>
    </row>
    <row r="185" spans="4:18" s="1738" customFormat="1" ht="12.75">
      <c r="D185" s="1534"/>
      <c r="E185" s="1535"/>
      <c r="F185" s="1535"/>
      <c r="G185" s="1536"/>
      <c r="H185" s="1537"/>
      <c r="I185" s="1537"/>
      <c r="J185" s="1537"/>
      <c r="K185" s="1537"/>
      <c r="L185" s="1537"/>
      <c r="M185" s="1537"/>
      <c r="N185" s="1743"/>
      <c r="O185" s="1743"/>
      <c r="P185" s="1744"/>
      <c r="Q185" s="1744"/>
      <c r="R185" s="1744"/>
    </row>
    <row r="186" spans="4:18" s="1738" customFormat="1" ht="12.75">
      <c r="D186" s="1534"/>
      <c r="E186" s="1535"/>
      <c r="F186" s="1535"/>
      <c r="G186" s="1536"/>
      <c r="H186" s="1537"/>
      <c r="I186" s="1537"/>
      <c r="J186" s="1537"/>
      <c r="K186" s="1537"/>
      <c r="L186" s="1537"/>
      <c r="M186" s="1537"/>
      <c r="N186" s="1743"/>
      <c r="O186" s="1743"/>
      <c r="P186" s="1744"/>
      <c r="Q186" s="1744"/>
      <c r="R186" s="1744"/>
    </row>
    <row r="187" spans="4:27" s="1738" customFormat="1" ht="12.75">
      <c r="D187" s="1534"/>
      <c r="E187" s="1535"/>
      <c r="F187" s="1535"/>
      <c r="G187" s="1536"/>
      <c r="H187" s="1537"/>
      <c r="I187" s="1537"/>
      <c r="J187" s="1537"/>
      <c r="K187" s="1537"/>
      <c r="L187" s="1537"/>
      <c r="M187" s="1537"/>
      <c r="N187" s="1641"/>
      <c r="O187" s="1641"/>
      <c r="P187" s="1537"/>
      <c r="Q187" s="1537"/>
      <c r="R187" s="1537"/>
      <c r="S187" s="1533"/>
      <c r="T187" s="1533"/>
      <c r="U187" s="1533"/>
      <c r="V187" s="1533"/>
      <c r="W187" s="1533"/>
      <c r="X187" s="1533"/>
      <c r="Y187" s="1533"/>
      <c r="Z187" s="1533"/>
      <c r="AA187" s="1533"/>
    </row>
    <row r="188" spans="4:61" s="1738" customFormat="1" ht="12.75">
      <c r="D188" s="1534"/>
      <c r="E188" s="1535"/>
      <c r="F188" s="1535"/>
      <c r="G188" s="1536"/>
      <c r="H188" s="1537"/>
      <c r="I188" s="1537"/>
      <c r="J188" s="1537"/>
      <c r="K188" s="1537"/>
      <c r="L188" s="1537"/>
      <c r="M188" s="1537"/>
      <c r="N188" s="1641"/>
      <c r="O188" s="1641"/>
      <c r="P188" s="1537"/>
      <c r="Q188" s="1537"/>
      <c r="R188" s="1537"/>
      <c r="S188" s="1533"/>
      <c r="T188" s="1533"/>
      <c r="U188" s="1533"/>
      <c r="V188" s="1533"/>
      <c r="W188" s="1533"/>
      <c r="X188" s="1533"/>
      <c r="Y188" s="1533"/>
      <c r="Z188" s="1533"/>
      <c r="AA188" s="1533"/>
      <c r="AB188" s="1533"/>
      <c r="AC188" s="1533"/>
      <c r="AD188" s="1533"/>
      <c r="AE188" s="1533"/>
      <c r="AF188" s="1533"/>
      <c r="AG188" s="1533"/>
      <c r="AH188" s="1533"/>
      <c r="AI188" s="1533"/>
      <c r="AJ188" s="1533"/>
      <c r="AK188" s="1533"/>
      <c r="AL188" s="1533"/>
      <c r="AM188" s="1533"/>
      <c r="AN188" s="1533"/>
      <c r="AO188" s="1533"/>
      <c r="AP188" s="1533"/>
      <c r="AQ188" s="1533"/>
      <c r="AR188" s="1533"/>
      <c r="AS188" s="1533"/>
      <c r="AT188" s="1533"/>
      <c r="AU188" s="1533"/>
      <c r="AV188" s="1533"/>
      <c r="AW188" s="1533"/>
      <c r="AX188" s="1533"/>
      <c r="AY188" s="1533"/>
      <c r="AZ188" s="1533"/>
      <c r="BA188" s="1533"/>
      <c r="BB188" s="1533"/>
      <c r="BC188" s="1533"/>
      <c r="BD188" s="1533"/>
      <c r="BE188" s="1533"/>
      <c r="BF188" s="1533"/>
      <c r="BG188" s="1533"/>
      <c r="BH188" s="1533"/>
      <c r="BI188" s="1533"/>
    </row>
    <row r="189" spans="14:15" ht="12.75">
      <c r="N189" s="1641"/>
      <c r="O189" s="1641"/>
    </row>
    <row r="190" spans="14:15" ht="12.75">
      <c r="N190" s="1641"/>
      <c r="O190" s="1641"/>
    </row>
    <row r="191" spans="14:15" ht="12.75">
      <c r="N191" s="1641"/>
      <c r="O191" s="1641"/>
    </row>
    <row r="192" spans="14:15" ht="12.75">
      <c r="N192" s="1641"/>
      <c r="O192" s="1641"/>
    </row>
    <row r="193" spans="14:15" ht="12.75">
      <c r="N193" s="1641"/>
      <c r="O193" s="1641"/>
    </row>
    <row r="194" spans="14:15" ht="12.75">
      <c r="N194" s="1641"/>
      <c r="O194" s="1641"/>
    </row>
    <row r="195" spans="14:15" ht="12.75">
      <c r="N195" s="1641"/>
      <c r="O195" s="1641"/>
    </row>
    <row r="196" spans="14:15" ht="12.75">
      <c r="N196" s="1641"/>
      <c r="O196" s="1641"/>
    </row>
    <row r="197" spans="14:15" ht="12.75">
      <c r="N197" s="1641"/>
      <c r="O197" s="1641"/>
    </row>
    <row r="198" spans="14:15" ht="12.75">
      <c r="N198" s="1641"/>
      <c r="O198" s="1641"/>
    </row>
    <row r="199" spans="14:15" ht="12.75">
      <c r="N199" s="1641"/>
      <c r="O199" s="1641"/>
    </row>
    <row r="200" spans="14:15" ht="12.75">
      <c r="N200" s="1641"/>
      <c r="O200" s="1641"/>
    </row>
    <row r="201" spans="14:15" ht="12.75">
      <c r="N201" s="1641"/>
      <c r="O201" s="1641"/>
    </row>
    <row r="202" spans="14:15" ht="12.75">
      <c r="N202" s="1641"/>
      <c r="O202" s="1641"/>
    </row>
    <row r="203" spans="14:15" ht="12.75">
      <c r="N203" s="1641"/>
      <c r="O203" s="1641"/>
    </row>
    <row r="204" spans="14:15" ht="12.75">
      <c r="N204" s="1641"/>
      <c r="O204" s="1641"/>
    </row>
    <row r="205" spans="14:15" ht="12.75">
      <c r="N205" s="1641"/>
      <c r="O205" s="1641"/>
    </row>
    <row r="206" spans="14:15" ht="12.75">
      <c r="N206" s="1641"/>
      <c r="O206" s="1641"/>
    </row>
    <row r="207" spans="14:15" ht="12.75">
      <c r="N207" s="1641"/>
      <c r="O207" s="1641"/>
    </row>
    <row r="208" spans="14:15" ht="12.75">
      <c r="N208" s="1641"/>
      <c r="O208" s="1641"/>
    </row>
    <row r="209" spans="14:15" ht="12.75">
      <c r="N209" s="1641"/>
      <c r="O209" s="1641"/>
    </row>
    <row r="210" spans="14:15" ht="12.75">
      <c r="N210" s="1641"/>
      <c r="O210" s="1641"/>
    </row>
    <row r="211" spans="14:15" ht="12.75">
      <c r="N211" s="1641"/>
      <c r="O211" s="1641"/>
    </row>
    <row r="212" spans="14:15" ht="12.75">
      <c r="N212" s="1641"/>
      <c r="O212" s="1641"/>
    </row>
    <row r="213" spans="14:15" ht="12.75">
      <c r="N213" s="1641"/>
      <c r="O213" s="1641"/>
    </row>
    <row r="214" spans="14:15" ht="12.75">
      <c r="N214" s="1641"/>
      <c r="O214" s="1641"/>
    </row>
  </sheetData>
  <mergeCells count="12">
    <mergeCell ref="F61:F63"/>
    <mergeCell ref="G61:G63"/>
    <mergeCell ref="H61:H63"/>
    <mergeCell ref="I61:I63"/>
    <mergeCell ref="A61:A63"/>
    <mergeCell ref="B61:B63"/>
    <mergeCell ref="C61:C63"/>
    <mergeCell ref="E61:E63"/>
    <mergeCell ref="K61:K63"/>
    <mergeCell ref="N61:N63"/>
    <mergeCell ref="G7:H7"/>
    <mergeCell ref="J7:L7"/>
  </mergeCells>
  <printOptions horizontalCentered="1"/>
  <pageMargins left="0.2" right="0.2" top="0.5" bottom="0.45" header="0.25" footer="0.46"/>
  <pageSetup horizontalDpi="600" verticalDpi="600" orientation="landscape" paperSize="9" r:id="rId3"/>
  <headerFooter alignWithMargins="0">
    <oddHeader>&amp;C&amp;"Times New Roman CE,Normalny" &amp;P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38"/>
  <sheetViews>
    <sheetView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5.75390625" style="1745" customWidth="1"/>
    <col min="4" max="4" width="35.625" style="854" customWidth="1"/>
    <col min="5" max="5" width="25.125" style="854" customWidth="1"/>
    <col min="6" max="6" width="11.375" style="854" customWidth="1"/>
    <col min="7" max="7" width="12.125" style="854" customWidth="1"/>
    <col min="8" max="8" width="12.625" style="785" customWidth="1"/>
    <col min="9" max="9" width="11.375" style="785" customWidth="1"/>
    <col min="10" max="10" width="12.125" style="785" customWidth="1"/>
    <col min="11" max="11" width="8.125" style="0" hidden="1" customWidth="1"/>
  </cols>
  <sheetData>
    <row r="1" ht="12.75">
      <c r="I1" s="68" t="s">
        <v>181</v>
      </c>
    </row>
    <row r="2" ht="12.75">
      <c r="I2" s="4" t="s">
        <v>36</v>
      </c>
    </row>
    <row r="3" ht="12.75">
      <c r="I3" s="4" t="s">
        <v>21</v>
      </c>
    </row>
    <row r="4" spans="9:10" ht="15.75">
      <c r="I4" s="4"/>
      <c r="J4" s="1746"/>
    </row>
    <row r="5" ht="16.5" customHeight="1">
      <c r="J5" s="1746"/>
    </row>
    <row r="6" spans="1:10" ht="20.25">
      <c r="A6" s="787" t="s">
        <v>182</v>
      </c>
      <c r="B6" s="1747"/>
      <c r="C6" s="1748"/>
      <c r="D6" s="1749"/>
      <c r="E6" s="1749"/>
      <c r="F6" s="1749"/>
      <c r="G6" s="1749"/>
      <c r="H6" s="1750"/>
      <c r="I6" s="1750"/>
      <c r="J6" s="1751"/>
    </row>
    <row r="7" spans="1:10" ht="20.25">
      <c r="A7" s="787" t="s">
        <v>183</v>
      </c>
      <c r="B7" s="1747"/>
      <c r="C7" s="1748"/>
      <c r="D7" s="1749"/>
      <c r="E7" s="1749"/>
      <c r="F7" s="1749"/>
      <c r="G7" s="1749"/>
      <c r="H7" s="1750"/>
      <c r="I7" s="1750"/>
      <c r="J7" s="1751"/>
    </row>
    <row r="8" spans="1:10" ht="13.5" thickBot="1">
      <c r="A8" s="1405" t="s">
        <v>810</v>
      </c>
      <c r="I8" s="1752"/>
      <c r="J8" s="786" t="s">
        <v>236</v>
      </c>
    </row>
    <row r="9" spans="1:11" ht="27.75" customHeight="1" thickTop="1">
      <c r="A9" s="1753" t="s">
        <v>237</v>
      </c>
      <c r="B9" s="1754" t="s">
        <v>54</v>
      </c>
      <c r="C9" s="1754" t="s">
        <v>532</v>
      </c>
      <c r="D9" s="1755" t="s">
        <v>184</v>
      </c>
      <c r="E9" s="1756" t="s">
        <v>56</v>
      </c>
      <c r="F9" s="2644" t="s">
        <v>57</v>
      </c>
      <c r="G9" s="2645"/>
      <c r="H9" s="1757" t="s">
        <v>58</v>
      </c>
      <c r="I9" s="2644" t="s">
        <v>185</v>
      </c>
      <c r="J9" s="2646"/>
      <c r="K9" s="1758" t="s">
        <v>186</v>
      </c>
    </row>
    <row r="10" spans="1:11" ht="31.5" customHeight="1">
      <c r="A10" s="1759"/>
      <c r="B10" s="1760"/>
      <c r="C10" s="1760"/>
      <c r="D10" s="1761"/>
      <c r="E10" s="1762" t="s">
        <v>60</v>
      </c>
      <c r="F10" s="1763" t="s">
        <v>61</v>
      </c>
      <c r="G10" s="1763" t="s">
        <v>62</v>
      </c>
      <c r="H10" s="1764" t="s">
        <v>187</v>
      </c>
      <c r="I10" s="1765" t="s">
        <v>188</v>
      </c>
      <c r="J10" s="1766" t="s">
        <v>189</v>
      </c>
      <c r="K10" s="1767" t="s">
        <v>190</v>
      </c>
    </row>
    <row r="11" spans="1:11" s="1772" customFormat="1" ht="12" thickBot="1">
      <c r="A11" s="795">
        <v>1</v>
      </c>
      <c r="B11" s="1528">
        <v>2</v>
      </c>
      <c r="C11" s="1768">
        <v>3</v>
      </c>
      <c r="D11" s="1769">
        <v>4</v>
      </c>
      <c r="E11" s="1528">
        <v>5</v>
      </c>
      <c r="F11" s="1528">
        <v>6</v>
      </c>
      <c r="G11" s="1528">
        <v>7</v>
      </c>
      <c r="H11" s="1528">
        <v>8</v>
      </c>
      <c r="I11" s="1528">
        <v>9</v>
      </c>
      <c r="J11" s="1770">
        <v>10</v>
      </c>
      <c r="K11" s="1771">
        <v>11</v>
      </c>
    </row>
    <row r="12" spans="1:11" s="1779" customFormat="1" ht="63" customHeight="1" thickBot="1" thickTop="1">
      <c r="A12" s="891">
        <v>600</v>
      </c>
      <c r="B12" s="1091">
        <v>60015</v>
      </c>
      <c r="C12" s="1773"/>
      <c r="D12" s="1138" t="s">
        <v>159</v>
      </c>
      <c r="E12" s="2438" t="s">
        <v>191</v>
      </c>
      <c r="F12" s="1775">
        <v>2007</v>
      </c>
      <c r="G12" s="1775">
        <v>2010</v>
      </c>
      <c r="H12" s="1776">
        <f>H13</f>
        <v>10000000</v>
      </c>
      <c r="I12" s="1776">
        <f>I13</f>
        <v>5000000</v>
      </c>
      <c r="J12" s="1777">
        <f>J13</f>
        <v>5000000</v>
      </c>
      <c r="K12" s="1778"/>
    </row>
    <row r="13" spans="1:11" s="1788" customFormat="1" ht="31.5" thickBot="1" thickTop="1">
      <c r="A13" s="1780"/>
      <c r="B13" s="1781"/>
      <c r="C13" s="1782">
        <v>6050</v>
      </c>
      <c r="D13" s="1783" t="s">
        <v>722</v>
      </c>
      <c r="E13" s="1784"/>
      <c r="F13" s="1784"/>
      <c r="G13" s="1784"/>
      <c r="H13" s="1785">
        <f aca="true" t="shared" si="0" ref="H13:H66">I13+J13</f>
        <v>10000000</v>
      </c>
      <c r="I13" s="1785">
        <v>5000000</v>
      </c>
      <c r="J13" s="1786">
        <v>5000000</v>
      </c>
      <c r="K13" s="1787"/>
    </row>
    <row r="14" spans="1:11" s="1792" customFormat="1" ht="57.75" customHeight="1" thickBot="1" thickTop="1">
      <c r="A14" s="891">
        <v>801</v>
      </c>
      <c r="B14" s="1091">
        <v>80195</v>
      </c>
      <c r="C14" s="1773"/>
      <c r="D14" s="1789" t="s">
        <v>192</v>
      </c>
      <c r="E14" s="1773" t="s">
        <v>193</v>
      </c>
      <c r="F14" s="1775">
        <v>2007</v>
      </c>
      <c r="G14" s="1775">
        <v>2009</v>
      </c>
      <c r="H14" s="1790">
        <f t="shared" si="0"/>
        <v>131400</v>
      </c>
      <c r="I14" s="1790"/>
      <c r="J14" s="1777">
        <f>SUM(J15:J20)</f>
        <v>131400</v>
      </c>
      <c r="K14" s="1791">
        <f>J14/H14*100</f>
        <v>100</v>
      </c>
    </row>
    <row r="15" spans="1:11" s="1805" customFormat="1" ht="13.5" thickTop="1">
      <c r="A15" s="1514"/>
      <c r="B15" s="1803"/>
      <c r="C15" s="2439">
        <v>4117</v>
      </c>
      <c r="D15" s="2440" t="s">
        <v>194</v>
      </c>
      <c r="E15" s="2441"/>
      <c r="F15" s="2442"/>
      <c r="G15" s="2442"/>
      <c r="H15" s="2443">
        <f t="shared" si="0"/>
        <v>470</v>
      </c>
      <c r="I15" s="2444"/>
      <c r="J15" s="2445">
        <f>10+460</f>
        <v>470</v>
      </c>
      <c r="K15" s="1804"/>
    </row>
    <row r="16" spans="1:11" s="1805" customFormat="1" ht="12.75">
      <c r="A16" s="1514"/>
      <c r="B16" s="1803"/>
      <c r="C16" s="2446">
        <v>4127</v>
      </c>
      <c r="D16" s="2447" t="s">
        <v>195</v>
      </c>
      <c r="E16" s="2448"/>
      <c r="F16" s="2449"/>
      <c r="G16" s="2449"/>
      <c r="H16" s="2450">
        <f t="shared" si="0"/>
        <v>80</v>
      </c>
      <c r="I16" s="2451"/>
      <c r="J16" s="2452">
        <f>10+70</f>
        <v>80</v>
      </c>
      <c r="K16" s="1804"/>
    </row>
    <row r="17" spans="1:11" s="1805" customFormat="1" ht="12.75">
      <c r="A17" s="1514"/>
      <c r="B17" s="1803"/>
      <c r="C17" s="2446">
        <v>4177</v>
      </c>
      <c r="D17" s="2453" t="s">
        <v>713</v>
      </c>
      <c r="E17" s="2448"/>
      <c r="F17" s="2449"/>
      <c r="G17" s="2449"/>
      <c r="H17" s="2450">
        <f t="shared" si="0"/>
        <v>3080</v>
      </c>
      <c r="I17" s="2451"/>
      <c r="J17" s="2452">
        <f>230+2850</f>
        <v>3080</v>
      </c>
      <c r="K17" s="1804"/>
    </row>
    <row r="18" spans="1:11" s="1805" customFormat="1" ht="12.75">
      <c r="A18" s="1514"/>
      <c r="B18" s="1803"/>
      <c r="C18" s="2446">
        <v>4217</v>
      </c>
      <c r="D18" s="2453" t="s">
        <v>709</v>
      </c>
      <c r="E18" s="2448"/>
      <c r="F18" s="2449"/>
      <c r="G18" s="2449"/>
      <c r="H18" s="2450">
        <f t="shared" si="0"/>
        <v>8800</v>
      </c>
      <c r="I18" s="2451"/>
      <c r="J18" s="2452">
        <v>8800</v>
      </c>
      <c r="K18" s="1918"/>
    </row>
    <row r="19" spans="1:11" s="1805" customFormat="1" ht="12.75">
      <c r="A19" s="1514"/>
      <c r="B19" s="1803"/>
      <c r="C19" s="2446">
        <v>4307</v>
      </c>
      <c r="D19" s="2453" t="s">
        <v>710</v>
      </c>
      <c r="E19" s="2448"/>
      <c r="F19" s="2449"/>
      <c r="G19" s="2449"/>
      <c r="H19" s="2450">
        <f t="shared" si="0"/>
        <v>114770</v>
      </c>
      <c r="I19" s="2451"/>
      <c r="J19" s="2452">
        <f>118150-3380</f>
        <v>114770</v>
      </c>
      <c r="K19" s="1918"/>
    </row>
    <row r="20" spans="1:11" s="1805" customFormat="1" ht="13.5" thickBot="1">
      <c r="A20" s="1514"/>
      <c r="B20" s="1803"/>
      <c r="C20" s="2454">
        <v>4427</v>
      </c>
      <c r="D20" s="2455" t="s">
        <v>196</v>
      </c>
      <c r="E20" s="2456"/>
      <c r="F20" s="2457"/>
      <c r="G20" s="2457"/>
      <c r="H20" s="2458">
        <f t="shared" si="0"/>
        <v>4200</v>
      </c>
      <c r="I20" s="2459"/>
      <c r="J20" s="2460">
        <v>4200</v>
      </c>
      <c r="K20" s="1804"/>
    </row>
    <row r="21" spans="1:11" s="1792" customFormat="1" ht="30" thickBot="1" thickTop="1">
      <c r="A21" s="891">
        <v>801</v>
      </c>
      <c r="B21" s="1091">
        <v>80195</v>
      </c>
      <c r="C21" s="1773"/>
      <c r="D21" s="1919" t="s">
        <v>765</v>
      </c>
      <c r="E21" s="1773" t="s">
        <v>193</v>
      </c>
      <c r="F21" s="1091">
        <v>2007</v>
      </c>
      <c r="G21" s="1091">
        <v>2009</v>
      </c>
      <c r="H21" s="1776">
        <f>I21+J21</f>
        <v>176880</v>
      </c>
      <c r="I21" s="1799"/>
      <c r="J21" s="1777">
        <f>SUM(J22:J32)</f>
        <v>176880</v>
      </c>
      <c r="K21" s="1791"/>
    </row>
    <row r="22" spans="1:11" s="1792" customFormat="1" ht="15.75" thickTop="1">
      <c r="A22" s="2461"/>
      <c r="B22" s="2462"/>
      <c r="C22" s="2034">
        <v>4017</v>
      </c>
      <c r="D22" s="2463" t="s">
        <v>695</v>
      </c>
      <c r="E22" s="2464"/>
      <c r="F22" s="2465"/>
      <c r="G22" s="2465"/>
      <c r="H22" s="2466"/>
      <c r="I22" s="2467"/>
      <c r="J22" s="2468">
        <v>1100</v>
      </c>
      <c r="K22" s="1791"/>
    </row>
    <row r="23" spans="1:11" s="1792" customFormat="1" ht="15">
      <c r="A23" s="1040"/>
      <c r="B23" s="1808"/>
      <c r="C23" s="2469">
        <v>4117</v>
      </c>
      <c r="D23" s="2470" t="s">
        <v>194</v>
      </c>
      <c r="E23" s="2471"/>
      <c r="F23" s="2472"/>
      <c r="G23" s="2472"/>
      <c r="H23" s="2473"/>
      <c r="I23" s="2474"/>
      <c r="J23" s="2394">
        <v>167</v>
      </c>
      <c r="K23" s="1791"/>
    </row>
    <row r="24" spans="1:11" s="1792" customFormat="1" ht="15">
      <c r="A24" s="1040"/>
      <c r="B24" s="1808"/>
      <c r="C24" s="2469">
        <v>4127</v>
      </c>
      <c r="D24" s="2470" t="s">
        <v>195</v>
      </c>
      <c r="E24" s="2471"/>
      <c r="F24" s="2472"/>
      <c r="G24" s="2472"/>
      <c r="H24" s="2473"/>
      <c r="I24" s="2474"/>
      <c r="J24" s="2394">
        <v>27</v>
      </c>
      <c r="K24" s="1791"/>
    </row>
    <row r="25" spans="1:11" s="1795" customFormat="1" ht="15">
      <c r="A25" s="1793"/>
      <c r="B25" s="1531"/>
      <c r="C25" s="1782">
        <v>4217</v>
      </c>
      <c r="D25" s="2379" t="s">
        <v>709</v>
      </c>
      <c r="E25" s="1921"/>
      <c r="F25" s="1784"/>
      <c r="G25" s="1784"/>
      <c r="H25" s="1785">
        <f>I25+J25</f>
        <v>29721</v>
      </c>
      <c r="I25" s="1922"/>
      <c r="J25" s="1786">
        <f>29246+2207-1732</f>
        <v>29721</v>
      </c>
      <c r="K25" s="1794"/>
    </row>
    <row r="26" spans="1:11" s="1795" customFormat="1" ht="25.5">
      <c r="A26" s="1793"/>
      <c r="B26" s="1531"/>
      <c r="C26" s="1782">
        <v>4247</v>
      </c>
      <c r="D26" s="2378" t="s">
        <v>714</v>
      </c>
      <c r="E26" s="1921"/>
      <c r="F26" s="1784"/>
      <c r="G26" s="1784"/>
      <c r="H26" s="1785">
        <f>I26+J26</f>
        <v>7000</v>
      </c>
      <c r="I26" s="1922"/>
      <c r="J26" s="1786">
        <v>7000</v>
      </c>
      <c r="K26" s="1794"/>
    </row>
    <row r="27" spans="1:11" s="1795" customFormat="1" ht="15">
      <c r="A27" s="1793"/>
      <c r="B27" s="1531"/>
      <c r="C27" s="1782">
        <v>4307</v>
      </c>
      <c r="D27" s="2378" t="s">
        <v>710</v>
      </c>
      <c r="E27" s="1921"/>
      <c r="F27" s="1784"/>
      <c r="G27" s="1784"/>
      <c r="H27" s="1785">
        <f aca="true" t="shared" si="1" ref="H27:H32">I27+J27</f>
        <v>47614</v>
      </c>
      <c r="I27" s="1922"/>
      <c r="J27" s="1786">
        <f>39524+10000-1910</f>
        <v>47614</v>
      </c>
      <c r="K27" s="1794"/>
    </row>
    <row r="28" spans="1:11" s="1795" customFormat="1" ht="15">
      <c r="A28" s="1793"/>
      <c r="B28" s="1531"/>
      <c r="C28" s="1782">
        <v>4417</v>
      </c>
      <c r="D28" s="2379" t="s">
        <v>717</v>
      </c>
      <c r="E28" s="1921"/>
      <c r="F28" s="1784"/>
      <c r="G28" s="1784"/>
      <c r="H28" s="1785">
        <f t="shared" si="1"/>
        <v>6178</v>
      </c>
      <c r="I28" s="1922"/>
      <c r="J28" s="1786">
        <f>6500-471+149</f>
        <v>6178</v>
      </c>
      <c r="K28" s="1794"/>
    </row>
    <row r="29" spans="1:11" s="1795" customFormat="1" ht="15">
      <c r="A29" s="1793"/>
      <c r="B29" s="1531"/>
      <c r="C29" s="1782">
        <v>4427</v>
      </c>
      <c r="D29" s="2379" t="s">
        <v>196</v>
      </c>
      <c r="E29" s="1921"/>
      <c r="F29" s="1784"/>
      <c r="G29" s="1784"/>
      <c r="H29" s="1785">
        <f t="shared" si="1"/>
        <v>75310</v>
      </c>
      <c r="I29" s="1922"/>
      <c r="J29" s="1786">
        <f>83940-11753+3123</f>
        <v>75310</v>
      </c>
      <c r="K29" s="1794"/>
    </row>
    <row r="30" spans="1:11" s="1795" customFormat="1" ht="15">
      <c r="A30" s="1793"/>
      <c r="B30" s="1531"/>
      <c r="C30" s="1782">
        <v>4437</v>
      </c>
      <c r="D30" s="2378" t="s">
        <v>718</v>
      </c>
      <c r="E30" s="1921"/>
      <c r="F30" s="1784"/>
      <c r="G30" s="1784"/>
      <c r="H30" s="1785">
        <f t="shared" si="1"/>
        <v>6079</v>
      </c>
      <c r="I30" s="1922"/>
      <c r="J30" s="1786">
        <f>7370+17-1308</f>
        <v>6079</v>
      </c>
      <c r="K30" s="1794"/>
    </row>
    <row r="31" spans="1:11" s="1795" customFormat="1" ht="25.5">
      <c r="A31" s="1793"/>
      <c r="B31" s="1531"/>
      <c r="C31" s="1782">
        <v>4747</v>
      </c>
      <c r="D31" s="2378" t="s">
        <v>766</v>
      </c>
      <c r="E31" s="1921"/>
      <c r="F31" s="1784"/>
      <c r="G31" s="1784"/>
      <c r="H31" s="1785">
        <f t="shared" si="1"/>
        <v>2500</v>
      </c>
      <c r="I31" s="1922"/>
      <c r="J31" s="1786">
        <v>2500</v>
      </c>
      <c r="K31" s="1794"/>
    </row>
    <row r="32" spans="1:11" s="1795" customFormat="1" ht="26.25" thickBot="1">
      <c r="A32" s="1793"/>
      <c r="B32" s="1531"/>
      <c r="C32" s="1782">
        <v>4757</v>
      </c>
      <c r="D32" s="2380" t="s">
        <v>767</v>
      </c>
      <c r="E32" s="1921"/>
      <c r="F32" s="1784"/>
      <c r="G32" s="1784"/>
      <c r="H32" s="1785">
        <f t="shared" si="1"/>
        <v>1184</v>
      </c>
      <c r="I32" s="1922"/>
      <c r="J32" s="1786">
        <f>800+384</f>
        <v>1184</v>
      </c>
      <c r="K32" s="1794"/>
    </row>
    <row r="33" spans="1:11" s="1801" customFormat="1" ht="55.5" customHeight="1" thickBot="1" thickTop="1">
      <c r="A33" s="1796">
        <v>853</v>
      </c>
      <c r="B33" s="1034">
        <v>85395</v>
      </c>
      <c r="C33" s="1797"/>
      <c r="D33" s="1798" t="s">
        <v>197</v>
      </c>
      <c r="E33" s="1774" t="s">
        <v>198</v>
      </c>
      <c r="F33" s="1034"/>
      <c r="G33" s="1034"/>
      <c r="H33" s="1776">
        <f t="shared" si="0"/>
        <v>951410</v>
      </c>
      <c r="I33" s="1777">
        <f>SUM(I34:I66)</f>
        <v>95141</v>
      </c>
      <c r="J33" s="1777">
        <f>SUM(J34:J66)</f>
        <v>856269</v>
      </c>
      <c r="K33" s="1800"/>
    </row>
    <row r="34" spans="1:11" s="1801" customFormat="1" ht="13.5" thickTop="1">
      <c r="A34" s="2475"/>
      <c r="B34" s="2476"/>
      <c r="C34" s="2477">
        <v>3119</v>
      </c>
      <c r="D34" s="2478" t="s">
        <v>7</v>
      </c>
      <c r="E34" s="2441"/>
      <c r="F34" s="2479"/>
      <c r="G34" s="2479"/>
      <c r="H34" s="2443">
        <f t="shared" si="0"/>
        <v>95141</v>
      </c>
      <c r="I34" s="2443">
        <f>94232+909</f>
        <v>95141</v>
      </c>
      <c r="J34" s="2445"/>
      <c r="K34" s="1800"/>
    </row>
    <row r="35" spans="1:11" s="1801" customFormat="1" ht="12.75">
      <c r="A35" s="1802"/>
      <c r="B35" s="1803"/>
      <c r="C35" s="2480">
        <v>4018</v>
      </c>
      <c r="D35" s="2481" t="s">
        <v>695</v>
      </c>
      <c r="E35" s="2448"/>
      <c r="F35" s="2482"/>
      <c r="G35" s="2482"/>
      <c r="H35" s="2450">
        <f t="shared" si="0"/>
        <v>196690</v>
      </c>
      <c r="I35" s="2483"/>
      <c r="J35" s="2452">
        <v>196690</v>
      </c>
      <c r="K35" s="1800"/>
    </row>
    <row r="36" spans="1:11" s="1801" customFormat="1" ht="12.75">
      <c r="A36" s="1802"/>
      <c r="B36" s="1803"/>
      <c r="C36" s="2480">
        <v>4019</v>
      </c>
      <c r="D36" s="2481" t="s">
        <v>695</v>
      </c>
      <c r="E36" s="2448"/>
      <c r="F36" s="2482"/>
      <c r="G36" s="2482"/>
      <c r="H36" s="2450">
        <f t="shared" si="0"/>
        <v>11580</v>
      </c>
      <c r="I36" s="2483"/>
      <c r="J36" s="2452">
        <v>11580</v>
      </c>
      <c r="K36" s="1800"/>
    </row>
    <row r="37" spans="1:11" s="1801" customFormat="1" ht="12.75">
      <c r="A37" s="1802"/>
      <c r="B37" s="1803"/>
      <c r="C37" s="2480">
        <v>4048</v>
      </c>
      <c r="D37" s="2481" t="s">
        <v>697</v>
      </c>
      <c r="E37" s="2448"/>
      <c r="F37" s="2482"/>
      <c r="G37" s="2482"/>
      <c r="H37" s="2450">
        <f t="shared" si="0"/>
        <v>4671</v>
      </c>
      <c r="I37" s="2483"/>
      <c r="J37" s="2452">
        <v>4671</v>
      </c>
      <c r="K37" s="1800"/>
    </row>
    <row r="38" spans="1:11" s="1801" customFormat="1" ht="12.75">
      <c r="A38" s="1802"/>
      <c r="B38" s="1803"/>
      <c r="C38" s="2480">
        <v>4049</v>
      </c>
      <c r="D38" s="2481" t="s">
        <v>697</v>
      </c>
      <c r="E38" s="2448"/>
      <c r="F38" s="2482"/>
      <c r="G38" s="2482"/>
      <c r="H38" s="2450">
        <f t="shared" si="0"/>
        <v>275</v>
      </c>
      <c r="I38" s="2483"/>
      <c r="J38" s="2452">
        <v>275</v>
      </c>
      <c r="K38" s="1800"/>
    </row>
    <row r="39" spans="1:11" s="1801" customFormat="1" ht="12.75">
      <c r="A39" s="1802"/>
      <c r="B39" s="1803"/>
      <c r="C39" s="2484" t="s">
        <v>199</v>
      </c>
      <c r="D39" s="2485" t="s">
        <v>699</v>
      </c>
      <c r="E39" s="2448"/>
      <c r="F39" s="2482"/>
      <c r="G39" s="2482"/>
      <c r="H39" s="2450">
        <f t="shared" si="0"/>
        <v>43298</v>
      </c>
      <c r="I39" s="2483"/>
      <c r="J39" s="2452">
        <f>38649+4649</f>
        <v>43298</v>
      </c>
      <c r="K39" s="1800"/>
    </row>
    <row r="40" spans="1:11" s="1801" customFormat="1" ht="12.75">
      <c r="A40" s="1802"/>
      <c r="B40" s="1803"/>
      <c r="C40" s="2484" t="s">
        <v>200</v>
      </c>
      <c r="D40" s="2485" t="s">
        <v>699</v>
      </c>
      <c r="E40" s="2448"/>
      <c r="F40" s="2482"/>
      <c r="G40" s="2482"/>
      <c r="H40" s="2450">
        <f t="shared" si="0"/>
        <v>2549</v>
      </c>
      <c r="I40" s="2483"/>
      <c r="J40" s="2452">
        <f>2275+274</f>
        <v>2549</v>
      </c>
      <c r="K40" s="1800"/>
    </row>
    <row r="41" spans="1:11" s="1801" customFormat="1" ht="12.75">
      <c r="A41" s="1802"/>
      <c r="B41" s="1803"/>
      <c r="C41" s="2484" t="s">
        <v>201</v>
      </c>
      <c r="D41" s="2485" t="s">
        <v>202</v>
      </c>
      <c r="E41" s="2448"/>
      <c r="F41" s="2482"/>
      <c r="G41" s="2482"/>
      <c r="H41" s="2450">
        <f t="shared" si="0"/>
        <v>6623</v>
      </c>
      <c r="I41" s="2483"/>
      <c r="J41" s="2452">
        <f>5911+712</f>
        <v>6623</v>
      </c>
      <c r="K41" s="1800"/>
    </row>
    <row r="42" spans="1:11" s="1801" customFormat="1" ht="12.75">
      <c r="A42" s="1802"/>
      <c r="B42" s="1803"/>
      <c r="C42" s="2484" t="s">
        <v>203</v>
      </c>
      <c r="D42" s="2485" t="s">
        <v>202</v>
      </c>
      <c r="E42" s="2448"/>
      <c r="F42" s="2482"/>
      <c r="G42" s="2482"/>
      <c r="H42" s="2450">
        <f t="shared" si="0"/>
        <v>390</v>
      </c>
      <c r="I42" s="2483"/>
      <c r="J42" s="2452">
        <f>348+42</f>
        <v>390</v>
      </c>
      <c r="K42" s="1800"/>
    </row>
    <row r="43" spans="1:11" s="1801" customFormat="1" ht="12.75">
      <c r="A43" s="1802"/>
      <c r="B43" s="1803"/>
      <c r="C43" s="2484" t="s">
        <v>204</v>
      </c>
      <c r="D43" s="2485" t="s">
        <v>713</v>
      </c>
      <c r="E43" s="2448"/>
      <c r="F43" s="2482"/>
      <c r="G43" s="2482"/>
      <c r="H43" s="2450">
        <f t="shared" si="0"/>
        <v>82722</v>
      </c>
      <c r="I43" s="2483"/>
      <c r="J43" s="2452">
        <f>58364+24358</f>
        <v>82722</v>
      </c>
      <c r="K43" s="1800"/>
    </row>
    <row r="44" spans="1:11" s="1801" customFormat="1" ht="12.75">
      <c r="A44" s="1802"/>
      <c r="B44" s="1803"/>
      <c r="C44" s="2484" t="s">
        <v>205</v>
      </c>
      <c r="D44" s="2485" t="s">
        <v>713</v>
      </c>
      <c r="E44" s="2448"/>
      <c r="F44" s="2482"/>
      <c r="G44" s="2482"/>
      <c r="H44" s="2450">
        <f t="shared" si="0"/>
        <v>4870</v>
      </c>
      <c r="I44" s="2483"/>
      <c r="J44" s="2452">
        <f>3436+1434</f>
        <v>4870</v>
      </c>
      <c r="K44" s="1800"/>
    </row>
    <row r="45" spans="1:11" s="1801" customFormat="1" ht="12.75">
      <c r="A45" s="1802"/>
      <c r="B45" s="1803"/>
      <c r="C45" s="2484" t="s">
        <v>206</v>
      </c>
      <c r="D45" s="2485" t="s">
        <v>709</v>
      </c>
      <c r="E45" s="2448"/>
      <c r="F45" s="2482"/>
      <c r="G45" s="2482"/>
      <c r="H45" s="2450">
        <f t="shared" si="0"/>
        <v>29047</v>
      </c>
      <c r="I45" s="2483"/>
      <c r="J45" s="2452">
        <f>133164-104117</f>
        <v>29047</v>
      </c>
      <c r="K45" s="1800"/>
    </row>
    <row r="46" spans="1:11" s="1801" customFormat="1" ht="12.75">
      <c r="A46" s="1802"/>
      <c r="B46" s="1803"/>
      <c r="C46" s="2484" t="s">
        <v>207</v>
      </c>
      <c r="D46" s="2485" t="s">
        <v>709</v>
      </c>
      <c r="E46" s="2448"/>
      <c r="F46" s="2482"/>
      <c r="G46" s="2482"/>
      <c r="H46" s="2450">
        <f t="shared" si="0"/>
        <v>1669</v>
      </c>
      <c r="I46" s="2483"/>
      <c r="J46" s="2452">
        <f>7840-6171</f>
        <v>1669</v>
      </c>
      <c r="K46" s="1800"/>
    </row>
    <row r="47" spans="1:11" s="1801" customFormat="1" ht="12.75">
      <c r="A47" s="1802"/>
      <c r="B47" s="1803"/>
      <c r="C47" s="2446">
        <v>4288</v>
      </c>
      <c r="D47" s="2447" t="s">
        <v>5</v>
      </c>
      <c r="E47" s="2448"/>
      <c r="F47" s="2482"/>
      <c r="G47" s="2482"/>
      <c r="H47" s="2450">
        <f t="shared" si="0"/>
        <v>8500</v>
      </c>
      <c r="I47" s="2483"/>
      <c r="J47" s="2452">
        <f>9444-944</f>
        <v>8500</v>
      </c>
      <c r="K47" s="1800"/>
    </row>
    <row r="48" spans="1:11" s="1801" customFormat="1" ht="12.75">
      <c r="A48" s="1802"/>
      <c r="B48" s="1803"/>
      <c r="C48" s="2446">
        <v>4289</v>
      </c>
      <c r="D48" s="2447" t="s">
        <v>5</v>
      </c>
      <c r="E48" s="2448"/>
      <c r="F48" s="2482"/>
      <c r="G48" s="2482"/>
      <c r="H48" s="2450">
        <f t="shared" si="0"/>
        <v>500</v>
      </c>
      <c r="I48" s="2483"/>
      <c r="J48" s="2452">
        <f>556-56</f>
        <v>500</v>
      </c>
      <c r="K48" s="1800"/>
    </row>
    <row r="49" spans="1:11" s="1801" customFormat="1" ht="12.75">
      <c r="A49" s="1802"/>
      <c r="B49" s="1803"/>
      <c r="C49" s="2484" t="s">
        <v>208</v>
      </c>
      <c r="D49" s="2485" t="s">
        <v>710</v>
      </c>
      <c r="E49" s="2448"/>
      <c r="F49" s="2482"/>
      <c r="G49" s="2482"/>
      <c r="H49" s="2450">
        <f t="shared" si="0"/>
        <v>412283</v>
      </c>
      <c r="I49" s="2483"/>
      <c r="J49" s="2452">
        <f>306141+7798+98344</f>
        <v>412283</v>
      </c>
      <c r="K49" s="1800"/>
    </row>
    <row r="50" spans="1:11" s="1801" customFormat="1" ht="12.75">
      <c r="A50" s="1802"/>
      <c r="B50" s="1803"/>
      <c r="C50" s="2484" t="s">
        <v>209</v>
      </c>
      <c r="D50" s="2485" t="s">
        <v>710</v>
      </c>
      <c r="E50" s="2448"/>
      <c r="F50" s="2482"/>
      <c r="G50" s="2482"/>
      <c r="H50" s="2450">
        <f t="shared" si="0"/>
        <v>24273</v>
      </c>
      <c r="I50" s="2483"/>
      <c r="J50" s="2452">
        <f>18024+419+5830</f>
        <v>24273</v>
      </c>
      <c r="K50" s="1800"/>
    </row>
    <row r="51" spans="1:11" s="1801" customFormat="1" ht="12.75">
      <c r="A51" s="1802"/>
      <c r="B51" s="1803"/>
      <c r="C51" s="2484" t="s">
        <v>210</v>
      </c>
      <c r="D51" s="2485" t="s">
        <v>6</v>
      </c>
      <c r="E51" s="2448"/>
      <c r="F51" s="2482"/>
      <c r="G51" s="2482"/>
      <c r="H51" s="2450">
        <f t="shared" si="0"/>
        <v>0</v>
      </c>
      <c r="I51" s="2483"/>
      <c r="J51" s="2452">
        <f>2125-2125</f>
        <v>0</v>
      </c>
      <c r="K51" s="1800"/>
    </row>
    <row r="52" spans="1:11" s="1801" customFormat="1" ht="12.75">
      <c r="A52" s="1802"/>
      <c r="B52" s="1803"/>
      <c r="C52" s="2484" t="s">
        <v>211</v>
      </c>
      <c r="D52" s="2485" t="s">
        <v>6</v>
      </c>
      <c r="E52" s="2448"/>
      <c r="F52" s="2482"/>
      <c r="G52" s="2482"/>
      <c r="H52" s="2450">
        <f t="shared" si="0"/>
        <v>0</v>
      </c>
      <c r="I52" s="2483"/>
      <c r="J52" s="2452">
        <f>125-125</f>
        <v>0</v>
      </c>
      <c r="K52" s="1800"/>
    </row>
    <row r="53" spans="1:11" s="1801" customFormat="1" ht="25.5">
      <c r="A53" s="1802"/>
      <c r="B53" s="1803"/>
      <c r="C53" s="2484" t="s">
        <v>212</v>
      </c>
      <c r="D53" s="2485" t="s">
        <v>213</v>
      </c>
      <c r="E53" s="2448"/>
      <c r="F53" s="2482"/>
      <c r="G53" s="2482"/>
      <c r="H53" s="2450">
        <f t="shared" si="0"/>
        <v>0</v>
      </c>
      <c r="I53" s="2483"/>
      <c r="J53" s="2452">
        <f>2361-2361</f>
        <v>0</v>
      </c>
      <c r="K53" s="1800"/>
    </row>
    <row r="54" spans="1:11" s="1801" customFormat="1" ht="25.5">
      <c r="A54" s="1802"/>
      <c r="B54" s="1803"/>
      <c r="C54" s="2484" t="s">
        <v>214</v>
      </c>
      <c r="D54" s="2485" t="s">
        <v>213</v>
      </c>
      <c r="E54" s="2448"/>
      <c r="F54" s="2482"/>
      <c r="G54" s="2482"/>
      <c r="H54" s="2450">
        <f t="shared" si="0"/>
        <v>0</v>
      </c>
      <c r="I54" s="2483"/>
      <c r="J54" s="2452">
        <f>139-139</f>
        <v>0</v>
      </c>
      <c r="K54" s="1800"/>
    </row>
    <row r="55" spans="1:11" s="1801" customFormat="1" ht="25.5">
      <c r="A55" s="1802"/>
      <c r="B55" s="1803"/>
      <c r="C55" s="2484" t="s">
        <v>215</v>
      </c>
      <c r="D55" s="2485" t="s">
        <v>216</v>
      </c>
      <c r="E55" s="2448"/>
      <c r="F55" s="2482"/>
      <c r="G55" s="2482"/>
      <c r="H55" s="2450">
        <f t="shared" si="0"/>
        <v>0</v>
      </c>
      <c r="I55" s="2483"/>
      <c r="J55" s="2452">
        <f>1889-1889</f>
        <v>0</v>
      </c>
      <c r="K55" s="1800"/>
    </row>
    <row r="56" spans="1:11" s="1801" customFormat="1" ht="25.5">
      <c r="A56" s="1802"/>
      <c r="B56" s="1803"/>
      <c r="C56" s="2484" t="s">
        <v>217</v>
      </c>
      <c r="D56" s="2485" t="s">
        <v>216</v>
      </c>
      <c r="E56" s="2448"/>
      <c r="F56" s="2482"/>
      <c r="G56" s="2482"/>
      <c r="H56" s="2450">
        <f t="shared" si="0"/>
        <v>0</v>
      </c>
      <c r="I56" s="2483"/>
      <c r="J56" s="2452">
        <f>111-111</f>
        <v>0</v>
      </c>
      <c r="K56" s="1800"/>
    </row>
    <row r="57" spans="1:11" s="1801" customFormat="1" ht="12.75">
      <c r="A57" s="1802"/>
      <c r="B57" s="1803"/>
      <c r="C57" s="2484" t="s">
        <v>218</v>
      </c>
      <c r="D57" s="2485" t="s">
        <v>717</v>
      </c>
      <c r="E57" s="2448"/>
      <c r="F57" s="2482"/>
      <c r="G57" s="2482"/>
      <c r="H57" s="2450">
        <f t="shared" si="0"/>
        <v>0</v>
      </c>
      <c r="I57" s="2483"/>
      <c r="J57" s="2452">
        <f>8500-8500</f>
        <v>0</v>
      </c>
      <c r="K57" s="1800"/>
    </row>
    <row r="58" spans="1:11" s="1805" customFormat="1" ht="12.75">
      <c r="A58" s="1514"/>
      <c r="B58" s="1803"/>
      <c r="C58" s="2484" t="s">
        <v>219</v>
      </c>
      <c r="D58" s="2485" t="s">
        <v>717</v>
      </c>
      <c r="E58" s="2448"/>
      <c r="F58" s="2449"/>
      <c r="G58" s="2449"/>
      <c r="H58" s="2450">
        <f t="shared" si="0"/>
        <v>0</v>
      </c>
      <c r="I58" s="2451"/>
      <c r="J58" s="2452">
        <f>500-500</f>
        <v>0</v>
      </c>
      <c r="K58" s="1804"/>
    </row>
    <row r="59" spans="1:11" s="1805" customFormat="1" ht="12.75">
      <c r="A59" s="1514"/>
      <c r="B59" s="1803"/>
      <c r="C59" s="2446">
        <v>4438</v>
      </c>
      <c r="D59" s="2447" t="s">
        <v>718</v>
      </c>
      <c r="E59" s="2448"/>
      <c r="F59" s="2449"/>
      <c r="G59" s="2449"/>
      <c r="H59" s="2450">
        <f t="shared" si="0"/>
        <v>7650</v>
      </c>
      <c r="I59" s="2451"/>
      <c r="J59" s="2452">
        <f>6139+1511</f>
        <v>7650</v>
      </c>
      <c r="K59" s="1804"/>
    </row>
    <row r="60" spans="1:11" s="1805" customFormat="1" ht="12.75">
      <c r="A60" s="1514"/>
      <c r="B60" s="1803"/>
      <c r="C60" s="2446">
        <v>4439</v>
      </c>
      <c r="D60" s="2447" t="s">
        <v>718</v>
      </c>
      <c r="E60" s="2448"/>
      <c r="F60" s="2449"/>
      <c r="G60" s="2449"/>
      <c r="H60" s="2450">
        <f t="shared" si="0"/>
        <v>450</v>
      </c>
      <c r="I60" s="2451"/>
      <c r="J60" s="2452">
        <f>361+89</f>
        <v>450</v>
      </c>
      <c r="K60" s="1804"/>
    </row>
    <row r="61" spans="1:11" s="1805" customFormat="1" ht="12.75">
      <c r="A61" s="1514"/>
      <c r="B61" s="1803"/>
      <c r="C61" s="2446">
        <v>4448</v>
      </c>
      <c r="D61" s="2447" t="s">
        <v>778</v>
      </c>
      <c r="E61" s="2448"/>
      <c r="F61" s="2449"/>
      <c r="G61" s="2449"/>
      <c r="H61" s="2450"/>
      <c r="I61" s="2451"/>
      <c r="J61" s="2452">
        <v>5667</v>
      </c>
      <c r="K61" s="1804"/>
    </row>
    <row r="62" spans="1:11" s="1805" customFormat="1" ht="12.75">
      <c r="A62" s="1514"/>
      <c r="B62" s="1803"/>
      <c r="C62" s="2446">
        <v>4449</v>
      </c>
      <c r="D62" s="2447" t="s">
        <v>778</v>
      </c>
      <c r="E62" s="2448"/>
      <c r="F62" s="2449"/>
      <c r="G62" s="2449"/>
      <c r="H62" s="2450"/>
      <c r="I62" s="2451"/>
      <c r="J62" s="2452">
        <v>334</v>
      </c>
      <c r="K62" s="1804"/>
    </row>
    <row r="63" spans="1:11" s="1805" customFormat="1" ht="25.5">
      <c r="A63" s="1514"/>
      <c r="B63" s="1803"/>
      <c r="C63" s="2484" t="s">
        <v>220</v>
      </c>
      <c r="D63" s="2486" t="s">
        <v>721</v>
      </c>
      <c r="E63" s="2448"/>
      <c r="F63" s="2449"/>
      <c r="G63" s="2449"/>
      <c r="H63" s="2450">
        <f t="shared" si="0"/>
        <v>771</v>
      </c>
      <c r="I63" s="2451"/>
      <c r="J63" s="2452">
        <f>18888-18117</f>
        <v>771</v>
      </c>
      <c r="K63" s="1804"/>
    </row>
    <row r="64" spans="1:11" s="1805" customFormat="1" ht="25.5">
      <c r="A64" s="1514"/>
      <c r="B64" s="1803"/>
      <c r="C64" s="2484" t="s">
        <v>221</v>
      </c>
      <c r="D64" s="2486" t="s">
        <v>721</v>
      </c>
      <c r="E64" s="2448"/>
      <c r="F64" s="2449"/>
      <c r="G64" s="2449"/>
      <c r="H64" s="2450">
        <f t="shared" si="0"/>
        <v>45</v>
      </c>
      <c r="I64" s="2451"/>
      <c r="J64" s="2452">
        <f>1112-1067</f>
        <v>45</v>
      </c>
      <c r="K64" s="1804"/>
    </row>
    <row r="65" spans="1:11" s="1805" customFormat="1" ht="25.5">
      <c r="A65" s="1514"/>
      <c r="B65" s="1803"/>
      <c r="C65" s="2484" t="s">
        <v>222</v>
      </c>
      <c r="D65" s="2486" t="s">
        <v>223</v>
      </c>
      <c r="E65" s="2448"/>
      <c r="F65" s="2449"/>
      <c r="G65" s="2449"/>
      <c r="H65" s="2450">
        <f t="shared" si="0"/>
        <v>10777</v>
      </c>
      <c r="I65" s="2451"/>
      <c r="J65" s="2452">
        <f>12636-1859</f>
        <v>10777</v>
      </c>
      <c r="K65" s="1804"/>
    </row>
    <row r="66" spans="1:11" s="1805" customFormat="1" ht="26.25" thickBot="1">
      <c r="A66" s="1514"/>
      <c r="B66" s="1803"/>
      <c r="C66" s="2487" t="s">
        <v>224</v>
      </c>
      <c r="D66" s="2488" t="s">
        <v>223</v>
      </c>
      <c r="E66" s="2456"/>
      <c r="F66" s="2457"/>
      <c r="G66" s="2457"/>
      <c r="H66" s="2458">
        <f t="shared" si="0"/>
        <v>635</v>
      </c>
      <c r="I66" s="2458"/>
      <c r="J66" s="2460">
        <f>744-109</f>
        <v>635</v>
      </c>
      <c r="K66" s="1804"/>
    </row>
    <row r="67" spans="1:11" s="1792" customFormat="1" ht="52.5" thickBot="1" thickTop="1">
      <c r="A67" s="1500">
        <v>853</v>
      </c>
      <c r="B67" s="1806">
        <v>85395</v>
      </c>
      <c r="C67" s="1532"/>
      <c r="D67" s="1807" t="s">
        <v>225</v>
      </c>
      <c r="E67" s="1774" t="s">
        <v>198</v>
      </c>
      <c r="F67" s="1775">
        <v>2008</v>
      </c>
      <c r="G67" s="1775">
        <v>2009</v>
      </c>
      <c r="H67" s="1790">
        <f>I67+J67</f>
        <v>611982</v>
      </c>
      <c r="I67" s="1790">
        <f>SUM(I68:I93)</f>
        <v>28461</v>
      </c>
      <c r="J67" s="1777">
        <f>SUM(J68:J93)</f>
        <v>583521</v>
      </c>
      <c r="K67" s="1791"/>
    </row>
    <row r="68" spans="1:11" s="1792" customFormat="1" ht="39" thickTop="1">
      <c r="A68" s="1880"/>
      <c r="B68" s="1879"/>
      <c r="C68" s="2489">
        <v>2338</v>
      </c>
      <c r="D68" s="2490" t="s">
        <v>48</v>
      </c>
      <c r="E68" s="2491"/>
      <c r="F68" s="2492"/>
      <c r="G68" s="2492"/>
      <c r="H68" s="2493">
        <f>I68+J68</f>
        <v>12369</v>
      </c>
      <c r="I68" s="2494"/>
      <c r="J68" s="2468">
        <f>9578+2791</f>
        <v>12369</v>
      </c>
      <c r="K68" s="1791"/>
    </row>
    <row r="69" spans="1:11" s="1792" customFormat="1" ht="38.25">
      <c r="A69" s="1880"/>
      <c r="B69" s="1529"/>
      <c r="C69" s="2495">
        <v>2339</v>
      </c>
      <c r="D69" s="2485" t="s">
        <v>48</v>
      </c>
      <c r="E69" s="2496"/>
      <c r="F69" s="2392"/>
      <c r="G69" s="2392"/>
      <c r="H69" s="2393">
        <f>I69+J69</f>
        <v>166</v>
      </c>
      <c r="I69" s="2497"/>
      <c r="J69" s="2394">
        <f>129+37</f>
        <v>166</v>
      </c>
      <c r="K69" s="1791"/>
    </row>
    <row r="70" spans="1:11" s="1792" customFormat="1" ht="63.75">
      <c r="A70" s="1880"/>
      <c r="B70" s="1529"/>
      <c r="C70" s="2495">
        <v>2678</v>
      </c>
      <c r="D70" s="2485" t="s">
        <v>45</v>
      </c>
      <c r="E70" s="2496"/>
      <c r="F70" s="2392"/>
      <c r="G70" s="2392"/>
      <c r="H70" s="2393">
        <f aca="true" t="shared" si="2" ref="H70:H85">I70+J70</f>
        <v>5329</v>
      </c>
      <c r="I70" s="2497"/>
      <c r="J70" s="2394">
        <f>3494+1835</f>
        <v>5329</v>
      </c>
      <c r="K70" s="1791"/>
    </row>
    <row r="71" spans="1:11" s="1792" customFormat="1" ht="63.75">
      <c r="A71" s="1880"/>
      <c r="B71" s="1529"/>
      <c r="C71" s="2495">
        <v>2679</v>
      </c>
      <c r="D71" s="2485" t="s">
        <v>45</v>
      </c>
      <c r="E71" s="2496"/>
      <c r="F71" s="2392"/>
      <c r="G71" s="2392"/>
      <c r="H71" s="2393">
        <f t="shared" si="2"/>
        <v>72</v>
      </c>
      <c r="I71" s="2497"/>
      <c r="J71" s="2394">
        <f>7+65</f>
        <v>72</v>
      </c>
      <c r="K71" s="1791"/>
    </row>
    <row r="72" spans="1:11" s="1792" customFormat="1" ht="15.75">
      <c r="A72" s="1880"/>
      <c r="B72" s="1529"/>
      <c r="C72" s="2498">
        <v>4018</v>
      </c>
      <c r="D72" s="2499" t="s">
        <v>695</v>
      </c>
      <c r="E72" s="2496"/>
      <c r="F72" s="2392"/>
      <c r="G72" s="2392"/>
      <c r="H72" s="2393">
        <f t="shared" si="2"/>
        <v>15986</v>
      </c>
      <c r="I72" s="2497"/>
      <c r="J72" s="2394">
        <f>887+15099</f>
        <v>15986</v>
      </c>
      <c r="K72" s="1791"/>
    </row>
    <row r="73" spans="1:11" s="1792" customFormat="1" ht="15.75">
      <c r="A73" s="1880"/>
      <c r="B73" s="1529"/>
      <c r="C73" s="2498">
        <v>4019</v>
      </c>
      <c r="D73" s="2499" t="s">
        <v>695</v>
      </c>
      <c r="E73" s="2496"/>
      <c r="F73" s="2392"/>
      <c r="G73" s="2392"/>
      <c r="H73" s="2393">
        <f t="shared" si="2"/>
        <v>215</v>
      </c>
      <c r="I73" s="2497"/>
      <c r="J73" s="2394">
        <f>203+12</f>
        <v>215</v>
      </c>
      <c r="K73" s="1791"/>
    </row>
    <row r="74" spans="1:11" s="1792" customFormat="1" ht="15.75">
      <c r="A74" s="1880"/>
      <c r="B74" s="1529"/>
      <c r="C74" s="2389" t="s">
        <v>698</v>
      </c>
      <c r="D74" s="2500" t="s">
        <v>699</v>
      </c>
      <c r="E74" s="2496"/>
      <c r="F74" s="2392"/>
      <c r="G74" s="2392"/>
      <c r="H74" s="2393">
        <f t="shared" si="2"/>
        <v>418</v>
      </c>
      <c r="I74" s="2393">
        <v>418</v>
      </c>
      <c r="J74" s="2394"/>
      <c r="K74" s="1791"/>
    </row>
    <row r="75" spans="1:11" s="1792" customFormat="1" ht="15.75">
      <c r="A75" s="1880"/>
      <c r="B75" s="1529"/>
      <c r="C75" s="2389" t="s">
        <v>199</v>
      </c>
      <c r="D75" s="2500" t="s">
        <v>699</v>
      </c>
      <c r="E75" s="2496"/>
      <c r="F75" s="2392"/>
      <c r="G75" s="2392"/>
      <c r="H75" s="2393">
        <f t="shared" si="2"/>
        <v>15149</v>
      </c>
      <c r="I75" s="2497"/>
      <c r="J75" s="2394">
        <f>10464+5096-411</f>
        <v>15149</v>
      </c>
      <c r="K75" s="1791"/>
    </row>
    <row r="76" spans="1:11" s="1792" customFormat="1" ht="15.75">
      <c r="A76" s="1880"/>
      <c r="B76" s="1529"/>
      <c r="C76" s="2389" t="s">
        <v>200</v>
      </c>
      <c r="D76" s="2500" t="s">
        <v>699</v>
      </c>
      <c r="E76" s="2496"/>
      <c r="F76" s="2392"/>
      <c r="G76" s="2392"/>
      <c r="H76" s="2393">
        <f t="shared" si="2"/>
        <v>9018</v>
      </c>
      <c r="I76" s="2497"/>
      <c r="J76" s="2394">
        <f>8650+692-324</f>
        <v>9018</v>
      </c>
      <c r="K76" s="1791"/>
    </row>
    <row r="77" spans="1:11" s="1792" customFormat="1" ht="15.75">
      <c r="A77" s="1880"/>
      <c r="B77" s="1529"/>
      <c r="C77" s="2389" t="s">
        <v>700</v>
      </c>
      <c r="D77" s="2500" t="s">
        <v>202</v>
      </c>
      <c r="E77" s="2496"/>
      <c r="F77" s="2392"/>
      <c r="G77" s="2392"/>
      <c r="H77" s="2393"/>
      <c r="I77" s="2393">
        <v>82</v>
      </c>
      <c r="J77" s="2394"/>
      <c r="K77" s="1791"/>
    </row>
    <row r="78" spans="1:11" s="1792" customFormat="1" ht="15.75">
      <c r="A78" s="1880"/>
      <c r="B78" s="1529"/>
      <c r="C78" s="2389" t="s">
        <v>201</v>
      </c>
      <c r="D78" s="2500" t="s">
        <v>202</v>
      </c>
      <c r="E78" s="2496"/>
      <c r="F78" s="2392"/>
      <c r="G78" s="2392"/>
      <c r="H78" s="2393">
        <f t="shared" si="2"/>
        <v>2440</v>
      </c>
      <c r="I78" s="2393"/>
      <c r="J78" s="2394">
        <f>1654+852-66</f>
        <v>2440</v>
      </c>
      <c r="K78" s="1791"/>
    </row>
    <row r="79" spans="1:11" s="1792" customFormat="1" ht="15.75">
      <c r="A79" s="1880"/>
      <c r="B79" s="1529"/>
      <c r="C79" s="2389" t="s">
        <v>203</v>
      </c>
      <c r="D79" s="2500" t="s">
        <v>202</v>
      </c>
      <c r="E79" s="2496"/>
      <c r="F79" s="2392"/>
      <c r="G79" s="2392"/>
      <c r="H79" s="2393">
        <f t="shared" si="2"/>
        <v>1450</v>
      </c>
      <c r="I79" s="2393"/>
      <c r="J79" s="2394">
        <f>1391+112-53</f>
        <v>1450</v>
      </c>
      <c r="K79" s="1791"/>
    </row>
    <row r="80" spans="1:11" s="1792" customFormat="1" ht="15.75">
      <c r="A80" s="1880"/>
      <c r="B80" s="1529"/>
      <c r="C80" s="2389" t="s">
        <v>4</v>
      </c>
      <c r="D80" s="2500" t="s">
        <v>713</v>
      </c>
      <c r="E80" s="2496"/>
      <c r="F80" s="2392"/>
      <c r="G80" s="2392"/>
      <c r="H80" s="2393"/>
      <c r="I80" s="2393">
        <v>2830</v>
      </c>
      <c r="J80" s="2394"/>
      <c r="K80" s="1791"/>
    </row>
    <row r="81" spans="1:11" s="1792" customFormat="1" ht="14.25" customHeight="1">
      <c r="A81" s="1880"/>
      <c r="B81" s="1529"/>
      <c r="C81" s="2389" t="s">
        <v>204</v>
      </c>
      <c r="D81" s="2500" t="s">
        <v>713</v>
      </c>
      <c r="E81" s="2496"/>
      <c r="F81" s="2392"/>
      <c r="G81" s="2392"/>
      <c r="H81" s="2393">
        <f t="shared" si="2"/>
        <v>103341</v>
      </c>
      <c r="I81" s="2497"/>
      <c r="J81" s="2394">
        <f>71740+31124+477</f>
        <v>103341</v>
      </c>
      <c r="K81" s="1791"/>
    </row>
    <row r="82" spans="1:11" s="1792" customFormat="1" ht="15.75">
      <c r="A82" s="1880"/>
      <c r="B82" s="1529"/>
      <c r="C82" s="2389" t="s">
        <v>205</v>
      </c>
      <c r="D82" s="2500" t="s">
        <v>713</v>
      </c>
      <c r="E82" s="2496"/>
      <c r="F82" s="2392"/>
      <c r="G82" s="2392"/>
      <c r="H82" s="2393">
        <f t="shared" si="2"/>
        <v>61550</v>
      </c>
      <c r="I82" s="2497"/>
      <c r="J82" s="2394">
        <f>56883+4290+377</f>
        <v>61550</v>
      </c>
      <c r="K82" s="1791"/>
    </row>
    <row r="83" spans="1:11" s="1792" customFormat="1" ht="15.75">
      <c r="A83" s="1880"/>
      <c r="B83" s="1529"/>
      <c r="C83" s="2389" t="s">
        <v>805</v>
      </c>
      <c r="D83" s="2500" t="s">
        <v>709</v>
      </c>
      <c r="E83" s="2496"/>
      <c r="F83" s="2392"/>
      <c r="G83" s="2392"/>
      <c r="H83" s="2393"/>
      <c r="I83" s="2393">
        <v>5000</v>
      </c>
      <c r="J83" s="2394"/>
      <c r="K83" s="1791"/>
    </row>
    <row r="84" spans="1:11" s="1792" customFormat="1" ht="15.75">
      <c r="A84" s="1880"/>
      <c r="B84" s="1529"/>
      <c r="C84" s="2389" t="s">
        <v>206</v>
      </c>
      <c r="D84" s="2500" t="s">
        <v>709</v>
      </c>
      <c r="E84" s="2496"/>
      <c r="F84" s="2392"/>
      <c r="G84" s="2392"/>
      <c r="H84" s="2393">
        <f t="shared" si="2"/>
        <v>66190</v>
      </c>
      <c r="I84" s="2497"/>
      <c r="J84" s="2394">
        <f>35427+34612-3849</f>
        <v>66190</v>
      </c>
      <c r="K84" s="1791"/>
    </row>
    <row r="85" spans="1:11" s="1792" customFormat="1" ht="15.75">
      <c r="A85" s="1880"/>
      <c r="B85" s="1529"/>
      <c r="C85" s="2389" t="s">
        <v>207</v>
      </c>
      <c r="D85" s="2500" t="s">
        <v>709</v>
      </c>
      <c r="E85" s="2496"/>
      <c r="F85" s="2392"/>
      <c r="G85" s="2392"/>
      <c r="H85" s="2393">
        <f t="shared" si="2"/>
        <v>13769</v>
      </c>
      <c r="I85" s="2497"/>
      <c r="J85" s="2394">
        <f>10131+3690-52</f>
        <v>13769</v>
      </c>
      <c r="K85" s="1791"/>
    </row>
    <row r="86" spans="1:11" s="1792" customFormat="1" ht="30">
      <c r="A86" s="1880"/>
      <c r="B86" s="1529"/>
      <c r="C86" s="2389" t="s">
        <v>806</v>
      </c>
      <c r="D86" s="2501" t="s">
        <v>807</v>
      </c>
      <c r="E86" s="2496"/>
      <c r="F86" s="2392"/>
      <c r="G86" s="2392"/>
      <c r="H86" s="2393"/>
      <c r="I86" s="2497"/>
      <c r="J86" s="2394">
        <v>6215</v>
      </c>
      <c r="K86" s="1791"/>
    </row>
    <row r="87" spans="1:11" s="1792" customFormat="1" ht="30">
      <c r="A87" s="1880"/>
      <c r="B87" s="1529"/>
      <c r="C87" s="2389" t="s">
        <v>808</v>
      </c>
      <c r="D87" s="2501" t="s">
        <v>807</v>
      </c>
      <c r="E87" s="2496"/>
      <c r="F87" s="2392"/>
      <c r="G87" s="2392"/>
      <c r="H87" s="2393"/>
      <c r="I87" s="2497"/>
      <c r="J87" s="2394">
        <v>85</v>
      </c>
      <c r="K87" s="1791"/>
    </row>
    <row r="88" spans="1:11" s="1792" customFormat="1" ht="15.75">
      <c r="A88" s="1880"/>
      <c r="B88" s="1529"/>
      <c r="C88" s="2502">
        <v>4300</v>
      </c>
      <c r="D88" s="2503" t="s">
        <v>710</v>
      </c>
      <c r="E88" s="2496"/>
      <c r="F88" s="2392"/>
      <c r="G88" s="2392"/>
      <c r="H88" s="2393">
        <f aca="true" t="shared" si="3" ref="H88:H102">I88+J88</f>
        <v>18113</v>
      </c>
      <c r="I88" s="2393">
        <f>23113-5000</f>
        <v>18113</v>
      </c>
      <c r="J88" s="2394"/>
      <c r="K88" s="1791"/>
    </row>
    <row r="89" spans="1:11" s="1795" customFormat="1" ht="15">
      <c r="A89" s="1793"/>
      <c r="B89" s="1531"/>
      <c r="C89" s="2502">
        <v>4308</v>
      </c>
      <c r="D89" s="2503" t="s">
        <v>710</v>
      </c>
      <c r="E89" s="2391"/>
      <c r="F89" s="2392"/>
      <c r="G89" s="2392"/>
      <c r="H89" s="2393">
        <f t="shared" si="3"/>
        <v>267984</v>
      </c>
      <c r="I89" s="2393"/>
      <c r="J89" s="2394">
        <f>337578-135729+147471-85185+3849</f>
        <v>267984</v>
      </c>
      <c r="K89" s="1794"/>
    </row>
    <row r="90" spans="1:11" s="1795" customFormat="1" ht="15">
      <c r="A90" s="1793"/>
      <c r="B90" s="1531"/>
      <c r="C90" s="2502">
        <v>4309</v>
      </c>
      <c r="D90" s="2503" t="s">
        <v>710</v>
      </c>
      <c r="E90" s="2391"/>
      <c r="F90" s="2392"/>
      <c r="G90" s="2392"/>
      <c r="H90" s="2393">
        <f t="shared" si="3"/>
        <v>3568</v>
      </c>
      <c r="I90" s="2393">
        <f>35259-33721</f>
        <v>1538</v>
      </c>
      <c r="J90" s="2394">
        <f>59573-59573+1978+52</f>
        <v>2030</v>
      </c>
      <c r="K90" s="1794"/>
    </row>
    <row r="91" spans="1:11" s="1795" customFormat="1" ht="15">
      <c r="A91" s="1793"/>
      <c r="B91" s="1531"/>
      <c r="C91" s="2502">
        <v>4430</v>
      </c>
      <c r="D91" s="2503" t="s">
        <v>718</v>
      </c>
      <c r="E91" s="2391"/>
      <c r="F91" s="2392"/>
      <c r="G91" s="2392"/>
      <c r="H91" s="2393">
        <f t="shared" si="3"/>
        <v>480</v>
      </c>
      <c r="I91" s="2393">
        <v>480</v>
      </c>
      <c r="J91" s="2394"/>
      <c r="K91" s="1794"/>
    </row>
    <row r="92" spans="1:11" s="1795" customFormat="1" ht="45">
      <c r="A92" s="1793"/>
      <c r="B92" s="1531"/>
      <c r="C92" s="2389" t="s">
        <v>220</v>
      </c>
      <c r="D92" s="2504" t="s">
        <v>721</v>
      </c>
      <c r="E92" s="2391"/>
      <c r="F92" s="2392"/>
      <c r="G92" s="2392"/>
      <c r="H92" s="2393">
        <f t="shared" si="3"/>
        <v>160</v>
      </c>
      <c r="I92" s="2393"/>
      <c r="J92" s="2394">
        <f>488-328</f>
        <v>160</v>
      </c>
      <c r="K92" s="1794"/>
    </row>
    <row r="93" spans="1:11" s="1795" customFormat="1" ht="45.75" thickBot="1">
      <c r="A93" s="1793"/>
      <c r="B93" s="1531"/>
      <c r="C93" s="2505" t="s">
        <v>221</v>
      </c>
      <c r="D93" s="2506" t="s">
        <v>721</v>
      </c>
      <c r="E93" s="2507"/>
      <c r="F93" s="2508"/>
      <c r="G93" s="2508"/>
      <c r="H93" s="2509">
        <f t="shared" si="3"/>
        <v>3</v>
      </c>
      <c r="I93" s="2509"/>
      <c r="J93" s="2510">
        <f>87-84</f>
        <v>3</v>
      </c>
      <c r="K93" s="1794"/>
    </row>
    <row r="94" spans="1:11" s="1792" customFormat="1" ht="58.5" thickBot="1" thickTop="1">
      <c r="A94" s="1401">
        <v>854</v>
      </c>
      <c r="B94" s="2381">
        <v>85415</v>
      </c>
      <c r="C94" s="2382"/>
      <c r="D94" s="2383" t="s">
        <v>0</v>
      </c>
      <c r="E94" s="1920"/>
      <c r="F94" s="1091"/>
      <c r="G94" s="1091"/>
      <c r="H94" s="1776">
        <f t="shared" si="3"/>
        <v>1162490</v>
      </c>
      <c r="I94" s="1776">
        <f>SUM(I95:I101)</f>
        <v>10000</v>
      </c>
      <c r="J94" s="2384">
        <f>SUM(J95:J101)</f>
        <v>1152490</v>
      </c>
      <c r="K94" s="1791"/>
    </row>
    <row r="95" spans="1:11" s="1795" customFormat="1" ht="15.75" thickTop="1">
      <c r="A95" s="2385"/>
      <c r="B95" s="2386"/>
      <c r="C95" s="2511" t="s">
        <v>1</v>
      </c>
      <c r="D95" s="2512" t="s">
        <v>2</v>
      </c>
      <c r="E95" s="2513"/>
      <c r="F95" s="2492"/>
      <c r="G95" s="2492"/>
      <c r="H95" s="2493">
        <f t="shared" si="3"/>
        <v>762160</v>
      </c>
      <c r="I95" s="2493"/>
      <c r="J95" s="2468">
        <v>762160</v>
      </c>
      <c r="K95" s="1794"/>
    </row>
    <row r="96" spans="1:11" s="1795" customFormat="1" ht="15">
      <c r="A96" s="2387"/>
      <c r="B96" s="2388"/>
      <c r="C96" s="2389" t="s">
        <v>3</v>
      </c>
      <c r="D96" s="2390" t="s">
        <v>2</v>
      </c>
      <c r="E96" s="2391"/>
      <c r="F96" s="2392"/>
      <c r="G96" s="2392"/>
      <c r="H96" s="2393">
        <f t="shared" si="3"/>
        <v>357840</v>
      </c>
      <c r="I96" s="2393"/>
      <c r="J96" s="2394">
        <v>357840</v>
      </c>
      <c r="K96" s="1794"/>
    </row>
    <row r="97" spans="1:11" s="1795" customFormat="1" ht="15">
      <c r="A97" s="2387"/>
      <c r="B97" s="2388"/>
      <c r="C97" s="2389" t="s">
        <v>4</v>
      </c>
      <c r="D97" s="2500" t="s">
        <v>713</v>
      </c>
      <c r="E97" s="2391"/>
      <c r="F97" s="2392"/>
      <c r="G97" s="2392"/>
      <c r="H97" s="2393">
        <f t="shared" si="3"/>
        <v>10000</v>
      </c>
      <c r="I97" s="2393">
        <v>10000</v>
      </c>
      <c r="J97" s="2394"/>
      <c r="K97" s="1794"/>
    </row>
    <row r="98" spans="1:11" s="1795" customFormat="1" ht="15">
      <c r="A98" s="2387"/>
      <c r="B98" s="2388"/>
      <c r="C98" s="2389" t="s">
        <v>206</v>
      </c>
      <c r="D98" s="2500" t="s">
        <v>709</v>
      </c>
      <c r="E98" s="2391"/>
      <c r="F98" s="2392"/>
      <c r="G98" s="2392"/>
      <c r="H98" s="2393">
        <f t="shared" si="3"/>
        <v>7870</v>
      </c>
      <c r="I98" s="2393"/>
      <c r="J98" s="2394">
        <v>7870</v>
      </c>
      <c r="K98" s="1794"/>
    </row>
    <row r="99" spans="1:11" s="1795" customFormat="1" ht="15">
      <c r="A99" s="2387"/>
      <c r="B99" s="2388"/>
      <c r="C99" s="2389" t="s">
        <v>207</v>
      </c>
      <c r="D99" s="2500" t="s">
        <v>709</v>
      </c>
      <c r="E99" s="2391"/>
      <c r="F99" s="2392"/>
      <c r="G99" s="2392"/>
      <c r="H99" s="2393">
        <f t="shared" si="3"/>
        <v>3695</v>
      </c>
      <c r="I99" s="2393"/>
      <c r="J99" s="2394">
        <v>3695</v>
      </c>
      <c r="K99" s="1794"/>
    </row>
    <row r="100" spans="1:11" s="1795" customFormat="1" ht="15">
      <c r="A100" s="2387"/>
      <c r="B100" s="2388"/>
      <c r="C100" s="2502">
        <v>4308</v>
      </c>
      <c r="D100" s="2503" t="s">
        <v>710</v>
      </c>
      <c r="E100" s="2391"/>
      <c r="F100" s="2392"/>
      <c r="G100" s="2392"/>
      <c r="H100" s="2393">
        <f t="shared" si="3"/>
        <v>14240</v>
      </c>
      <c r="I100" s="2393"/>
      <c r="J100" s="2394">
        <v>14240</v>
      </c>
      <c r="K100" s="1794"/>
    </row>
    <row r="101" spans="1:11" s="1795" customFormat="1" ht="15.75" thickBot="1">
      <c r="A101" s="2387"/>
      <c r="B101" s="2388"/>
      <c r="C101" s="2514">
        <v>4309</v>
      </c>
      <c r="D101" s="2515" t="s">
        <v>710</v>
      </c>
      <c r="E101" s="2507"/>
      <c r="F101" s="2508"/>
      <c r="G101" s="2508"/>
      <c r="H101" s="2509">
        <f t="shared" si="3"/>
        <v>6685</v>
      </c>
      <c r="I101" s="2509"/>
      <c r="J101" s="2510">
        <v>6685</v>
      </c>
      <c r="K101" s="1794"/>
    </row>
    <row r="102" spans="1:11" s="1792" customFormat="1" ht="30" thickBot="1" thickTop="1">
      <c r="A102" s="891">
        <v>900</v>
      </c>
      <c r="B102" s="1091">
        <v>90095</v>
      </c>
      <c r="C102" s="1773"/>
      <c r="D102" s="1807" t="s">
        <v>226</v>
      </c>
      <c r="E102" s="1773" t="s">
        <v>227</v>
      </c>
      <c r="F102" s="1775">
        <v>2006</v>
      </c>
      <c r="G102" s="1775">
        <v>2010</v>
      </c>
      <c r="H102" s="1790">
        <f t="shared" si="3"/>
        <v>100000</v>
      </c>
      <c r="I102" s="1790">
        <f>SUM(I103:I113)</f>
        <v>4200</v>
      </c>
      <c r="J102" s="1777">
        <f>SUM(J103:J113)</f>
        <v>95800</v>
      </c>
      <c r="K102" s="1791">
        <f>J102/H102*100</f>
        <v>95.8</v>
      </c>
    </row>
    <row r="103" spans="1:11" s="1795" customFormat="1" ht="15.75" thickTop="1">
      <c r="A103" s="1040"/>
      <c r="B103" s="1808"/>
      <c r="C103" s="2516">
        <v>4178</v>
      </c>
      <c r="D103" s="2517" t="s">
        <v>713</v>
      </c>
      <c r="E103" s="2516"/>
      <c r="F103" s="2518"/>
      <c r="G103" s="2518"/>
      <c r="H103" s="2519"/>
      <c r="I103" s="2520"/>
      <c r="J103" s="2521">
        <v>10000</v>
      </c>
      <c r="K103" s="1809"/>
    </row>
    <row r="104" spans="1:11" s="1795" customFormat="1" ht="15">
      <c r="A104" s="1040"/>
      <c r="B104" s="1808"/>
      <c r="C104" s="2502">
        <v>4210</v>
      </c>
      <c r="D104" s="2522" t="s">
        <v>709</v>
      </c>
      <c r="E104" s="2502"/>
      <c r="F104" s="2523"/>
      <c r="G104" s="2523"/>
      <c r="H104" s="2524"/>
      <c r="I104" s="2525">
        <v>100</v>
      </c>
      <c r="J104" s="2526"/>
      <c r="K104" s="1809"/>
    </row>
    <row r="105" spans="1:11" s="1795" customFormat="1" ht="15">
      <c r="A105" s="1040"/>
      <c r="B105" s="1808"/>
      <c r="C105" s="2502">
        <v>4218</v>
      </c>
      <c r="D105" s="2522" t="s">
        <v>709</v>
      </c>
      <c r="E105" s="2502"/>
      <c r="F105" s="2523"/>
      <c r="G105" s="2523"/>
      <c r="H105" s="2524"/>
      <c r="I105" s="2525"/>
      <c r="J105" s="2526">
        <v>3000</v>
      </c>
      <c r="K105" s="1809"/>
    </row>
    <row r="106" spans="1:11" s="1795" customFormat="1" ht="15">
      <c r="A106" s="1040"/>
      <c r="B106" s="1808"/>
      <c r="C106" s="2502">
        <v>4219</v>
      </c>
      <c r="D106" s="2527" t="s">
        <v>228</v>
      </c>
      <c r="E106" s="2502"/>
      <c r="F106" s="2523"/>
      <c r="G106" s="2523"/>
      <c r="H106" s="2524"/>
      <c r="I106" s="2525">
        <v>700</v>
      </c>
      <c r="J106" s="2526"/>
      <c r="K106" s="1809"/>
    </row>
    <row r="107" spans="1:11" s="1795" customFormat="1" ht="15">
      <c r="A107" s="1040"/>
      <c r="B107" s="1808"/>
      <c r="C107" s="2502">
        <v>4308</v>
      </c>
      <c r="D107" s="2503" t="s">
        <v>710</v>
      </c>
      <c r="E107" s="2502"/>
      <c r="F107" s="2523"/>
      <c r="G107" s="2523"/>
      <c r="H107" s="2524"/>
      <c r="I107" s="2525"/>
      <c r="J107" s="2526">
        <v>10000</v>
      </c>
      <c r="K107" s="1809"/>
    </row>
    <row r="108" spans="1:11" s="1795" customFormat="1" ht="15">
      <c r="A108" s="1040"/>
      <c r="B108" s="1808"/>
      <c r="C108" s="2502">
        <v>4309</v>
      </c>
      <c r="D108" s="2503" t="s">
        <v>710</v>
      </c>
      <c r="E108" s="2502"/>
      <c r="F108" s="2523"/>
      <c r="G108" s="2523"/>
      <c r="H108" s="2524"/>
      <c r="I108" s="2525">
        <v>2200</v>
      </c>
      <c r="J108" s="2526"/>
      <c r="K108" s="1809"/>
    </row>
    <row r="109" spans="1:11" s="1795" customFormat="1" ht="15">
      <c r="A109" s="1040"/>
      <c r="B109" s="1808"/>
      <c r="C109" s="2502">
        <v>4388</v>
      </c>
      <c r="D109" s="2522" t="s">
        <v>229</v>
      </c>
      <c r="E109" s="2502"/>
      <c r="F109" s="2523"/>
      <c r="G109" s="2523"/>
      <c r="H109" s="2524"/>
      <c r="I109" s="2525"/>
      <c r="J109" s="2526">
        <v>2800</v>
      </c>
      <c r="K109" s="1809"/>
    </row>
    <row r="110" spans="1:11" s="1795" customFormat="1" ht="30">
      <c r="A110" s="1810"/>
      <c r="B110" s="1811"/>
      <c r="C110" s="2502">
        <v>4398</v>
      </c>
      <c r="D110" s="2522" t="s">
        <v>716</v>
      </c>
      <c r="E110" s="2502"/>
      <c r="F110" s="2523"/>
      <c r="G110" s="2523"/>
      <c r="H110" s="2524"/>
      <c r="I110" s="2525"/>
      <c r="J110" s="2526">
        <v>60000</v>
      </c>
      <c r="K110" s="1809"/>
    </row>
    <row r="111" spans="1:11" s="1795" customFormat="1" ht="30">
      <c r="A111" s="1812"/>
      <c r="B111" s="1813"/>
      <c r="C111" s="2502">
        <v>4399</v>
      </c>
      <c r="D111" s="2522" t="s">
        <v>716</v>
      </c>
      <c r="E111" s="2502"/>
      <c r="F111" s="2523"/>
      <c r="G111" s="2523"/>
      <c r="H111" s="2524"/>
      <c r="I111" s="2525">
        <v>800</v>
      </c>
      <c r="J111" s="2526"/>
      <c r="K111" s="1809"/>
    </row>
    <row r="112" spans="1:11" s="1795" customFormat="1" ht="15">
      <c r="A112" s="1793"/>
      <c r="B112" s="1531"/>
      <c r="C112" s="2502">
        <v>4420</v>
      </c>
      <c r="D112" s="2522" t="s">
        <v>196</v>
      </c>
      <c r="E112" s="2502"/>
      <c r="F112" s="2523"/>
      <c r="G112" s="2523"/>
      <c r="H112" s="2524"/>
      <c r="I112" s="2525">
        <f>500-100</f>
        <v>400</v>
      </c>
      <c r="J112" s="2526"/>
      <c r="K112" s="1809"/>
    </row>
    <row r="113" spans="1:11" s="1795" customFormat="1" ht="15.75" thickBot="1">
      <c r="A113" s="1814"/>
      <c r="B113" s="1815"/>
      <c r="C113" s="2514">
        <v>4428</v>
      </c>
      <c r="D113" s="2528" t="s">
        <v>196</v>
      </c>
      <c r="E113" s="2514"/>
      <c r="F113" s="2529"/>
      <c r="G113" s="2529"/>
      <c r="H113" s="2530"/>
      <c r="I113" s="2531"/>
      <c r="J113" s="2532">
        <v>10000</v>
      </c>
      <c r="K113" s="1809"/>
    </row>
    <row r="114" spans="1:10" s="1792" customFormat="1" ht="58.5" thickBot="1" thickTop="1">
      <c r="A114" s="1816">
        <v>921</v>
      </c>
      <c r="B114" s="1817">
        <v>92106</v>
      </c>
      <c r="C114" s="1774" t="s">
        <v>230</v>
      </c>
      <c r="D114" s="1818" t="s">
        <v>231</v>
      </c>
      <c r="E114" s="1773" t="s">
        <v>232</v>
      </c>
      <c r="F114" s="1819">
        <v>2005</v>
      </c>
      <c r="G114" s="1819">
        <v>2009</v>
      </c>
      <c r="H114" s="1820">
        <f>I114+J114</f>
        <v>500000</v>
      </c>
      <c r="I114" s="1820">
        <f>SUM(I115:I115)</f>
        <v>500000</v>
      </c>
      <c r="J114" s="1821"/>
    </row>
    <row r="115" spans="1:10" s="1801" customFormat="1" ht="30.75" thickTop="1">
      <c r="A115" s="2533"/>
      <c r="B115" s="2534"/>
      <c r="C115" s="2034">
        <v>6050</v>
      </c>
      <c r="D115" s="2035" t="s">
        <v>722</v>
      </c>
      <c r="E115" s="2036"/>
      <c r="F115" s="2033"/>
      <c r="G115" s="2033"/>
      <c r="H115" s="2037"/>
      <c r="I115" s="2038">
        <v>500000</v>
      </c>
      <c r="J115" s="1823"/>
    </row>
    <row r="116" spans="1:10" s="1801" customFormat="1" ht="14.25">
      <c r="A116" s="2039"/>
      <c r="B116" s="2040">
        <v>92195</v>
      </c>
      <c r="C116" s="1763"/>
      <c r="D116" s="909" t="s">
        <v>389</v>
      </c>
      <c r="E116" s="2041"/>
      <c r="F116" s="2040"/>
      <c r="G116" s="2040"/>
      <c r="H116" s="2042">
        <f>I116+J116</f>
        <v>768038</v>
      </c>
      <c r="I116" s="2043">
        <f>I117</f>
        <v>140895</v>
      </c>
      <c r="J116" s="2044">
        <f>J117</f>
        <v>627143</v>
      </c>
    </row>
    <row r="117" spans="1:10" s="1801" customFormat="1" ht="69" customHeight="1">
      <c r="A117" s="2535"/>
      <c r="B117" s="2536"/>
      <c r="C117" s="2537"/>
      <c r="D117" s="2538" t="s">
        <v>779</v>
      </c>
      <c r="E117" s="2539" t="s">
        <v>780</v>
      </c>
      <c r="F117" s="2540"/>
      <c r="G117" s="2540"/>
      <c r="H117" s="2541">
        <f>I117+J117</f>
        <v>768038</v>
      </c>
      <c r="I117" s="2542">
        <f>SUM(I118:I134)</f>
        <v>140895</v>
      </c>
      <c r="J117" s="2543">
        <f>SUM(J118:J134)</f>
        <v>627143</v>
      </c>
    </row>
    <row r="118" spans="1:10" s="1801" customFormat="1" ht="15">
      <c r="A118" s="1822"/>
      <c r="B118" s="2544"/>
      <c r="C118" s="2545">
        <v>4110</v>
      </c>
      <c r="D118" s="2499" t="s">
        <v>699</v>
      </c>
      <c r="E118" s="2546"/>
      <c r="F118" s="2547"/>
      <c r="G118" s="2547"/>
      <c r="H118" s="2548">
        <f aca="true" t="shared" si="4" ref="H118:H134">I118+J118</f>
        <v>600</v>
      </c>
      <c r="I118" s="2549">
        <v>600</v>
      </c>
      <c r="J118" s="2550"/>
    </row>
    <row r="119" spans="1:10" s="1801" customFormat="1" ht="15">
      <c r="A119" s="1822"/>
      <c r="B119" s="2544"/>
      <c r="C119" s="2545">
        <v>4120</v>
      </c>
      <c r="D119" s="2499" t="s">
        <v>701</v>
      </c>
      <c r="E119" s="2546"/>
      <c r="F119" s="2547"/>
      <c r="G119" s="2547"/>
      <c r="H119" s="2548">
        <f t="shared" si="4"/>
        <v>120</v>
      </c>
      <c r="I119" s="2549">
        <v>120</v>
      </c>
      <c r="J119" s="2550"/>
    </row>
    <row r="120" spans="1:10" s="1801" customFormat="1" ht="15">
      <c r="A120" s="1822"/>
      <c r="B120" s="2544"/>
      <c r="C120" s="2545">
        <v>4170</v>
      </c>
      <c r="D120" s="2499" t="s">
        <v>713</v>
      </c>
      <c r="E120" s="2546"/>
      <c r="F120" s="2547"/>
      <c r="G120" s="2547"/>
      <c r="H120" s="2548">
        <f t="shared" si="4"/>
        <v>2000</v>
      </c>
      <c r="I120" s="2549">
        <v>2000</v>
      </c>
      <c r="J120" s="2550"/>
    </row>
    <row r="121" spans="1:10" s="1801" customFormat="1" ht="15">
      <c r="A121" s="1822"/>
      <c r="B121" s="2544"/>
      <c r="C121" s="2545">
        <v>4178</v>
      </c>
      <c r="D121" s="2499" t="s">
        <v>713</v>
      </c>
      <c r="E121" s="2546"/>
      <c r="F121" s="2547"/>
      <c r="G121" s="2547"/>
      <c r="H121" s="2548">
        <f t="shared" si="4"/>
        <v>65417</v>
      </c>
      <c r="I121" s="2549"/>
      <c r="J121" s="2550">
        <v>65417</v>
      </c>
    </row>
    <row r="122" spans="1:10" s="1801" customFormat="1" ht="15">
      <c r="A122" s="1822"/>
      <c r="B122" s="2544"/>
      <c r="C122" s="2545">
        <v>4179</v>
      </c>
      <c r="D122" s="2499" t="s">
        <v>713</v>
      </c>
      <c r="E122" s="2546"/>
      <c r="F122" s="2547"/>
      <c r="G122" s="2547"/>
      <c r="H122" s="2548">
        <f t="shared" si="4"/>
        <v>11545</v>
      </c>
      <c r="I122" s="2549">
        <v>11545</v>
      </c>
      <c r="J122" s="2550"/>
    </row>
    <row r="123" spans="1:10" s="1801" customFormat="1" ht="15">
      <c r="A123" s="1822"/>
      <c r="B123" s="2544"/>
      <c r="C123" s="2545">
        <v>4210</v>
      </c>
      <c r="D123" s="2499" t="s">
        <v>709</v>
      </c>
      <c r="E123" s="2546"/>
      <c r="F123" s="2547"/>
      <c r="G123" s="2547"/>
      <c r="H123" s="2548">
        <f t="shared" si="4"/>
        <v>2000</v>
      </c>
      <c r="I123" s="2549">
        <v>2000</v>
      </c>
      <c r="J123" s="2550"/>
    </row>
    <row r="124" spans="1:10" s="1801" customFormat="1" ht="15">
      <c r="A124" s="1822"/>
      <c r="B124" s="2544"/>
      <c r="C124" s="2545">
        <v>4218</v>
      </c>
      <c r="D124" s="2499" t="s">
        <v>709</v>
      </c>
      <c r="E124" s="2546"/>
      <c r="F124" s="2547"/>
      <c r="G124" s="2547"/>
      <c r="H124" s="2548">
        <f t="shared" si="4"/>
        <v>31308</v>
      </c>
      <c r="I124" s="2549"/>
      <c r="J124" s="2550">
        <v>31308</v>
      </c>
    </row>
    <row r="125" spans="1:10" s="1801" customFormat="1" ht="15">
      <c r="A125" s="1822"/>
      <c r="B125" s="2544"/>
      <c r="C125" s="2545">
        <v>4219</v>
      </c>
      <c r="D125" s="2499" t="s">
        <v>709</v>
      </c>
      <c r="E125" s="2546"/>
      <c r="F125" s="2547"/>
      <c r="G125" s="2547"/>
      <c r="H125" s="2548">
        <f t="shared" si="4"/>
        <v>5525</v>
      </c>
      <c r="I125" s="2549">
        <v>5525</v>
      </c>
      <c r="J125" s="2550"/>
    </row>
    <row r="126" spans="1:10" s="1801" customFormat="1" ht="15">
      <c r="A126" s="1822"/>
      <c r="B126" s="2544"/>
      <c r="C126" s="2545">
        <v>4300</v>
      </c>
      <c r="D126" s="2499" t="s">
        <v>781</v>
      </c>
      <c r="E126" s="2546"/>
      <c r="F126" s="2547"/>
      <c r="G126" s="2547"/>
      <c r="H126" s="2548">
        <f t="shared" si="4"/>
        <v>20000</v>
      </c>
      <c r="I126" s="2549">
        <v>20000</v>
      </c>
      <c r="J126" s="2550"/>
    </row>
    <row r="127" spans="1:10" s="1801" customFormat="1" ht="15">
      <c r="A127" s="1822"/>
      <c r="B127" s="2544"/>
      <c r="C127" s="2545">
        <v>4308</v>
      </c>
      <c r="D127" s="2499" t="s">
        <v>781</v>
      </c>
      <c r="E127" s="2546"/>
      <c r="F127" s="2547"/>
      <c r="G127" s="2547"/>
      <c r="H127" s="2548">
        <f t="shared" si="4"/>
        <v>514071</v>
      </c>
      <c r="I127" s="2549"/>
      <c r="J127" s="2550">
        <v>514071</v>
      </c>
    </row>
    <row r="128" spans="1:10" s="1801" customFormat="1" ht="15">
      <c r="A128" s="1822"/>
      <c r="B128" s="2544"/>
      <c r="C128" s="2545">
        <v>4309</v>
      </c>
      <c r="D128" s="2499" t="s">
        <v>781</v>
      </c>
      <c r="E128" s="2546"/>
      <c r="F128" s="2547"/>
      <c r="G128" s="2547"/>
      <c r="H128" s="2548">
        <f t="shared" si="4"/>
        <v>90719</v>
      </c>
      <c r="I128" s="2549">
        <v>90719</v>
      </c>
      <c r="J128" s="2550"/>
    </row>
    <row r="129" spans="1:10" s="1801" customFormat="1" ht="15">
      <c r="A129" s="1822"/>
      <c r="B129" s="2544"/>
      <c r="C129" s="2545">
        <v>4380</v>
      </c>
      <c r="D129" s="2499" t="s">
        <v>229</v>
      </c>
      <c r="E129" s="2546"/>
      <c r="F129" s="2547"/>
      <c r="G129" s="2547"/>
      <c r="H129" s="2548">
        <f t="shared" si="4"/>
        <v>5000</v>
      </c>
      <c r="I129" s="2549">
        <v>5000</v>
      </c>
      <c r="J129" s="2550"/>
    </row>
    <row r="130" spans="1:10" s="1801" customFormat="1" ht="15">
      <c r="A130" s="1822"/>
      <c r="B130" s="2544"/>
      <c r="C130" s="2545">
        <v>4388</v>
      </c>
      <c r="D130" s="2499" t="s">
        <v>229</v>
      </c>
      <c r="E130" s="2546"/>
      <c r="F130" s="2547"/>
      <c r="G130" s="2547"/>
      <c r="H130" s="2548">
        <f t="shared" si="4"/>
        <v>6789</v>
      </c>
      <c r="I130" s="2549"/>
      <c r="J130" s="2550">
        <v>6789</v>
      </c>
    </row>
    <row r="131" spans="1:10" s="1801" customFormat="1" ht="15">
      <c r="A131" s="1822"/>
      <c r="B131" s="2544"/>
      <c r="C131" s="2545">
        <v>4389</v>
      </c>
      <c r="D131" s="2499" t="s">
        <v>229</v>
      </c>
      <c r="E131" s="2546"/>
      <c r="F131" s="2547"/>
      <c r="G131" s="2547"/>
      <c r="H131" s="2548">
        <f t="shared" si="4"/>
        <v>1199</v>
      </c>
      <c r="I131" s="2549">
        <v>1199</v>
      </c>
      <c r="J131" s="2550"/>
    </row>
    <row r="132" spans="1:10" s="1801" customFormat="1" ht="15">
      <c r="A132" s="1822"/>
      <c r="B132" s="2544"/>
      <c r="C132" s="2545">
        <v>4430</v>
      </c>
      <c r="D132" s="2499" t="s">
        <v>718</v>
      </c>
      <c r="E132" s="2546"/>
      <c r="F132" s="2547"/>
      <c r="G132" s="2547"/>
      <c r="H132" s="2548">
        <f t="shared" si="4"/>
        <v>500</v>
      </c>
      <c r="I132" s="2549">
        <v>500</v>
      </c>
      <c r="J132" s="2550"/>
    </row>
    <row r="133" spans="1:10" s="1801" customFormat="1" ht="15">
      <c r="A133" s="1822"/>
      <c r="B133" s="2544"/>
      <c r="C133" s="2545">
        <v>4438</v>
      </c>
      <c r="D133" s="2499" t="s">
        <v>718</v>
      </c>
      <c r="E133" s="2546"/>
      <c r="F133" s="2547"/>
      <c r="G133" s="2547"/>
      <c r="H133" s="2548">
        <f t="shared" si="4"/>
        <v>9558</v>
      </c>
      <c r="I133" s="2549"/>
      <c r="J133" s="2550">
        <v>9558</v>
      </c>
    </row>
    <row r="134" spans="1:10" s="1801" customFormat="1" ht="15.75" thickBot="1">
      <c r="A134" s="1822"/>
      <c r="B134" s="2544"/>
      <c r="C134" s="2551">
        <v>4439</v>
      </c>
      <c r="D134" s="2499" t="s">
        <v>718</v>
      </c>
      <c r="E134" s="2546"/>
      <c r="F134" s="2547"/>
      <c r="G134" s="2547"/>
      <c r="H134" s="2548">
        <f t="shared" si="4"/>
        <v>1687</v>
      </c>
      <c r="I134" s="2549">
        <v>1687</v>
      </c>
      <c r="J134" s="2550"/>
    </row>
    <row r="135" spans="1:42" s="1828" customFormat="1" ht="16.5" thickBot="1" thickTop="1">
      <c r="A135" s="1824"/>
      <c r="B135" s="1825"/>
      <c r="C135" s="1826"/>
      <c r="D135" s="1077" t="s">
        <v>241</v>
      </c>
      <c r="E135" s="1077"/>
      <c r="F135" s="1077"/>
      <c r="G135" s="1077"/>
      <c r="H135" s="1078">
        <f>I135+J135</f>
        <v>14402200</v>
      </c>
      <c r="I135" s="1078">
        <f>I114+I102+I94+I67+I33+I21+I14+I12+I117</f>
        <v>5778697</v>
      </c>
      <c r="J135" s="896">
        <f>J114+J102+J94+J67+J33+J21+J14+J12+J117</f>
        <v>8623503</v>
      </c>
      <c r="K135" s="1827"/>
      <c r="L135" s="1827"/>
      <c r="M135" s="1827"/>
      <c r="N135" s="1827"/>
      <c r="O135" s="1827"/>
      <c r="P135" s="1827"/>
      <c r="Q135" s="1827"/>
      <c r="R135" s="1827"/>
      <c r="S135" s="1827"/>
      <c r="T135" s="1827"/>
      <c r="U135" s="1827"/>
      <c r="V135" s="1827"/>
      <c r="W135" s="1827"/>
      <c r="X135" s="1827"/>
      <c r="Y135" s="1827"/>
      <c r="Z135" s="1827"/>
      <c r="AA135" s="1827"/>
      <c r="AB135" s="1827"/>
      <c r="AC135" s="1827"/>
      <c r="AD135" s="1827"/>
      <c r="AE135" s="1827"/>
      <c r="AF135" s="1827"/>
      <c r="AG135" s="1827"/>
      <c r="AH135" s="1827"/>
      <c r="AI135" s="1827"/>
      <c r="AJ135" s="1827"/>
      <c r="AK135" s="1827"/>
      <c r="AL135" s="1827"/>
      <c r="AM135" s="1827"/>
      <c r="AN135" s="1827"/>
      <c r="AO135" s="1827"/>
      <c r="AP135" s="1827"/>
    </row>
    <row r="136" spans="1:10" s="964" customFormat="1" ht="13.5" thickTop="1">
      <c r="A136" s="87" t="s">
        <v>768</v>
      </c>
      <c r="C136" s="1829"/>
      <c r="D136" s="854"/>
      <c r="E136" s="854"/>
      <c r="F136" s="854"/>
      <c r="G136" s="854"/>
      <c r="H136" s="785"/>
      <c r="I136" s="785"/>
      <c r="J136" s="785"/>
    </row>
    <row r="137" spans="1:10" s="964" customFormat="1" ht="12.75">
      <c r="A137" s="87" t="s">
        <v>296</v>
      </c>
      <c r="C137" s="1829"/>
      <c r="D137" s="854"/>
      <c r="E137" s="854"/>
      <c r="F137" s="854"/>
      <c r="G137" s="854"/>
      <c r="H137" s="1830"/>
      <c r="I137" s="785"/>
      <c r="J137" s="785"/>
    </row>
    <row r="138" ht="12.75">
      <c r="A138" s="87" t="s">
        <v>811</v>
      </c>
    </row>
  </sheetData>
  <mergeCells count="2">
    <mergeCell ref="F9:G9"/>
    <mergeCell ref="I9:J9"/>
  </mergeCells>
  <printOptions horizontalCentered="1"/>
  <pageMargins left="0.21" right="0.21" top="0.42" bottom="0.18" header="0.27" footer="0.5118110236220472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43">
      <selection activeCell="A58" sqref="A58"/>
    </sheetView>
  </sheetViews>
  <sheetFormatPr defaultColWidth="9.00390625" defaultRowHeight="12.75"/>
  <cols>
    <col min="1" max="1" width="3.75390625" style="156" customWidth="1"/>
    <col min="2" max="2" width="37.00390625" style="91" customWidth="1"/>
    <col min="3" max="3" width="13.75390625" style="91" customWidth="1"/>
    <col min="4" max="4" width="5.00390625" style="92" hidden="1" customWidth="1"/>
    <col min="5" max="5" width="0.12890625" style="91" hidden="1" customWidth="1"/>
    <col min="6" max="6" width="5.75390625" style="93" customWidth="1"/>
    <col min="7" max="7" width="14.25390625" style="91" customWidth="1"/>
    <col min="8" max="8" width="6.25390625" style="92" hidden="1" customWidth="1"/>
    <col min="9" max="9" width="4.125" style="92" hidden="1" customWidth="1"/>
    <col min="10" max="10" width="4.875" style="103" customWidth="1"/>
    <col min="11" max="11" width="7.875" style="91" hidden="1" customWidth="1"/>
    <col min="12" max="12" width="11.75390625" style="91" customWidth="1"/>
    <col min="13" max="13" width="0.2421875" style="92" hidden="1" customWidth="1"/>
    <col min="14" max="14" width="5.875" style="96" hidden="1" customWidth="1"/>
    <col min="15" max="15" width="4.75390625" style="93" customWidth="1"/>
    <col min="16" max="16384" width="10.00390625" style="91" customWidth="1"/>
  </cols>
  <sheetData>
    <row r="1" spans="1:11" ht="13.5" customHeight="1">
      <c r="A1" s="90"/>
      <c r="B1" s="2083"/>
      <c r="G1" s="720" t="s">
        <v>297</v>
      </c>
      <c r="J1" s="720"/>
      <c r="K1" s="95"/>
    </row>
    <row r="2" spans="1:11" ht="12" customHeight="1">
      <c r="A2" s="97"/>
      <c r="B2" s="95"/>
      <c r="G2" s="4" t="s">
        <v>20</v>
      </c>
      <c r="J2" s="4"/>
      <c r="K2" s="95"/>
    </row>
    <row r="3" spans="1:12" ht="10.5" customHeight="1">
      <c r="A3" s="97"/>
      <c r="B3" s="95"/>
      <c r="G3" s="4" t="s">
        <v>21</v>
      </c>
      <c r="J3" s="4"/>
      <c r="K3" s="95"/>
      <c r="L3" s="964"/>
    </row>
    <row r="4" spans="1:11" ht="6.75" customHeight="1">
      <c r="A4" s="97"/>
      <c r="B4" s="95"/>
      <c r="G4" s="93"/>
      <c r="K4" s="95"/>
    </row>
    <row r="5" spans="1:15" s="2094" customFormat="1" ht="24" customHeight="1">
      <c r="A5" s="2084" t="s">
        <v>299</v>
      </c>
      <c r="B5" s="2085"/>
      <c r="C5" s="2085"/>
      <c r="D5" s="2086"/>
      <c r="E5" s="2085"/>
      <c r="F5" s="2087"/>
      <c r="G5" s="2085"/>
      <c r="H5" s="2086"/>
      <c r="I5" s="2086"/>
      <c r="J5" s="2088"/>
      <c r="K5" s="2089"/>
      <c r="L5" s="2090"/>
      <c r="M5" s="2091"/>
      <c r="N5" s="2092"/>
      <c r="O5" s="2093"/>
    </row>
    <row r="6" spans="1:15" ht="14.25" customHeight="1">
      <c r="A6" s="2095" t="s">
        <v>300</v>
      </c>
      <c r="C6" s="104"/>
      <c r="D6" s="105"/>
      <c r="E6" s="106"/>
      <c r="F6" s="107"/>
      <c r="G6" s="104"/>
      <c r="H6" s="108"/>
      <c r="I6" s="108"/>
      <c r="J6" s="109"/>
      <c r="K6" s="110"/>
      <c r="L6" s="110" t="s">
        <v>236</v>
      </c>
      <c r="M6" s="111"/>
      <c r="N6" s="112"/>
      <c r="O6" s="113"/>
    </row>
    <row r="7" spans="1:15" ht="14.25" customHeight="1" thickBot="1">
      <c r="A7" s="2096" t="s">
        <v>810</v>
      </c>
      <c r="C7" s="104"/>
      <c r="D7" s="105"/>
      <c r="E7" s="106"/>
      <c r="F7" s="107"/>
      <c r="G7" s="104"/>
      <c r="H7" s="108"/>
      <c r="I7" s="108"/>
      <c r="J7" s="109"/>
      <c r="K7" s="110"/>
      <c r="L7" s="110"/>
      <c r="M7" s="111"/>
      <c r="N7" s="112"/>
      <c r="O7" s="113"/>
    </row>
    <row r="8" spans="1:15" s="120" customFormat="1" ht="16.5" customHeight="1" thickBot="1" thickTop="1">
      <c r="A8" s="2097"/>
      <c r="B8" s="2098"/>
      <c r="C8" s="114" t="s">
        <v>241</v>
      </c>
      <c r="D8" s="115"/>
      <c r="E8" s="116"/>
      <c r="F8" s="117"/>
      <c r="G8" s="114" t="s">
        <v>301</v>
      </c>
      <c r="H8" s="2099"/>
      <c r="I8" s="2100"/>
      <c r="J8" s="2101"/>
      <c r="K8" s="2102" t="s">
        <v>302</v>
      </c>
      <c r="L8" s="2102" t="s">
        <v>302</v>
      </c>
      <c r="M8" s="2103"/>
      <c r="N8" s="2104"/>
      <c r="O8" s="2105"/>
    </row>
    <row r="9" spans="1:15" s="120" customFormat="1" ht="34.5" customHeight="1" thickBot="1" thickTop="1">
      <c r="A9" s="118" t="s">
        <v>303</v>
      </c>
      <c r="B9" s="119" t="s">
        <v>238</v>
      </c>
      <c r="C9" s="2106" t="s">
        <v>22</v>
      </c>
      <c r="D9" s="2107" t="s">
        <v>304</v>
      </c>
      <c r="E9" s="2108" t="s">
        <v>305</v>
      </c>
      <c r="F9" s="2109" t="s">
        <v>306</v>
      </c>
      <c r="G9" s="2110" t="s">
        <v>22</v>
      </c>
      <c r="H9" s="2111" t="s">
        <v>307</v>
      </c>
      <c r="I9" s="2112" t="s">
        <v>308</v>
      </c>
      <c r="J9" s="2113" t="s">
        <v>306</v>
      </c>
      <c r="K9" s="2114" t="s">
        <v>309</v>
      </c>
      <c r="L9" s="2110" t="s">
        <v>22</v>
      </c>
      <c r="M9" s="2115" t="s">
        <v>310</v>
      </c>
      <c r="N9" s="2112" t="s">
        <v>308</v>
      </c>
      <c r="O9" s="2116" t="s">
        <v>306</v>
      </c>
    </row>
    <row r="10" spans="1:15" s="2126" customFormat="1" ht="10.5" customHeight="1" thickBot="1" thickTop="1">
      <c r="A10" s="2117">
        <v>1</v>
      </c>
      <c r="B10" s="2118">
        <v>2</v>
      </c>
      <c r="C10" s="2119">
        <v>3</v>
      </c>
      <c r="D10" s="2119">
        <v>5</v>
      </c>
      <c r="E10" s="2120">
        <v>6</v>
      </c>
      <c r="F10" s="2121">
        <v>4</v>
      </c>
      <c r="G10" s="2122">
        <v>5</v>
      </c>
      <c r="H10" s="2120">
        <v>9</v>
      </c>
      <c r="I10" s="2123">
        <v>9</v>
      </c>
      <c r="J10" s="2124">
        <v>6</v>
      </c>
      <c r="K10" s="2122">
        <v>11</v>
      </c>
      <c r="L10" s="2119">
        <v>7</v>
      </c>
      <c r="M10" s="2125">
        <v>12</v>
      </c>
      <c r="N10" s="2123">
        <v>13</v>
      </c>
      <c r="O10" s="2124">
        <v>8</v>
      </c>
    </row>
    <row r="11" spans="1:17" s="132" customFormat="1" ht="15" customHeight="1" thickTop="1">
      <c r="A11" s="121" t="s">
        <v>311</v>
      </c>
      <c r="B11" s="122" t="s">
        <v>312</v>
      </c>
      <c r="C11" s="123">
        <f aca="true" t="shared" si="0" ref="C11:C55">G11+L11</f>
        <v>202460606</v>
      </c>
      <c r="D11" s="124"/>
      <c r="E11" s="125"/>
      <c r="F11" s="128">
        <f>J11+O11</f>
        <v>57.22253485516453</v>
      </c>
      <c r="G11" s="123">
        <f>SUM(G12:G13)</f>
        <v>174404005</v>
      </c>
      <c r="H11" s="126"/>
      <c r="I11" s="127" t="e">
        <f>G11/#REF!*100</f>
        <v>#REF!</v>
      </c>
      <c r="J11" s="128">
        <v>49.3</v>
      </c>
      <c r="K11" s="129" t="e">
        <f>K14+K19+K23+#REF!</f>
        <v>#REF!</v>
      </c>
      <c r="L11" s="123">
        <f>L14+L19+L23+L31+L34</f>
        <v>28056601</v>
      </c>
      <c r="M11" s="130"/>
      <c r="N11" s="131" t="e">
        <f>L11/K11*100</f>
        <v>#REF!</v>
      </c>
      <c r="O11" s="128">
        <f>L11/$C$53*100</f>
        <v>7.922534855164537</v>
      </c>
      <c r="Q11" s="2127"/>
    </row>
    <row r="12" spans="1:15" s="2127" customFormat="1" ht="12" customHeight="1">
      <c r="A12" s="2128"/>
      <c r="B12" s="2129" t="s">
        <v>313</v>
      </c>
      <c r="C12" s="2130">
        <f>C14+C19+C24+C31+C34</f>
        <v>182460606</v>
      </c>
      <c r="D12" s="2131"/>
      <c r="E12" s="2132"/>
      <c r="F12" s="2133"/>
      <c r="G12" s="2130">
        <f>G14+G19+G24+G31+G34-G35</f>
        <v>154402700</v>
      </c>
      <c r="H12" s="2134"/>
      <c r="I12" s="2135"/>
      <c r="J12" s="2133"/>
      <c r="K12" s="2136"/>
      <c r="L12" s="2130">
        <f>L14+L19+L24+L31+L34-L35</f>
        <v>28050401</v>
      </c>
      <c r="M12" s="2137"/>
      <c r="N12" s="2138"/>
      <c r="O12" s="2133"/>
    </row>
    <row r="13" spans="1:15" s="2139" customFormat="1" ht="14.25" customHeight="1" thickBot="1">
      <c r="A13" s="2128"/>
      <c r="B13" s="2129" t="s">
        <v>314</v>
      </c>
      <c r="C13" s="2130">
        <f>C26+C28</f>
        <v>20000000</v>
      </c>
      <c r="D13" s="2131"/>
      <c r="E13" s="2132"/>
      <c r="F13" s="2133"/>
      <c r="G13" s="2130">
        <f>G26+G28+G35</f>
        <v>20001305</v>
      </c>
      <c r="H13" s="2134"/>
      <c r="I13" s="2135"/>
      <c r="J13" s="2133"/>
      <c r="K13" s="2136"/>
      <c r="L13" s="2130">
        <f>L35</f>
        <v>6200</v>
      </c>
      <c r="M13" s="2137"/>
      <c r="N13" s="2138"/>
      <c r="O13" s="2133"/>
    </row>
    <row r="14" spans="1:16" s="2152" customFormat="1" ht="18" customHeight="1" thickTop="1">
      <c r="A14" s="2140" t="s">
        <v>315</v>
      </c>
      <c r="B14" s="2141" t="s">
        <v>316</v>
      </c>
      <c r="C14" s="2142">
        <f t="shared" si="0"/>
        <v>41443189</v>
      </c>
      <c r="D14" s="2143"/>
      <c r="E14" s="2144"/>
      <c r="F14" s="2145">
        <f>J14+O14</f>
        <v>11.70259752283149</v>
      </c>
      <c r="G14" s="2142">
        <f>SUM(G15:G18)</f>
        <v>41443189</v>
      </c>
      <c r="H14" s="2146"/>
      <c r="I14" s="2147" t="e">
        <f>G14/#REF!*100</f>
        <v>#REF!</v>
      </c>
      <c r="J14" s="2145">
        <f>G14/$C$53*100</f>
        <v>11.70259752283149</v>
      </c>
      <c r="K14" s="2148">
        <f>SUM(K15:K18)</f>
        <v>0</v>
      </c>
      <c r="L14" s="2149"/>
      <c r="M14" s="2150"/>
      <c r="N14" s="2147"/>
      <c r="O14" s="2145"/>
      <c r="P14" s="2151"/>
    </row>
    <row r="15" spans="1:15" s="120" customFormat="1" ht="15" customHeight="1">
      <c r="A15" s="2153">
        <v>1</v>
      </c>
      <c r="B15" s="2154" t="s">
        <v>317</v>
      </c>
      <c r="C15" s="2155">
        <f t="shared" si="0"/>
        <v>37628206</v>
      </c>
      <c r="D15" s="2156"/>
      <c r="E15" s="2157"/>
      <c r="F15" s="2133"/>
      <c r="G15" s="2158">
        <v>37628206</v>
      </c>
      <c r="H15" s="2156"/>
      <c r="I15" s="2156" t="e">
        <f>G15/#REF!*100</f>
        <v>#REF!</v>
      </c>
      <c r="J15" s="2133"/>
      <c r="K15" s="2157"/>
      <c r="L15" s="2158"/>
      <c r="M15" s="2156"/>
      <c r="N15" s="2156"/>
      <c r="O15" s="2159"/>
    </row>
    <row r="16" spans="1:15" s="120" customFormat="1" ht="15" customHeight="1">
      <c r="A16" s="2153">
        <v>2</v>
      </c>
      <c r="B16" s="2154" t="s">
        <v>318</v>
      </c>
      <c r="C16" s="2155">
        <f t="shared" si="0"/>
        <v>771433</v>
      </c>
      <c r="D16" s="2156"/>
      <c r="E16" s="2157"/>
      <c r="F16" s="2133"/>
      <c r="G16" s="2158">
        <v>771433</v>
      </c>
      <c r="H16" s="2156"/>
      <c r="I16" s="2156" t="e">
        <f>G16/#REF!*100</f>
        <v>#REF!</v>
      </c>
      <c r="J16" s="2133"/>
      <c r="K16" s="2157"/>
      <c r="L16" s="2158"/>
      <c r="M16" s="2156"/>
      <c r="N16" s="2156"/>
      <c r="O16" s="2159"/>
    </row>
    <row r="17" spans="1:15" s="120" customFormat="1" ht="15" customHeight="1">
      <c r="A17" s="2153">
        <v>3</v>
      </c>
      <c r="B17" s="2154" t="s">
        <v>319</v>
      </c>
      <c r="C17" s="2155">
        <f t="shared" si="0"/>
        <v>2243550</v>
      </c>
      <c r="D17" s="2156"/>
      <c r="E17" s="2157"/>
      <c r="F17" s="2133"/>
      <c r="G17" s="2158">
        <v>2243550</v>
      </c>
      <c r="H17" s="2156"/>
      <c r="I17" s="2156" t="e">
        <f>G17/#REF!*100</f>
        <v>#REF!</v>
      </c>
      <c r="J17" s="2133"/>
      <c r="K17" s="2157"/>
      <c r="L17" s="2158"/>
      <c r="M17" s="2156"/>
      <c r="N17" s="2156"/>
      <c r="O17" s="2159"/>
    </row>
    <row r="18" spans="1:15" s="120" customFormat="1" ht="15" customHeight="1">
      <c r="A18" s="2153">
        <v>4</v>
      </c>
      <c r="B18" s="2154" t="s">
        <v>320</v>
      </c>
      <c r="C18" s="2155">
        <f t="shared" si="0"/>
        <v>800000</v>
      </c>
      <c r="D18" s="2156"/>
      <c r="E18" s="2157"/>
      <c r="F18" s="2133"/>
      <c r="G18" s="2158">
        <v>800000</v>
      </c>
      <c r="H18" s="2156"/>
      <c r="I18" s="2156" t="e">
        <f>G18/#REF!*100</f>
        <v>#REF!</v>
      </c>
      <c r="J18" s="2133"/>
      <c r="K18" s="2157"/>
      <c r="L18" s="2158"/>
      <c r="M18" s="2156"/>
      <c r="N18" s="2156"/>
      <c r="O18" s="2159"/>
    </row>
    <row r="19" spans="1:15" s="2152" customFormat="1" ht="31.5" customHeight="1">
      <c r="A19" s="2160" t="s">
        <v>321</v>
      </c>
      <c r="B19" s="2161" t="s">
        <v>322</v>
      </c>
      <c r="C19" s="2162">
        <f>G19+L19</f>
        <v>7710000</v>
      </c>
      <c r="D19" s="2163"/>
      <c r="E19" s="2164"/>
      <c r="F19" s="2165">
        <f>J19+O19</f>
        <v>2.177125580298147</v>
      </c>
      <c r="G19" s="2162">
        <f>SUM(G20:G22)</f>
        <v>7710000</v>
      </c>
      <c r="H19" s="2166"/>
      <c r="I19" s="2167" t="e">
        <f>G19/#REF!*100</f>
        <v>#REF!</v>
      </c>
      <c r="J19" s="2165">
        <f>G19/$C$53*100</f>
        <v>2.177125580298147</v>
      </c>
      <c r="K19" s="2168">
        <f>SUM(K20:K21)</f>
        <v>0</v>
      </c>
      <c r="L19" s="2169"/>
      <c r="M19" s="2170"/>
      <c r="N19" s="2171"/>
      <c r="O19" s="2172"/>
    </row>
    <row r="20" spans="1:15" s="120" customFormat="1" ht="12.75" customHeight="1">
      <c r="A20" s="2153">
        <v>1</v>
      </c>
      <c r="B20" s="2154" t="s">
        <v>323</v>
      </c>
      <c r="C20" s="2173">
        <f t="shared" si="0"/>
        <v>460000</v>
      </c>
      <c r="D20" s="2174"/>
      <c r="E20" s="2175"/>
      <c r="F20" s="2133"/>
      <c r="G20" s="2173">
        <v>460000</v>
      </c>
      <c r="H20" s="2176"/>
      <c r="I20" s="2177" t="e">
        <f>G20/#REF!*100</f>
        <v>#REF!</v>
      </c>
      <c r="J20" s="2133"/>
      <c r="K20" s="2178"/>
      <c r="L20" s="2179"/>
      <c r="M20" s="2180"/>
      <c r="N20" s="2177"/>
      <c r="O20" s="2159"/>
    </row>
    <row r="21" spans="1:15" s="120" customFormat="1" ht="12.75" customHeight="1">
      <c r="A21" s="2153">
        <v>2</v>
      </c>
      <c r="B21" s="2154" t="s">
        <v>324</v>
      </c>
      <c r="C21" s="2173">
        <f t="shared" si="0"/>
        <v>450000</v>
      </c>
      <c r="D21" s="2174"/>
      <c r="E21" s="2175"/>
      <c r="F21" s="2133"/>
      <c r="G21" s="2173">
        <v>450000</v>
      </c>
      <c r="H21" s="2176"/>
      <c r="I21" s="2177" t="e">
        <f>G21/#REF!*100</f>
        <v>#REF!</v>
      </c>
      <c r="J21" s="2133"/>
      <c r="K21" s="2178"/>
      <c r="L21" s="2179"/>
      <c r="M21" s="2180"/>
      <c r="N21" s="2177"/>
      <c r="O21" s="2159"/>
    </row>
    <row r="22" spans="1:15" s="120" customFormat="1" ht="15" customHeight="1">
      <c r="A22" s="2153">
        <v>3</v>
      </c>
      <c r="B22" s="2154" t="s">
        <v>325</v>
      </c>
      <c r="C22" s="2173">
        <f t="shared" si="0"/>
        <v>6800000</v>
      </c>
      <c r="D22" s="2174"/>
      <c r="E22" s="2175"/>
      <c r="F22" s="2133"/>
      <c r="G22" s="2173">
        <v>6800000</v>
      </c>
      <c r="H22" s="2176"/>
      <c r="I22" s="2177"/>
      <c r="J22" s="2133"/>
      <c r="K22" s="2178"/>
      <c r="L22" s="2179"/>
      <c r="M22" s="2180"/>
      <c r="N22" s="2177"/>
      <c r="O22" s="2159"/>
    </row>
    <row r="23" spans="1:15" s="2083" customFormat="1" ht="22.5" customHeight="1">
      <c r="A23" s="2181" t="s">
        <v>326</v>
      </c>
      <c r="B23" s="2182" t="s">
        <v>327</v>
      </c>
      <c r="C23" s="2183">
        <f>G23+L23</f>
        <v>27065000</v>
      </c>
      <c r="D23" s="2184"/>
      <c r="E23" s="2185"/>
      <c r="F23" s="2186">
        <f>J23+O23</f>
        <v>7.642529679736622</v>
      </c>
      <c r="G23" s="2183">
        <f>SUM(G26:G30)</f>
        <v>27065000</v>
      </c>
      <c r="H23" s="2187"/>
      <c r="I23" s="2188" t="e">
        <f>G23/#REF!*100</f>
        <v>#REF!</v>
      </c>
      <c r="J23" s="2186">
        <f>G23/$C$53*100</f>
        <v>7.642529679736622</v>
      </c>
      <c r="K23" s="2189">
        <f>SUM(K26:K30)</f>
        <v>1000</v>
      </c>
      <c r="L23" s="2190"/>
      <c r="M23" s="2191"/>
      <c r="N23" s="2188">
        <f>L23/K23*100</f>
        <v>0</v>
      </c>
      <c r="O23" s="2186"/>
    </row>
    <row r="24" spans="1:15" s="120" customFormat="1" ht="11.25" customHeight="1">
      <c r="A24" s="2153"/>
      <c r="B24" s="2192" t="s">
        <v>23</v>
      </c>
      <c r="C24" s="2130">
        <f>C27+C29+C30</f>
        <v>7065000</v>
      </c>
      <c r="D24" s="2193"/>
      <c r="E24" s="2194"/>
      <c r="F24" s="2133"/>
      <c r="G24" s="2130">
        <f>G27+G29+G30</f>
        <v>7065000</v>
      </c>
      <c r="H24" s="2176"/>
      <c r="I24" s="2177"/>
      <c r="J24" s="2133"/>
      <c r="K24" s="2178"/>
      <c r="L24" s="2195"/>
      <c r="M24" s="2196"/>
      <c r="N24" s="2177"/>
      <c r="O24" s="2133"/>
    </row>
    <row r="25" spans="1:15" s="120" customFormat="1" ht="12" customHeight="1">
      <c r="A25" s="2197"/>
      <c r="B25" s="2198" t="s">
        <v>24</v>
      </c>
      <c r="C25" s="2199">
        <f>C26+C28</f>
        <v>20000000</v>
      </c>
      <c r="D25" s="2200"/>
      <c r="E25" s="2201"/>
      <c r="F25" s="2202"/>
      <c r="G25" s="2199">
        <f>G26+G28</f>
        <v>20000000</v>
      </c>
      <c r="H25" s="2203"/>
      <c r="I25" s="2204"/>
      <c r="J25" s="2202"/>
      <c r="K25" s="2205"/>
      <c r="L25" s="2206"/>
      <c r="M25" s="2207"/>
      <c r="N25" s="2204"/>
      <c r="O25" s="2202"/>
    </row>
    <row r="26" spans="1:15" s="120" customFormat="1" ht="15.75" customHeight="1">
      <c r="A26" s="2153">
        <v>1</v>
      </c>
      <c r="B26" s="2154" t="s">
        <v>328</v>
      </c>
      <c r="C26" s="2173">
        <f t="shared" si="0"/>
        <v>19100000</v>
      </c>
      <c r="D26" s="2174"/>
      <c r="E26" s="2175"/>
      <c r="F26" s="2133"/>
      <c r="G26" s="2173">
        <v>19100000</v>
      </c>
      <c r="H26" s="2176"/>
      <c r="I26" s="2177" t="e">
        <f>G26/#REF!*100</f>
        <v>#REF!</v>
      </c>
      <c r="J26" s="2133"/>
      <c r="K26" s="2178"/>
      <c r="L26" s="2179"/>
      <c r="M26" s="2180"/>
      <c r="N26" s="2177"/>
      <c r="O26" s="2159"/>
    </row>
    <row r="27" spans="1:15" s="2208" customFormat="1" ht="12.75" customHeight="1">
      <c r="A27" s="2153">
        <v>2</v>
      </c>
      <c r="B27" s="2154" t="s">
        <v>329</v>
      </c>
      <c r="C27" s="2173">
        <f t="shared" si="0"/>
        <v>5500000</v>
      </c>
      <c r="D27" s="2174"/>
      <c r="E27" s="2175"/>
      <c r="F27" s="2133"/>
      <c r="G27" s="2173">
        <v>5500000</v>
      </c>
      <c r="H27" s="2176"/>
      <c r="I27" s="2177" t="e">
        <f>G27/#REF!*100</f>
        <v>#REF!</v>
      </c>
      <c r="J27" s="2133"/>
      <c r="K27" s="2178"/>
      <c r="L27" s="2179"/>
      <c r="M27" s="2180"/>
      <c r="N27" s="2177"/>
      <c r="O27" s="2159"/>
    </row>
    <row r="28" spans="1:15" s="2208" customFormat="1" ht="14.25" customHeight="1">
      <c r="A28" s="2153">
        <v>3</v>
      </c>
      <c r="B28" s="2154" t="s">
        <v>330</v>
      </c>
      <c r="C28" s="2173">
        <f t="shared" si="0"/>
        <v>900000</v>
      </c>
      <c r="D28" s="2174"/>
      <c r="E28" s="2175"/>
      <c r="F28" s="2133"/>
      <c r="G28" s="2173">
        <v>900000</v>
      </c>
      <c r="H28" s="2176"/>
      <c r="I28" s="2177" t="e">
        <f>G28/#REF!*100</f>
        <v>#REF!</v>
      </c>
      <c r="J28" s="2133"/>
      <c r="K28" s="2178"/>
      <c r="L28" s="2179"/>
      <c r="M28" s="2180"/>
      <c r="N28" s="2177"/>
      <c r="O28" s="2159"/>
    </row>
    <row r="29" spans="1:15" s="2208" customFormat="1" ht="12" customHeight="1">
      <c r="A29" s="2153">
        <v>4</v>
      </c>
      <c r="B29" s="2154" t="s">
        <v>331</v>
      </c>
      <c r="C29" s="2173">
        <f t="shared" si="0"/>
        <v>850000</v>
      </c>
      <c r="D29" s="2174"/>
      <c r="E29" s="2175"/>
      <c r="F29" s="2133"/>
      <c r="G29" s="2173">
        <v>850000</v>
      </c>
      <c r="H29" s="2176"/>
      <c r="I29" s="2177" t="e">
        <f>G29/#REF!*100</f>
        <v>#REF!</v>
      </c>
      <c r="J29" s="2133"/>
      <c r="K29" s="2178"/>
      <c r="L29" s="2179"/>
      <c r="M29" s="2180"/>
      <c r="N29" s="2177"/>
      <c r="O29" s="2159"/>
    </row>
    <row r="30" spans="1:15" s="2208" customFormat="1" ht="12.75" customHeight="1">
      <c r="A30" s="2197">
        <v>5</v>
      </c>
      <c r="B30" s="2209" t="s">
        <v>332</v>
      </c>
      <c r="C30" s="2210">
        <f t="shared" si="0"/>
        <v>715000</v>
      </c>
      <c r="D30" s="2211"/>
      <c r="E30" s="2212"/>
      <c r="F30" s="2202"/>
      <c r="G30" s="2210">
        <v>715000</v>
      </c>
      <c r="H30" s="2203"/>
      <c r="I30" s="2204" t="e">
        <f>G30/#REF!*100</f>
        <v>#REF!</v>
      </c>
      <c r="J30" s="2202"/>
      <c r="K30" s="2205">
        <v>1000</v>
      </c>
      <c r="L30" s="2213"/>
      <c r="M30" s="2214"/>
      <c r="N30" s="2204">
        <f>L30/K30*100</f>
        <v>0</v>
      </c>
      <c r="O30" s="2202"/>
    </row>
    <row r="31" spans="1:15" s="2083" customFormat="1" ht="42" customHeight="1">
      <c r="A31" s="2160" t="s">
        <v>333</v>
      </c>
      <c r="B31" s="2161" t="s">
        <v>334</v>
      </c>
      <c r="C31" s="2215">
        <f t="shared" si="0"/>
        <v>111181534</v>
      </c>
      <c r="D31" s="2163"/>
      <c r="E31" s="2164"/>
      <c r="F31" s="2165">
        <f>J31+O31</f>
        <v>31.39509231234607</v>
      </c>
      <c r="G31" s="2216">
        <f>SUM(G32:G33)</f>
        <v>87452828</v>
      </c>
      <c r="H31" s="2217"/>
      <c r="I31" s="2218" t="e">
        <f>G31/#REF!*100</f>
        <v>#REF!</v>
      </c>
      <c r="J31" s="2186">
        <f>G31/$C$53*100</f>
        <v>24.69465485190844</v>
      </c>
      <c r="K31" s="2219" t="e">
        <f>K33+#REF!</f>
        <v>#REF!</v>
      </c>
      <c r="L31" s="2220">
        <f>SUM(L32:L33)</f>
        <v>23728706</v>
      </c>
      <c r="M31" s="2221"/>
      <c r="N31" s="2171" t="e">
        <f>L31/K31*100</f>
        <v>#REF!</v>
      </c>
      <c r="O31" s="2165">
        <f>L31/$C$53*100</f>
        <v>6.70043746043763</v>
      </c>
    </row>
    <row r="32" spans="1:15" s="2083" customFormat="1" ht="13.5" customHeight="1">
      <c r="A32" s="2153">
        <v>1</v>
      </c>
      <c r="B32" s="2154" t="s">
        <v>784</v>
      </c>
      <c r="C32" s="2222">
        <f t="shared" si="0"/>
        <v>106077534</v>
      </c>
      <c r="D32" s="2223"/>
      <c r="E32" s="2224"/>
      <c r="F32" s="2225"/>
      <c r="G32" s="2226">
        <v>82928828</v>
      </c>
      <c r="H32" s="2227"/>
      <c r="I32" s="2228"/>
      <c r="J32" s="2186"/>
      <c r="K32" s="2229"/>
      <c r="L32" s="2230">
        <v>23148706</v>
      </c>
      <c r="M32" s="2231"/>
      <c r="N32" s="2232" t="e">
        <f>#REF!/#REF!*100</f>
        <v>#REF!</v>
      </c>
      <c r="O32" s="2225"/>
    </row>
    <row r="33" spans="1:15" s="120" customFormat="1" ht="12.75" customHeight="1">
      <c r="A33" s="2153">
        <v>2</v>
      </c>
      <c r="B33" s="2154" t="s">
        <v>785</v>
      </c>
      <c r="C33" s="2233">
        <f t="shared" si="0"/>
        <v>5104000</v>
      </c>
      <c r="D33" s="2174"/>
      <c r="E33" s="2175"/>
      <c r="F33" s="2133"/>
      <c r="G33" s="2173">
        <v>4524000</v>
      </c>
      <c r="H33" s="2234"/>
      <c r="I33" s="2138"/>
      <c r="J33" s="2235"/>
      <c r="K33" s="2236"/>
      <c r="L33" s="2179">
        <v>580000</v>
      </c>
      <c r="M33" s="2180"/>
      <c r="N33" s="2177" t="e">
        <f>L31/K31*100</f>
        <v>#REF!</v>
      </c>
      <c r="O33" s="2133"/>
    </row>
    <row r="34" spans="1:15" s="2208" customFormat="1" ht="20.25" customHeight="1">
      <c r="A34" s="2237" t="s">
        <v>335</v>
      </c>
      <c r="B34" s="2238" t="s">
        <v>336</v>
      </c>
      <c r="C34" s="2183">
        <f t="shared" si="0"/>
        <v>15060883</v>
      </c>
      <c r="D34" s="2184"/>
      <c r="E34" s="2185"/>
      <c r="F34" s="2186">
        <f>J34+O34</f>
        <v>4.322097394726907</v>
      </c>
      <c r="G34" s="2183">
        <v>10732988</v>
      </c>
      <c r="H34" s="2239"/>
      <c r="I34" s="2240" t="e">
        <f>G34/#REF!*100</f>
        <v>#REF!</v>
      </c>
      <c r="J34" s="2186">
        <v>3.1</v>
      </c>
      <c r="K34" s="2241">
        <v>223</v>
      </c>
      <c r="L34" s="2190">
        <v>4327895</v>
      </c>
      <c r="M34" s="2242"/>
      <c r="N34" s="2188">
        <f>L34/K34*100</f>
        <v>1940760.0896860985</v>
      </c>
      <c r="O34" s="2186">
        <f>L34/$C$53*100</f>
        <v>1.2220973947269065</v>
      </c>
    </row>
    <row r="35" spans="1:15" s="2208" customFormat="1" ht="12" customHeight="1" thickBot="1">
      <c r="A35" s="2243"/>
      <c r="B35" s="2244" t="s">
        <v>25</v>
      </c>
      <c r="C35" s="2245">
        <f t="shared" si="0"/>
        <v>7505</v>
      </c>
      <c r="D35" s="2246"/>
      <c r="E35" s="2247"/>
      <c r="F35" s="2248"/>
      <c r="G35" s="2249">
        <v>1305</v>
      </c>
      <c r="H35" s="2250"/>
      <c r="I35" s="2251"/>
      <c r="J35" s="2252"/>
      <c r="K35" s="2253"/>
      <c r="L35" s="2195">
        <v>6200</v>
      </c>
      <c r="M35" s="2254"/>
      <c r="N35" s="2255"/>
      <c r="O35" s="2252"/>
    </row>
    <row r="36" spans="1:15" s="2083" customFormat="1" ht="20.25" customHeight="1" thickBot="1" thickTop="1">
      <c r="A36" s="2256" t="s">
        <v>337</v>
      </c>
      <c r="B36" s="1831" t="s">
        <v>338</v>
      </c>
      <c r="C36" s="133">
        <f>SUM(C37:C39)</f>
        <v>101636035</v>
      </c>
      <c r="D36" s="134"/>
      <c r="E36" s="135"/>
      <c r="F36" s="2257">
        <f>J36+O36</f>
        <v>28.699664290347314</v>
      </c>
      <c r="G36" s="123">
        <f>SUM(G37:G39)</f>
        <v>41234508</v>
      </c>
      <c r="H36" s="136"/>
      <c r="I36" s="137" t="e">
        <f>G36/#REF!*100</f>
        <v>#REF!</v>
      </c>
      <c r="J36" s="128">
        <f>G36/$C$53*100</f>
        <v>11.643670837588664</v>
      </c>
      <c r="K36" s="138" t="e">
        <f>#REF!+#REF!+K38</f>
        <v>#REF!</v>
      </c>
      <c r="L36" s="139">
        <f>SUM(L37:L39)</f>
        <v>60401527</v>
      </c>
      <c r="M36" s="1842"/>
      <c r="N36" s="1843" t="e">
        <f>L36/K36*100</f>
        <v>#REF!</v>
      </c>
      <c r="O36" s="128">
        <f>L36/$C$53*100</f>
        <v>17.055993452758653</v>
      </c>
    </row>
    <row r="37" spans="1:15" s="120" customFormat="1" ht="13.5" customHeight="1" thickTop="1">
      <c r="A37" s="2153">
        <v>1</v>
      </c>
      <c r="B37" s="2154" t="s">
        <v>339</v>
      </c>
      <c r="C37" s="2258">
        <f t="shared" si="0"/>
        <v>94145216</v>
      </c>
      <c r="D37" s="2174"/>
      <c r="E37" s="2175"/>
      <c r="F37" s="2133"/>
      <c r="G37" s="2259">
        <v>40838291</v>
      </c>
      <c r="H37" s="2260"/>
      <c r="I37" s="2261" t="e">
        <f>G37/#REF!*100</f>
        <v>#REF!</v>
      </c>
      <c r="J37" s="2262"/>
      <c r="K37" s="2263">
        <v>19412</v>
      </c>
      <c r="L37" s="2264">
        <v>53306925</v>
      </c>
      <c r="M37" s="2180"/>
      <c r="N37" s="2177" t="e">
        <f>#REF!/K37*100</f>
        <v>#REF!</v>
      </c>
      <c r="O37" s="2262"/>
    </row>
    <row r="38" spans="1:15" s="2208" customFormat="1" ht="12.75" customHeight="1">
      <c r="A38" s="2153">
        <v>2</v>
      </c>
      <c r="B38" s="2154" t="s">
        <v>340</v>
      </c>
      <c r="C38" s="2258">
        <f t="shared" si="0"/>
        <v>7490819</v>
      </c>
      <c r="D38" s="2174"/>
      <c r="E38" s="2175"/>
      <c r="F38" s="2133"/>
      <c r="G38" s="2258">
        <v>396217</v>
      </c>
      <c r="H38" s="2234"/>
      <c r="I38" s="2138" t="e">
        <f>G38/#REF!*100</f>
        <v>#REF!</v>
      </c>
      <c r="J38" s="2133"/>
      <c r="K38" s="2236">
        <v>19412</v>
      </c>
      <c r="L38" s="2265">
        <v>7094602</v>
      </c>
      <c r="M38" s="2180"/>
      <c r="N38" s="2177" t="e">
        <f>#REF!/K38*100</f>
        <v>#REF!</v>
      </c>
      <c r="O38" s="2133"/>
    </row>
    <row r="39" spans="1:15" s="2208" customFormat="1" ht="12.75" customHeight="1" thickBot="1">
      <c r="A39" s="2153">
        <v>3</v>
      </c>
      <c r="B39" s="2266" t="s">
        <v>26</v>
      </c>
      <c r="C39" s="2258">
        <f t="shared" si="0"/>
        <v>0</v>
      </c>
      <c r="D39" s="2174"/>
      <c r="E39" s="2175"/>
      <c r="F39" s="2133"/>
      <c r="G39" s="2245"/>
      <c r="H39" s="2267"/>
      <c r="I39" s="2268"/>
      <c r="J39" s="2269"/>
      <c r="K39" s="2270"/>
      <c r="L39" s="2271"/>
      <c r="M39" s="2272"/>
      <c r="N39" s="2273"/>
      <c r="O39" s="2269"/>
    </row>
    <row r="40" spans="1:15" s="2152" customFormat="1" ht="21.75" customHeight="1" thickTop="1">
      <c r="A40" s="2274" t="s">
        <v>341</v>
      </c>
      <c r="B40" s="2275" t="s">
        <v>786</v>
      </c>
      <c r="C40" s="140">
        <f t="shared" si="0"/>
        <v>9168470</v>
      </c>
      <c r="D40" s="141"/>
      <c r="E40" s="142"/>
      <c r="F40" s="128">
        <f>J40+O40</f>
        <v>2.5889637573535866</v>
      </c>
      <c r="G40" s="1832">
        <f>SUM(G41:G42)</f>
        <v>1005921</v>
      </c>
      <c r="H40" s="144"/>
      <c r="I40" s="145"/>
      <c r="J40" s="2248">
        <f>G40/$C$53*100</f>
        <v>0.28404881204398086</v>
      </c>
      <c r="K40" s="146">
        <v>8270.5</v>
      </c>
      <c r="L40" s="143">
        <f>SUM(L41:L42)</f>
        <v>8162549</v>
      </c>
      <c r="M40" s="147"/>
      <c r="N40" s="148"/>
      <c r="O40" s="2248">
        <f>L40/$C$53*100</f>
        <v>2.304914945309606</v>
      </c>
    </row>
    <row r="41" spans="1:15" s="2152" customFormat="1" ht="12.75" customHeight="1">
      <c r="A41" s="2276"/>
      <c r="B41" s="2192" t="s">
        <v>313</v>
      </c>
      <c r="C41" s="2258">
        <f>L41+G41</f>
        <v>2744391</v>
      </c>
      <c r="D41" s="2277"/>
      <c r="E41" s="144"/>
      <c r="F41" s="2248"/>
      <c r="G41" s="2130">
        <v>1005921</v>
      </c>
      <c r="H41" s="2175"/>
      <c r="I41" s="2278"/>
      <c r="J41" s="2133"/>
      <c r="K41" s="2236"/>
      <c r="L41" s="2130">
        <v>1738470</v>
      </c>
      <c r="M41" s="147"/>
      <c r="N41" s="148"/>
      <c r="O41" s="2248"/>
    </row>
    <row r="42" spans="1:15" s="120" customFormat="1" ht="15" customHeight="1" thickBot="1">
      <c r="A42" s="2279"/>
      <c r="B42" s="2192" t="s">
        <v>314</v>
      </c>
      <c r="C42" s="2245">
        <f t="shared" si="0"/>
        <v>6424079</v>
      </c>
      <c r="D42" s="2280"/>
      <c r="E42" s="2281"/>
      <c r="F42" s="2269"/>
      <c r="G42" s="2282"/>
      <c r="H42" s="2281"/>
      <c r="I42" s="2283"/>
      <c r="J42" s="2133"/>
      <c r="K42" s="2270"/>
      <c r="L42" s="2284">
        <v>6424079</v>
      </c>
      <c r="M42" s="2285"/>
      <c r="N42" s="2286"/>
      <c r="O42" s="2287"/>
    </row>
    <row r="43" spans="1:15" s="2083" customFormat="1" ht="16.5" customHeight="1" thickBot="1" thickTop="1">
      <c r="A43" s="2288" t="s">
        <v>342</v>
      </c>
      <c r="B43" s="1833" t="s">
        <v>27</v>
      </c>
      <c r="C43" s="1834">
        <f t="shared" si="0"/>
        <v>40871557.54</v>
      </c>
      <c r="D43" s="1835"/>
      <c r="E43" s="1836"/>
      <c r="F43" s="2257">
        <f>J43+O43</f>
        <v>11.54118202684327</v>
      </c>
      <c r="G43" s="1837">
        <f>G44+G47+G50</f>
        <v>30836989.54</v>
      </c>
      <c r="H43" s="1838"/>
      <c r="I43" s="1839"/>
      <c r="J43" s="2257">
        <f>G43/C53*100</f>
        <v>8.707652236954655</v>
      </c>
      <c r="K43" s="1840"/>
      <c r="L43" s="1841">
        <f>L44+L47+L50</f>
        <v>10034568</v>
      </c>
      <c r="M43" s="1842"/>
      <c r="N43" s="1843"/>
      <c r="O43" s="2257">
        <f>L43/$C$53*100</f>
        <v>2.8335297898886145</v>
      </c>
    </row>
    <row r="44" spans="1:15" s="120" customFormat="1" ht="26.25" customHeight="1" thickTop="1">
      <c r="A44" s="2289">
        <v>1</v>
      </c>
      <c r="B44" s="2266" t="s">
        <v>787</v>
      </c>
      <c r="C44" s="2258">
        <f>SUM(C45:C46)</f>
        <v>8315739</v>
      </c>
      <c r="D44" s="2174"/>
      <c r="E44" s="2175"/>
      <c r="F44" s="2133"/>
      <c r="G44" s="2173">
        <v>7277427</v>
      </c>
      <c r="H44" s="2234"/>
      <c r="I44" s="2138"/>
      <c r="J44" s="2133"/>
      <c r="K44" s="2157"/>
      <c r="L44" s="2259">
        <f>SUM(L45:L46)</f>
        <v>1038312</v>
      </c>
      <c r="M44" s="2180"/>
      <c r="N44" s="2177"/>
      <c r="O44" s="2290"/>
    </row>
    <row r="45" spans="1:15" s="120" customFormat="1" ht="12.75" customHeight="1">
      <c r="A45" s="2289"/>
      <c r="B45" s="2192" t="s">
        <v>313</v>
      </c>
      <c r="C45" s="2291">
        <f>G45+L45</f>
        <v>6918739</v>
      </c>
      <c r="D45" s="2174"/>
      <c r="E45" s="2234"/>
      <c r="F45" s="2159"/>
      <c r="G45" s="2292">
        <f>G44-G46</f>
        <v>5880427</v>
      </c>
      <c r="H45" s="2234"/>
      <c r="I45" s="2138"/>
      <c r="J45" s="2159"/>
      <c r="K45" s="2156"/>
      <c r="L45" s="2291">
        <v>1038312</v>
      </c>
      <c r="M45" s="2180"/>
      <c r="N45" s="2177"/>
      <c r="O45" s="2290"/>
    </row>
    <row r="46" spans="1:15" s="120" customFormat="1" ht="12.75" customHeight="1">
      <c r="A46" s="2289"/>
      <c r="B46" s="2192" t="s">
        <v>314</v>
      </c>
      <c r="C46" s="2291">
        <f>G46+L46</f>
        <v>1397000</v>
      </c>
      <c r="D46" s="2174"/>
      <c r="E46" s="2234"/>
      <c r="F46" s="2159"/>
      <c r="G46" s="2292">
        <f>1332000+65000</f>
        <v>1397000</v>
      </c>
      <c r="H46" s="2234"/>
      <c r="I46" s="2138"/>
      <c r="J46" s="2159"/>
      <c r="K46" s="2156"/>
      <c r="L46" s="2291">
        <v>0</v>
      </c>
      <c r="M46" s="2180"/>
      <c r="N46" s="2177"/>
      <c r="O46" s="2159"/>
    </row>
    <row r="47" spans="1:17" s="120" customFormat="1" ht="40.5" customHeight="1">
      <c r="A47" s="2293">
        <v>2</v>
      </c>
      <c r="B47" s="2294" t="s">
        <v>788</v>
      </c>
      <c r="C47" s="2258">
        <f t="shared" si="0"/>
        <v>146236</v>
      </c>
      <c r="D47" s="2295"/>
      <c r="E47" s="2175"/>
      <c r="F47" s="2133"/>
      <c r="G47" s="2130">
        <v>21600</v>
      </c>
      <c r="H47" s="2175"/>
      <c r="I47" s="2278"/>
      <c r="J47" s="2133"/>
      <c r="K47" s="2157"/>
      <c r="L47" s="2233">
        <f>SUM(L48:L49)</f>
        <v>124636</v>
      </c>
      <c r="M47" s="2296"/>
      <c r="N47" s="2297"/>
      <c r="O47" s="2133"/>
      <c r="Q47" s="120" t="s">
        <v>28</v>
      </c>
    </row>
    <row r="48" spans="1:15" s="120" customFormat="1" ht="16.5" customHeight="1">
      <c r="A48" s="2293"/>
      <c r="B48" s="2192" t="s">
        <v>313</v>
      </c>
      <c r="C48" s="2258"/>
      <c r="D48" s="2295"/>
      <c r="E48" s="2175"/>
      <c r="F48" s="2133"/>
      <c r="G48" s="2130">
        <v>21600</v>
      </c>
      <c r="H48" s="2175"/>
      <c r="I48" s="2278"/>
      <c r="J48" s="2133"/>
      <c r="K48" s="2157"/>
      <c r="L48" s="2402">
        <f>5500+51136</f>
        <v>56636</v>
      </c>
      <c r="M48" s="2296"/>
      <c r="N48" s="2297"/>
      <c r="O48" s="2133"/>
    </row>
    <row r="49" spans="1:15" s="120" customFormat="1" ht="14.25" customHeight="1">
      <c r="A49" s="2293"/>
      <c r="B49" s="2192" t="s">
        <v>314</v>
      </c>
      <c r="C49" s="2258"/>
      <c r="D49" s="2295"/>
      <c r="E49" s="2175"/>
      <c r="F49" s="2133"/>
      <c r="G49" s="2130"/>
      <c r="H49" s="2175"/>
      <c r="I49" s="2278"/>
      <c r="J49" s="2133"/>
      <c r="K49" s="2157"/>
      <c r="L49" s="2233">
        <v>68000</v>
      </c>
      <c r="M49" s="2296"/>
      <c r="N49" s="2297"/>
      <c r="O49" s="2133"/>
    </row>
    <row r="50" spans="1:15" s="120" customFormat="1" ht="18.75" customHeight="1">
      <c r="A50" s="2293">
        <v>3</v>
      </c>
      <c r="B50" s="2294" t="s">
        <v>789</v>
      </c>
      <c r="C50" s="2298">
        <f t="shared" si="0"/>
        <v>32409582.54</v>
      </c>
      <c r="D50" s="2295"/>
      <c r="E50" s="2175"/>
      <c r="F50" s="2133"/>
      <c r="G50" s="2299">
        <f>G51</f>
        <v>23537962.54</v>
      </c>
      <c r="H50" s="2175"/>
      <c r="I50" s="2278"/>
      <c r="J50" s="2133"/>
      <c r="K50" s="2157"/>
      <c r="L50" s="2233">
        <f>L51+L52</f>
        <v>8871620</v>
      </c>
      <c r="M50" s="2296"/>
      <c r="N50" s="2297"/>
      <c r="O50" s="2133"/>
    </row>
    <row r="51" spans="1:15" s="120" customFormat="1" ht="15" customHeight="1">
      <c r="A51" s="2293"/>
      <c r="B51" s="2192" t="s">
        <v>343</v>
      </c>
      <c r="C51" s="2291">
        <f t="shared" si="0"/>
        <v>32351582.54</v>
      </c>
      <c r="D51" s="2300"/>
      <c r="E51" s="2301"/>
      <c r="F51" s="2302"/>
      <c r="G51" s="2303">
        <v>23537962.54</v>
      </c>
      <c r="H51" s="2301"/>
      <c r="I51" s="2304"/>
      <c r="J51" s="2302"/>
      <c r="K51" s="2305"/>
      <c r="L51" s="2306">
        <v>8813620</v>
      </c>
      <c r="M51" s="2296"/>
      <c r="N51" s="2297"/>
      <c r="O51" s="2133"/>
    </row>
    <row r="52" spans="1:15" s="120" customFormat="1" ht="15.75" customHeight="1" thickBot="1">
      <c r="A52" s="2293"/>
      <c r="B52" s="2244" t="s">
        <v>344</v>
      </c>
      <c r="C52" s="2291">
        <f t="shared" si="0"/>
        <v>58000</v>
      </c>
      <c r="D52" s="2300"/>
      <c r="E52" s="2301"/>
      <c r="F52" s="2302"/>
      <c r="G52" s="2307"/>
      <c r="H52" s="2301"/>
      <c r="I52" s="2304"/>
      <c r="J52" s="2302"/>
      <c r="K52" s="2305"/>
      <c r="L52" s="2306">
        <v>58000</v>
      </c>
      <c r="M52" s="2296"/>
      <c r="N52" s="2297"/>
      <c r="O52" s="2133"/>
    </row>
    <row r="53" spans="1:15" s="2083" customFormat="1" ht="21.75" customHeight="1" thickTop="1">
      <c r="A53" s="2579" t="s">
        <v>790</v>
      </c>
      <c r="B53" s="2580"/>
      <c r="C53" s="1844">
        <f t="shared" si="0"/>
        <v>354136668.53999996</v>
      </c>
      <c r="D53" s="150"/>
      <c r="E53" s="151"/>
      <c r="F53" s="128">
        <f>J53+O53</f>
        <v>100.00000000000001</v>
      </c>
      <c r="G53" s="1844">
        <f>G43+G36+G40+G11</f>
        <v>247481423.54</v>
      </c>
      <c r="H53" s="150"/>
      <c r="I53" s="152" t="e">
        <f>G53/#REF!*100</f>
        <v>#REF!</v>
      </c>
      <c r="J53" s="128">
        <f>G53/$C$53*100</f>
        <v>69.88302695687861</v>
      </c>
      <c r="K53" s="153" t="e">
        <f>#REF!+#REF!+#REF!</f>
        <v>#REF!</v>
      </c>
      <c r="L53" s="149">
        <f>L43+L36+L40+L11</f>
        <v>106655245</v>
      </c>
      <c r="M53" s="154"/>
      <c r="N53" s="155" t="e">
        <f>L53/K53*100</f>
        <v>#REF!</v>
      </c>
      <c r="O53" s="128">
        <f>L53/$C$53*100</f>
        <v>30.11697304312141</v>
      </c>
    </row>
    <row r="54" spans="1:15" s="120" customFormat="1" ht="17.25" customHeight="1">
      <c r="A54" s="2308"/>
      <c r="B54" s="2309" t="s">
        <v>345</v>
      </c>
      <c r="C54" s="2298">
        <f t="shared" si="0"/>
        <v>326182084.53999996</v>
      </c>
      <c r="D54" s="2157"/>
      <c r="E54" s="2310"/>
      <c r="F54" s="2133"/>
      <c r="G54" s="2299">
        <f>G14+G19+G24+G31+G34-G35+G36+G40-G42+G43-G46-G52</f>
        <v>226083118.54</v>
      </c>
      <c r="H54" s="2310"/>
      <c r="I54" s="2157"/>
      <c r="J54" s="2133"/>
      <c r="K54" s="2157"/>
      <c r="L54" s="2233">
        <f>L11-L35+L36+L40-L42+L43-L46-L52-L49</f>
        <v>100098966</v>
      </c>
      <c r="M54" s="2311"/>
      <c r="N54" s="2311"/>
      <c r="O54" s="2133"/>
    </row>
    <row r="55" spans="1:15" s="120" customFormat="1" ht="18" customHeight="1" thickBot="1">
      <c r="A55" s="2312"/>
      <c r="B55" s="2313" t="s">
        <v>346</v>
      </c>
      <c r="C55" s="2314">
        <f t="shared" si="0"/>
        <v>27954584</v>
      </c>
      <c r="D55" s="2315"/>
      <c r="E55" s="2316"/>
      <c r="F55" s="2269"/>
      <c r="G55" s="2317">
        <f>G52+G42+G13+G46</f>
        <v>21398305</v>
      </c>
      <c r="H55" s="2315"/>
      <c r="I55" s="2318"/>
      <c r="J55" s="2319"/>
      <c r="K55" s="2320"/>
      <c r="L55" s="2321">
        <f>L13+L42+L52+L46+L49</f>
        <v>6556279</v>
      </c>
      <c r="M55" s="2322"/>
      <c r="N55" s="2323"/>
      <c r="O55" s="2269"/>
    </row>
    <row r="56" ht="13.5" thickTop="1">
      <c r="A56" s="87" t="s">
        <v>542</v>
      </c>
    </row>
    <row r="57" spans="1:14" ht="12.75">
      <c r="A57" s="87" t="s">
        <v>296</v>
      </c>
      <c r="C57" s="93"/>
      <c r="D57" s="93"/>
      <c r="E57" s="93"/>
      <c r="G57" s="93"/>
      <c r="H57" s="93"/>
      <c r="I57" s="93"/>
      <c r="J57" s="93"/>
      <c r="K57" s="93"/>
      <c r="L57" s="93"/>
      <c r="M57" s="93"/>
      <c r="N57" s="93"/>
    </row>
    <row r="58" ht="12.75">
      <c r="A58" s="87" t="s">
        <v>811</v>
      </c>
    </row>
  </sheetData>
  <mergeCells count="1">
    <mergeCell ref="A53:B53"/>
  </mergeCells>
  <printOptions horizontalCentered="1"/>
  <pageMargins left="0.64" right="0.4" top="0.17" bottom="0.19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2">
      <selection activeCell="A56" sqref="A56"/>
    </sheetView>
  </sheetViews>
  <sheetFormatPr defaultColWidth="9.00390625" defaultRowHeight="12.75"/>
  <cols>
    <col min="1" max="1" width="5.00390625" style="157" customWidth="1"/>
    <col min="2" max="2" width="34.25390625" style="158" customWidth="1"/>
    <col min="3" max="3" width="14.00390625" style="158" customWidth="1"/>
    <col min="4" max="4" width="9.625" style="158" customWidth="1"/>
    <col min="5" max="5" width="11.75390625" style="158" customWidth="1"/>
    <col min="6" max="6" width="11.00390625" style="158" customWidth="1"/>
    <col min="7" max="7" width="13.75390625" style="158" customWidth="1"/>
    <col min="8" max="8" width="9.625" style="158" customWidth="1"/>
    <col min="9" max="9" width="11.875" style="158" customWidth="1"/>
    <col min="10" max="10" width="9.125" style="158" customWidth="1"/>
    <col min="11" max="11" width="10.75390625" style="158" customWidth="1"/>
    <col min="12" max="14" width="12.625" style="158" customWidth="1"/>
    <col min="15" max="15" width="13.00390625" style="158" customWidth="1"/>
    <col min="16" max="16384" width="10.00390625" style="158" customWidth="1"/>
  </cols>
  <sheetData>
    <row r="1" spans="7:14" ht="12" customHeight="1">
      <c r="G1" s="159"/>
      <c r="I1" s="94" t="s">
        <v>347</v>
      </c>
      <c r="K1" s="100"/>
      <c r="L1" s="98"/>
      <c r="M1" s="101"/>
      <c r="N1" s="160"/>
    </row>
    <row r="2" spans="7:14" ht="12" customHeight="1">
      <c r="G2" s="159"/>
      <c r="I2" s="249" t="s">
        <v>20</v>
      </c>
      <c r="K2" s="100"/>
      <c r="L2" s="98"/>
      <c r="M2" s="101"/>
      <c r="N2" s="160"/>
    </row>
    <row r="3" spans="7:14" ht="12" customHeight="1">
      <c r="G3" s="159"/>
      <c r="I3" s="4" t="s">
        <v>21</v>
      </c>
      <c r="K3" s="100"/>
      <c r="L3" s="98"/>
      <c r="M3" s="101"/>
      <c r="N3" s="160"/>
    </row>
    <row r="4" spans="1:14" s="172" customFormat="1" ht="16.5" customHeight="1">
      <c r="A4" s="161" t="s">
        <v>348</v>
      </c>
      <c r="B4" s="162"/>
      <c r="C4" s="163"/>
      <c r="D4" s="163"/>
      <c r="E4" s="163"/>
      <c r="F4" s="164"/>
      <c r="G4" s="165"/>
      <c r="H4" s="166"/>
      <c r="I4" s="4"/>
      <c r="J4" s="167"/>
      <c r="K4" s="168"/>
      <c r="L4" s="169"/>
      <c r="M4" s="170"/>
      <c r="N4" s="171"/>
    </row>
    <row r="5" spans="1:11" s="174" customFormat="1" ht="14.25" customHeight="1">
      <c r="A5" s="173" t="s">
        <v>349</v>
      </c>
      <c r="C5" s="175"/>
      <c r="D5" s="176"/>
      <c r="E5" s="176"/>
      <c r="F5" s="176"/>
      <c r="G5" s="176"/>
      <c r="H5" s="177"/>
      <c r="I5" s="178"/>
      <c r="J5" s="179"/>
      <c r="K5" s="180" t="s">
        <v>236</v>
      </c>
    </row>
    <row r="6" spans="1:11" s="174" customFormat="1" ht="14.25" customHeight="1" thickBot="1">
      <c r="A6" s="257" t="s">
        <v>810</v>
      </c>
      <c r="C6" s="175"/>
      <c r="D6" s="176"/>
      <c r="E6" s="176"/>
      <c r="F6" s="176"/>
      <c r="G6" s="176"/>
      <c r="H6" s="177"/>
      <c r="I6" s="178"/>
      <c r="J6" s="179"/>
      <c r="K6" s="180"/>
    </row>
    <row r="7" spans="1:11" s="190" customFormat="1" ht="18" customHeight="1" thickBot="1" thickTop="1">
      <c r="A7" s="181"/>
      <c r="B7" s="182"/>
      <c r="C7" s="183" t="s">
        <v>241</v>
      </c>
      <c r="D7" s="184" t="s">
        <v>350</v>
      </c>
      <c r="E7" s="185"/>
      <c r="F7" s="185"/>
      <c r="G7" s="186"/>
      <c r="H7" s="187" t="s">
        <v>351</v>
      </c>
      <c r="I7" s="188"/>
      <c r="J7" s="188"/>
      <c r="K7" s="189"/>
    </row>
    <row r="8" spans="1:11" s="190" customFormat="1" ht="41.25" customHeight="1" thickBot="1" thickTop="1">
      <c r="A8" s="191" t="s">
        <v>352</v>
      </c>
      <c r="B8" s="192" t="s">
        <v>238</v>
      </c>
      <c r="C8" s="193" t="s">
        <v>239</v>
      </c>
      <c r="D8" s="194" t="s">
        <v>353</v>
      </c>
      <c r="E8" s="195" t="s">
        <v>354</v>
      </c>
      <c r="F8" s="196" t="s">
        <v>355</v>
      </c>
      <c r="G8" s="197" t="s">
        <v>356</v>
      </c>
      <c r="H8" s="194" t="s">
        <v>357</v>
      </c>
      <c r="I8" s="195" t="s">
        <v>354</v>
      </c>
      <c r="J8" s="196" t="s">
        <v>358</v>
      </c>
      <c r="K8" s="197" t="s">
        <v>356</v>
      </c>
    </row>
    <row r="9" spans="1:11" s="1968" customFormat="1" ht="11.25" customHeight="1" thickBot="1" thickTop="1">
      <c r="A9" s="1963">
        <v>1</v>
      </c>
      <c r="B9" s="1964">
        <v>2</v>
      </c>
      <c r="C9" s="1965">
        <v>3</v>
      </c>
      <c r="D9" s="1965">
        <v>4</v>
      </c>
      <c r="E9" s="1966">
        <v>5</v>
      </c>
      <c r="F9" s="1964">
        <v>6</v>
      </c>
      <c r="G9" s="1967">
        <v>7</v>
      </c>
      <c r="H9" s="1965">
        <v>8</v>
      </c>
      <c r="I9" s="1966">
        <v>9</v>
      </c>
      <c r="J9" s="1964">
        <v>10</v>
      </c>
      <c r="K9" s="1967">
        <v>11</v>
      </c>
    </row>
    <row r="10" spans="1:11" s="2333" customFormat="1" ht="15" customHeight="1" thickTop="1">
      <c r="A10" s="2324" t="s">
        <v>247</v>
      </c>
      <c r="B10" s="2325" t="s">
        <v>248</v>
      </c>
      <c r="C10" s="2326">
        <f aca="true" t="shared" si="0" ref="C10:C47">G10+K10</f>
        <v>2135.54</v>
      </c>
      <c r="D10" s="2327"/>
      <c r="E10" s="2328"/>
      <c r="F10" s="2329">
        <f>F11</f>
        <v>2135.54</v>
      </c>
      <c r="G10" s="2330">
        <f>F10</f>
        <v>2135.54</v>
      </c>
      <c r="H10" s="2327"/>
      <c r="I10" s="2328"/>
      <c r="J10" s="2331"/>
      <c r="K10" s="2332"/>
    </row>
    <row r="11" spans="1:11" s="2412" customFormat="1" ht="15" customHeight="1">
      <c r="A11" s="2403"/>
      <c r="B11" s="2404" t="s">
        <v>359</v>
      </c>
      <c r="C11" s="2405">
        <f t="shared" si="0"/>
        <v>2135.54</v>
      </c>
      <c r="D11" s="2406"/>
      <c r="E11" s="2407"/>
      <c r="F11" s="2408">
        <v>2135.54</v>
      </c>
      <c r="G11" s="2409">
        <f>F11</f>
        <v>2135.54</v>
      </c>
      <c r="H11" s="2406"/>
      <c r="I11" s="2407"/>
      <c r="J11" s="2410"/>
      <c r="K11" s="2411"/>
    </row>
    <row r="12" spans="1:14" s="206" customFormat="1" ht="21" customHeight="1">
      <c r="A12" s="198" t="s">
        <v>250</v>
      </c>
      <c r="B12" s="1969" t="s">
        <v>251</v>
      </c>
      <c r="C12" s="199">
        <f t="shared" si="0"/>
        <v>5018030</v>
      </c>
      <c r="D12" s="200">
        <f>SUM(D13:D14)</f>
        <v>14030</v>
      </c>
      <c r="E12" s="201"/>
      <c r="F12" s="202"/>
      <c r="G12" s="202">
        <f>SUM(G13:G14)</f>
        <v>14030</v>
      </c>
      <c r="H12" s="203">
        <f>SUM(H13:H14)</f>
        <v>5004000</v>
      </c>
      <c r="I12" s="201"/>
      <c r="J12" s="202"/>
      <c r="K12" s="204">
        <f>SUM(K13:K14)</f>
        <v>5004000</v>
      </c>
      <c r="L12" s="205"/>
      <c r="M12" s="205"/>
      <c r="N12" s="205"/>
    </row>
    <row r="13" spans="1:11" s="206" customFormat="1" ht="11.25" customHeight="1">
      <c r="A13" s="2413"/>
      <c r="B13" s="2404" t="s">
        <v>359</v>
      </c>
      <c r="C13" s="2414">
        <f t="shared" si="0"/>
        <v>18030</v>
      </c>
      <c r="D13" s="2415">
        <v>14030</v>
      </c>
      <c r="E13" s="2416"/>
      <c r="F13" s="2417"/>
      <c r="G13" s="2417">
        <f aca="true" t="shared" si="1" ref="G13:G19">SUM(D13:F13)</f>
        <v>14030</v>
      </c>
      <c r="H13" s="2415">
        <v>4000</v>
      </c>
      <c r="I13" s="2416"/>
      <c r="J13" s="2417"/>
      <c r="K13" s="2418">
        <f>SUM(H13:J13)</f>
        <v>4000</v>
      </c>
    </row>
    <row r="14" spans="1:14" s="206" customFormat="1" ht="11.25" customHeight="1">
      <c r="A14" s="2413"/>
      <c r="B14" s="2419" t="s">
        <v>360</v>
      </c>
      <c r="C14" s="2420">
        <f>G14+K14</f>
        <v>5000000</v>
      </c>
      <c r="D14" s="2421"/>
      <c r="E14" s="2422"/>
      <c r="F14" s="2423"/>
      <c r="G14" s="2424"/>
      <c r="H14" s="2421">
        <f>5000000</f>
        <v>5000000</v>
      </c>
      <c r="I14" s="2422"/>
      <c r="J14" s="2423"/>
      <c r="K14" s="2425">
        <f>SUM(H14:J14)</f>
        <v>5000000</v>
      </c>
      <c r="L14" s="2426"/>
      <c r="M14" s="2426"/>
      <c r="N14" s="2426"/>
    </row>
    <row r="15" spans="1:14" s="206" customFormat="1" ht="18" customHeight="1">
      <c r="A15" s="198" t="s">
        <v>254</v>
      </c>
      <c r="B15" s="1969" t="s">
        <v>361</v>
      </c>
      <c r="C15" s="199">
        <f t="shared" si="0"/>
        <v>27608500</v>
      </c>
      <c r="D15" s="203">
        <f>SUM(D16:D17)</f>
        <v>26715000</v>
      </c>
      <c r="E15" s="201"/>
      <c r="F15" s="202"/>
      <c r="G15" s="202">
        <f t="shared" si="1"/>
        <v>26715000</v>
      </c>
      <c r="H15" s="203">
        <f>SUM(H16:H17)</f>
        <v>850000</v>
      </c>
      <c r="I15" s="201"/>
      <c r="J15" s="202">
        <f>SUM(J16:J17)</f>
        <v>43500</v>
      </c>
      <c r="K15" s="204">
        <f>SUM(H15:J15)</f>
        <v>893500</v>
      </c>
      <c r="L15" s="205"/>
      <c r="M15" s="205"/>
      <c r="N15" s="205"/>
    </row>
    <row r="16" spans="1:11" s="206" customFormat="1" ht="10.5" customHeight="1">
      <c r="A16" s="2413"/>
      <c r="B16" s="2404" t="s">
        <v>359</v>
      </c>
      <c r="C16" s="2414">
        <f t="shared" si="0"/>
        <v>7608500</v>
      </c>
      <c r="D16" s="2415">
        <v>6715000</v>
      </c>
      <c r="E16" s="2416"/>
      <c r="F16" s="2417"/>
      <c r="G16" s="2417">
        <f t="shared" si="1"/>
        <v>6715000</v>
      </c>
      <c r="H16" s="2415">
        <v>850000</v>
      </c>
      <c r="I16" s="2416"/>
      <c r="J16" s="2417">
        <v>43500</v>
      </c>
      <c r="K16" s="2418">
        <f>SUM(H16:J16)</f>
        <v>893500</v>
      </c>
    </row>
    <row r="17" spans="1:11" s="206" customFormat="1" ht="12.75" customHeight="1">
      <c r="A17" s="2427"/>
      <c r="B17" s="2419" t="s">
        <v>360</v>
      </c>
      <c r="C17" s="2428">
        <f t="shared" si="0"/>
        <v>20000000</v>
      </c>
      <c r="D17" s="2421">
        <v>20000000</v>
      </c>
      <c r="E17" s="2422"/>
      <c r="F17" s="2423"/>
      <c r="G17" s="2429">
        <f t="shared" si="1"/>
        <v>20000000</v>
      </c>
      <c r="H17" s="2421"/>
      <c r="I17" s="2422"/>
      <c r="J17" s="2423"/>
      <c r="K17" s="2429"/>
    </row>
    <row r="18" spans="1:14" s="207" customFormat="1" ht="17.25" customHeight="1">
      <c r="A18" s="198">
        <v>710</v>
      </c>
      <c r="B18" s="1969" t="s">
        <v>362</v>
      </c>
      <c r="C18" s="199">
        <f t="shared" si="0"/>
        <v>1843700</v>
      </c>
      <c r="D18" s="203">
        <f>SUM(D19:D20)</f>
        <v>1389000</v>
      </c>
      <c r="E18" s="201">
        <f>SUM(E19:E20)</f>
        <v>16600</v>
      </c>
      <c r="F18" s="202"/>
      <c r="G18" s="202">
        <f t="shared" si="1"/>
        <v>1405600</v>
      </c>
      <c r="H18" s="203"/>
      <c r="I18" s="201"/>
      <c r="J18" s="202">
        <f>SUM(J19:J20)</f>
        <v>438100</v>
      </c>
      <c r="K18" s="204">
        <f>SUM(H18:J18)</f>
        <v>438100</v>
      </c>
      <c r="L18" s="205"/>
      <c r="M18" s="205"/>
      <c r="N18" s="205"/>
    </row>
    <row r="19" spans="1:11" s="206" customFormat="1" ht="10.5" customHeight="1">
      <c r="A19" s="2413"/>
      <c r="B19" s="2404" t="s">
        <v>359</v>
      </c>
      <c r="C19" s="2414">
        <f t="shared" si="0"/>
        <v>1835700</v>
      </c>
      <c r="D19" s="2415">
        <v>1389000</v>
      </c>
      <c r="E19" s="2416">
        <v>16600</v>
      </c>
      <c r="F19" s="2417"/>
      <c r="G19" s="2417">
        <f t="shared" si="1"/>
        <v>1405600</v>
      </c>
      <c r="H19" s="2415"/>
      <c r="I19" s="2416"/>
      <c r="J19" s="2417">
        <v>430100</v>
      </c>
      <c r="K19" s="2418">
        <f>SUM(H19:J19)</f>
        <v>430100</v>
      </c>
    </row>
    <row r="20" spans="1:11" s="206" customFormat="1" ht="12.75" customHeight="1">
      <c r="A20" s="2427"/>
      <c r="B20" s="2419" t="s">
        <v>360</v>
      </c>
      <c r="C20" s="2428">
        <f t="shared" si="0"/>
        <v>8000</v>
      </c>
      <c r="D20" s="2421"/>
      <c r="E20" s="2422"/>
      <c r="F20" s="2423"/>
      <c r="G20" s="2429"/>
      <c r="H20" s="2421"/>
      <c r="I20" s="2422"/>
      <c r="J20" s="2423">
        <v>8000</v>
      </c>
      <c r="K20" s="2429">
        <f>SUM(H20:J20)</f>
        <v>8000</v>
      </c>
    </row>
    <row r="21" spans="1:14" s="207" customFormat="1" ht="16.5" customHeight="1">
      <c r="A21" s="198" t="s">
        <v>258</v>
      </c>
      <c r="B21" s="1969" t="s">
        <v>363</v>
      </c>
      <c r="C21" s="208">
        <f t="shared" si="0"/>
        <v>1403343</v>
      </c>
      <c r="D21" s="203">
        <f>D22</f>
        <v>362743</v>
      </c>
      <c r="E21" s="201"/>
      <c r="F21" s="202">
        <f>F22</f>
        <v>757900</v>
      </c>
      <c r="G21" s="202">
        <f aca="true" t="shared" si="2" ref="G21:G26">SUM(D21:F21)</f>
        <v>1120643</v>
      </c>
      <c r="H21" s="203">
        <f>H22</f>
        <v>2000</v>
      </c>
      <c r="I21" s="201">
        <f>I22</f>
        <v>5500</v>
      </c>
      <c r="J21" s="202">
        <f>J22</f>
        <v>275200</v>
      </c>
      <c r="K21" s="204">
        <f>SUM(H21:J21)</f>
        <v>282700</v>
      </c>
      <c r="L21" s="205"/>
      <c r="M21" s="205"/>
      <c r="N21" s="205"/>
    </row>
    <row r="22" spans="1:11" s="206" customFormat="1" ht="11.25" customHeight="1">
      <c r="A22" s="2427"/>
      <c r="B22" s="2404" t="s">
        <v>359</v>
      </c>
      <c r="C22" s="2414">
        <f t="shared" si="0"/>
        <v>1403343</v>
      </c>
      <c r="D22" s="2415">
        <f>335000+27743</f>
        <v>362743</v>
      </c>
      <c r="E22" s="2416"/>
      <c r="F22" s="2417">
        <v>757900</v>
      </c>
      <c r="G22" s="2417">
        <f t="shared" si="2"/>
        <v>1120643</v>
      </c>
      <c r="H22" s="2415">
        <f>2402000-2400000</f>
        <v>2000</v>
      </c>
      <c r="I22" s="2416">
        <v>5500</v>
      </c>
      <c r="J22" s="2417">
        <v>275200</v>
      </c>
      <c r="K22" s="2418">
        <f>SUM(H22:J22)</f>
        <v>282700</v>
      </c>
    </row>
    <row r="23" spans="1:14" s="207" customFormat="1" ht="42" customHeight="1">
      <c r="A23" s="198" t="s">
        <v>260</v>
      </c>
      <c r="B23" s="1969" t="s">
        <v>364</v>
      </c>
      <c r="C23" s="199">
        <f t="shared" si="0"/>
        <v>133927</v>
      </c>
      <c r="D23" s="199"/>
      <c r="E23" s="209"/>
      <c r="F23" s="210">
        <f>F24</f>
        <v>133927</v>
      </c>
      <c r="G23" s="202">
        <f t="shared" si="2"/>
        <v>133927</v>
      </c>
      <c r="H23" s="199"/>
      <c r="I23" s="209"/>
      <c r="J23" s="210"/>
      <c r="K23" s="211"/>
      <c r="L23" s="205"/>
      <c r="M23" s="205"/>
      <c r="N23" s="205"/>
    </row>
    <row r="24" spans="1:11" s="206" customFormat="1" ht="14.25" customHeight="1">
      <c r="A24" s="2427"/>
      <c r="B24" s="2404" t="s">
        <v>359</v>
      </c>
      <c r="C24" s="2414">
        <f t="shared" si="0"/>
        <v>133927</v>
      </c>
      <c r="D24" s="2415"/>
      <c r="E24" s="2416"/>
      <c r="F24" s="2417">
        <f>17577+60640+55710</f>
        <v>133927</v>
      </c>
      <c r="G24" s="2417">
        <f t="shared" si="2"/>
        <v>133927</v>
      </c>
      <c r="H24" s="2415"/>
      <c r="I24" s="2416"/>
      <c r="J24" s="2417"/>
      <c r="K24" s="2418"/>
    </row>
    <row r="25" spans="1:14" s="207" customFormat="1" ht="24" customHeight="1">
      <c r="A25" s="198" t="s">
        <v>262</v>
      </c>
      <c r="B25" s="1969" t="s">
        <v>365</v>
      </c>
      <c r="C25" s="199">
        <f t="shared" si="0"/>
        <v>8028456</v>
      </c>
      <c r="D25" s="199"/>
      <c r="E25" s="209"/>
      <c r="F25" s="210">
        <f>SUM(F26:F27)</f>
        <v>10000</v>
      </c>
      <c r="G25" s="202">
        <f t="shared" si="2"/>
        <v>10000</v>
      </c>
      <c r="H25" s="199"/>
      <c r="I25" s="209">
        <f>I26</f>
        <v>51136</v>
      </c>
      <c r="J25" s="210">
        <f>SUM(J26:J27)</f>
        <v>7967320</v>
      </c>
      <c r="K25" s="204">
        <f aca="true" t="shared" si="3" ref="K25:K42">SUM(H25:J25)</f>
        <v>8018456</v>
      </c>
      <c r="L25" s="205"/>
      <c r="M25" s="205"/>
      <c r="N25" s="205"/>
    </row>
    <row r="26" spans="1:11" s="1978" customFormat="1" ht="12" customHeight="1">
      <c r="A26" s="1970"/>
      <c r="B26" s="1972" t="s">
        <v>359</v>
      </c>
      <c r="C26" s="1973">
        <f t="shared" si="0"/>
        <v>7978456</v>
      </c>
      <c r="D26" s="1974"/>
      <c r="E26" s="1975"/>
      <c r="F26" s="1976">
        <v>10000</v>
      </c>
      <c r="G26" s="1976">
        <f t="shared" si="2"/>
        <v>10000</v>
      </c>
      <c r="H26" s="1974"/>
      <c r="I26" s="1975">
        <v>51136</v>
      </c>
      <c r="J26" s="1976">
        <f>7320000+521951+75369</f>
        <v>7917320</v>
      </c>
      <c r="K26" s="1977">
        <f t="shared" si="3"/>
        <v>7968456</v>
      </c>
    </row>
    <row r="27" spans="1:11" s="1978" customFormat="1" ht="10.5" customHeight="1">
      <c r="A27" s="1971"/>
      <c r="B27" s="1979" t="s">
        <v>360</v>
      </c>
      <c r="C27" s="1980">
        <f t="shared" si="0"/>
        <v>50000</v>
      </c>
      <c r="D27" s="1981"/>
      <c r="E27" s="478"/>
      <c r="F27" s="1982"/>
      <c r="G27" s="445"/>
      <c r="H27" s="1981"/>
      <c r="I27" s="478"/>
      <c r="J27" s="1982">
        <v>50000</v>
      </c>
      <c r="K27" s="445">
        <f t="shared" si="3"/>
        <v>50000</v>
      </c>
    </row>
    <row r="28" spans="1:14" s="207" customFormat="1" ht="43.5" customHeight="1">
      <c r="A28" s="198" t="s">
        <v>264</v>
      </c>
      <c r="B28" s="1969" t="s">
        <v>366</v>
      </c>
      <c r="C28" s="199">
        <f t="shared" si="0"/>
        <v>169833575</v>
      </c>
      <c r="D28" s="203">
        <f>D29</f>
        <v>143674869</v>
      </c>
      <c r="E28" s="201"/>
      <c r="F28" s="202"/>
      <c r="G28" s="202">
        <f aca="true" t="shared" si="4" ref="G28:G34">SUM(D28:F28)</f>
        <v>143674869</v>
      </c>
      <c r="H28" s="203">
        <f>H29</f>
        <v>26158706</v>
      </c>
      <c r="I28" s="201"/>
      <c r="J28" s="202"/>
      <c r="K28" s="204">
        <f t="shared" si="3"/>
        <v>26158706</v>
      </c>
      <c r="L28" s="205"/>
      <c r="M28" s="205"/>
      <c r="N28" s="205"/>
    </row>
    <row r="29" spans="1:11" s="1978" customFormat="1" ht="12.75" customHeight="1">
      <c r="A29" s="1971"/>
      <c r="B29" s="1983" t="s">
        <v>359</v>
      </c>
      <c r="C29" s="1984">
        <f t="shared" si="0"/>
        <v>169833575</v>
      </c>
      <c r="D29" s="1985">
        <f>142866504-2715+811080</f>
        <v>143674869</v>
      </c>
      <c r="E29" s="1986"/>
      <c r="F29" s="1987"/>
      <c r="G29" s="1987">
        <f t="shared" si="4"/>
        <v>143674869</v>
      </c>
      <c r="H29" s="1985">
        <f>23759464+2400000-758</f>
        <v>26158706</v>
      </c>
      <c r="I29" s="1986"/>
      <c r="J29" s="1987"/>
      <c r="K29" s="1988">
        <f t="shared" si="3"/>
        <v>26158706</v>
      </c>
    </row>
    <row r="30" spans="1:14" s="207" customFormat="1" ht="15" customHeight="1">
      <c r="A30" s="198" t="s">
        <v>268</v>
      </c>
      <c r="B30" s="1969" t="s">
        <v>269</v>
      </c>
      <c r="C30" s="199">
        <f t="shared" si="0"/>
        <v>103224635</v>
      </c>
      <c r="D30" s="203">
        <f>D31</f>
        <v>42769708</v>
      </c>
      <c r="E30" s="201"/>
      <c r="F30" s="202"/>
      <c r="G30" s="202">
        <f t="shared" si="4"/>
        <v>42769708</v>
      </c>
      <c r="H30" s="203">
        <f>H31</f>
        <v>60454927</v>
      </c>
      <c r="I30" s="201"/>
      <c r="J30" s="202"/>
      <c r="K30" s="204">
        <f t="shared" si="3"/>
        <v>60454927</v>
      </c>
      <c r="L30" s="205"/>
      <c r="M30" s="205"/>
      <c r="N30" s="205"/>
    </row>
    <row r="31" spans="1:11" s="1978" customFormat="1" ht="12.75" customHeight="1">
      <c r="A31" s="1971"/>
      <c r="B31" s="1972" t="s">
        <v>359</v>
      </c>
      <c r="C31" s="1973">
        <f t="shared" si="0"/>
        <v>103224635</v>
      </c>
      <c r="D31" s="1974">
        <f>42349765+416743+3200</f>
        <v>42769708</v>
      </c>
      <c r="E31" s="1975"/>
      <c r="F31" s="1976"/>
      <c r="G31" s="1976">
        <f t="shared" si="4"/>
        <v>42769708</v>
      </c>
      <c r="H31" s="1974">
        <f>58908374+1543253+3300</f>
        <v>60454927</v>
      </c>
      <c r="I31" s="1975"/>
      <c r="J31" s="1976"/>
      <c r="K31" s="1977">
        <f t="shared" si="3"/>
        <v>60454927</v>
      </c>
    </row>
    <row r="32" spans="1:14" s="207" customFormat="1" ht="16.5" customHeight="1">
      <c r="A32" s="198" t="s">
        <v>270</v>
      </c>
      <c r="B32" s="1989" t="s">
        <v>271</v>
      </c>
      <c r="C32" s="212">
        <f t="shared" si="0"/>
        <v>1481823</v>
      </c>
      <c r="D32" s="213">
        <f>SUM(D33:D34)</f>
        <v>808643</v>
      </c>
      <c r="E32" s="214"/>
      <c r="F32" s="215"/>
      <c r="G32" s="215">
        <f t="shared" si="4"/>
        <v>808643</v>
      </c>
      <c r="H32" s="213">
        <f>SUM(H33:H34)</f>
        <v>673180</v>
      </c>
      <c r="I32" s="214"/>
      <c r="J32" s="215"/>
      <c r="K32" s="216">
        <f t="shared" si="3"/>
        <v>673180</v>
      </c>
      <c r="L32" s="205"/>
      <c r="M32" s="205"/>
      <c r="N32" s="205"/>
    </row>
    <row r="33" spans="1:11" s="1978" customFormat="1" ht="12" customHeight="1">
      <c r="A33" s="1970"/>
      <c r="B33" s="1972" t="s">
        <v>29</v>
      </c>
      <c r="C33" s="1973">
        <f t="shared" si="0"/>
        <v>1474318</v>
      </c>
      <c r="D33" s="1974">
        <f>855000+45765+13000-174000+4573+63000</f>
        <v>807338</v>
      </c>
      <c r="E33" s="1975"/>
      <c r="F33" s="1976"/>
      <c r="G33" s="1976">
        <f t="shared" si="4"/>
        <v>807338</v>
      </c>
      <c r="H33" s="1974">
        <f>485000+86380-6200+101800</f>
        <v>666980</v>
      </c>
      <c r="I33" s="1975"/>
      <c r="J33" s="1976"/>
      <c r="K33" s="1977">
        <f t="shared" si="3"/>
        <v>666980</v>
      </c>
    </row>
    <row r="34" spans="1:11" s="1978" customFormat="1" ht="12" customHeight="1">
      <c r="A34" s="1971"/>
      <c r="B34" s="1979" t="s">
        <v>25</v>
      </c>
      <c r="C34" s="1980">
        <f t="shared" si="0"/>
        <v>7505</v>
      </c>
      <c r="D34" s="1981">
        <v>1305</v>
      </c>
      <c r="E34" s="478"/>
      <c r="F34" s="1982"/>
      <c r="G34" s="1976">
        <f t="shared" si="4"/>
        <v>1305</v>
      </c>
      <c r="H34" s="1981">
        <v>6200</v>
      </c>
      <c r="I34" s="478"/>
      <c r="J34" s="1982"/>
      <c r="K34" s="445">
        <f t="shared" si="3"/>
        <v>6200</v>
      </c>
    </row>
    <row r="35" spans="1:14" s="218" customFormat="1" ht="18.75" customHeight="1">
      <c r="A35" s="198" t="s">
        <v>274</v>
      </c>
      <c r="B35" s="1969" t="s">
        <v>275</v>
      </c>
      <c r="C35" s="199">
        <f t="shared" si="0"/>
        <v>15000</v>
      </c>
      <c r="D35" s="203"/>
      <c r="E35" s="201"/>
      <c r="F35" s="202"/>
      <c r="G35" s="217"/>
      <c r="H35" s="203"/>
      <c r="I35" s="201"/>
      <c r="J35" s="202">
        <f>J36</f>
        <v>15000</v>
      </c>
      <c r="K35" s="204">
        <f t="shared" si="3"/>
        <v>15000</v>
      </c>
      <c r="L35" s="205"/>
      <c r="M35" s="205"/>
      <c r="N35" s="205"/>
    </row>
    <row r="36" spans="1:14" s="1978" customFormat="1" ht="15" customHeight="1">
      <c r="A36" s="1971"/>
      <c r="B36" s="1972" t="s">
        <v>359</v>
      </c>
      <c r="C36" s="1984">
        <f t="shared" si="0"/>
        <v>15000</v>
      </c>
      <c r="D36" s="1985"/>
      <c r="E36" s="1986"/>
      <c r="F36" s="1987"/>
      <c r="G36" s="1987"/>
      <c r="H36" s="1985"/>
      <c r="I36" s="1986"/>
      <c r="J36" s="1987">
        <v>15000</v>
      </c>
      <c r="K36" s="1988">
        <f t="shared" si="3"/>
        <v>15000</v>
      </c>
      <c r="L36" s="1990"/>
      <c r="M36" s="1990"/>
      <c r="N36" s="1990"/>
    </row>
    <row r="37" spans="1:14" s="218" customFormat="1" ht="18" customHeight="1">
      <c r="A37" s="198" t="s">
        <v>276</v>
      </c>
      <c r="B37" s="1969" t="s">
        <v>367</v>
      </c>
      <c r="C37" s="199">
        <f t="shared" si="0"/>
        <v>27742600</v>
      </c>
      <c r="D37" s="203">
        <f>D38</f>
        <v>4673900</v>
      </c>
      <c r="E37" s="219"/>
      <c r="F37" s="201">
        <f>F38</f>
        <v>22634000</v>
      </c>
      <c r="G37" s="202">
        <f aca="true" t="shared" si="5" ref="G37:G44">SUM(D37:F37)</f>
        <v>27307900</v>
      </c>
      <c r="H37" s="203">
        <f>H38</f>
        <v>418200</v>
      </c>
      <c r="I37" s="201"/>
      <c r="J37" s="202">
        <f>J38</f>
        <v>16500</v>
      </c>
      <c r="K37" s="220">
        <f t="shared" si="3"/>
        <v>434700</v>
      </c>
      <c r="L37" s="205"/>
      <c r="M37" s="205"/>
      <c r="N37" s="205"/>
    </row>
    <row r="38" spans="1:14" s="1978" customFormat="1" ht="15" customHeight="1">
      <c r="A38" s="1971"/>
      <c r="B38" s="1972" t="s">
        <v>359</v>
      </c>
      <c r="C38" s="1973">
        <f t="shared" si="0"/>
        <v>27742600</v>
      </c>
      <c r="D38" s="1974">
        <f>4614600+59300</f>
        <v>4673900</v>
      </c>
      <c r="E38" s="1975"/>
      <c r="F38" s="1976">
        <v>22634000</v>
      </c>
      <c r="G38" s="1976">
        <f t="shared" si="5"/>
        <v>27307900</v>
      </c>
      <c r="H38" s="1974">
        <f>410000+8200</f>
        <v>418200</v>
      </c>
      <c r="I38" s="1975"/>
      <c r="J38" s="1976">
        <v>16500</v>
      </c>
      <c r="K38" s="1977">
        <f t="shared" si="3"/>
        <v>434700</v>
      </c>
      <c r="L38" s="1990"/>
      <c r="M38" s="1990"/>
      <c r="N38" s="1990"/>
    </row>
    <row r="39" spans="1:14" s="218" customFormat="1" ht="25.5" customHeight="1">
      <c r="A39" s="198" t="s">
        <v>278</v>
      </c>
      <c r="B39" s="1969" t="s">
        <v>279</v>
      </c>
      <c r="C39" s="199">
        <f t="shared" si="0"/>
        <v>1686206</v>
      </c>
      <c r="D39" s="203">
        <f>D40</f>
        <v>857469</v>
      </c>
      <c r="E39" s="201"/>
      <c r="F39" s="202"/>
      <c r="G39" s="215">
        <f t="shared" si="5"/>
        <v>857469</v>
      </c>
      <c r="H39" s="203">
        <f>H40</f>
        <v>712737</v>
      </c>
      <c r="I39" s="201"/>
      <c r="J39" s="202">
        <f>J40</f>
        <v>116000</v>
      </c>
      <c r="K39" s="204">
        <f t="shared" si="3"/>
        <v>828737</v>
      </c>
      <c r="L39" s="205"/>
      <c r="M39" s="205"/>
      <c r="N39" s="205"/>
    </row>
    <row r="40" spans="1:14" s="1978" customFormat="1" ht="15" customHeight="1">
      <c r="A40" s="1971"/>
      <c r="B40" s="1972" t="s">
        <v>359</v>
      </c>
      <c r="C40" s="1973">
        <f t="shared" si="0"/>
        <v>1686206</v>
      </c>
      <c r="D40" s="1974">
        <f>943484-86015</f>
        <v>857469</v>
      </c>
      <c r="E40" s="1975"/>
      <c r="F40" s="1976"/>
      <c r="G40" s="1976">
        <f t="shared" si="5"/>
        <v>857469</v>
      </c>
      <c r="H40" s="1974">
        <f>480436+82852+149449</f>
        <v>712737</v>
      </c>
      <c r="I40" s="1975"/>
      <c r="J40" s="1976">
        <v>116000</v>
      </c>
      <c r="K40" s="1977">
        <f t="shared" si="3"/>
        <v>828737</v>
      </c>
      <c r="L40" s="1990"/>
      <c r="M40" s="1990"/>
      <c r="N40" s="1990"/>
    </row>
    <row r="41" spans="1:14" s="218" customFormat="1" ht="24" customHeight="1">
      <c r="A41" s="198" t="s">
        <v>280</v>
      </c>
      <c r="B41" s="1969" t="s">
        <v>368</v>
      </c>
      <c r="C41" s="199">
        <f t="shared" si="0"/>
        <v>2099515</v>
      </c>
      <c r="D41" s="221">
        <f>D42</f>
        <v>678355</v>
      </c>
      <c r="E41" s="222"/>
      <c r="F41" s="223"/>
      <c r="G41" s="202">
        <f t="shared" si="5"/>
        <v>678355</v>
      </c>
      <c r="H41" s="203">
        <f>H42</f>
        <v>1421160</v>
      </c>
      <c r="I41" s="201"/>
      <c r="J41" s="202"/>
      <c r="K41" s="204">
        <f t="shared" si="3"/>
        <v>1421160</v>
      </c>
      <c r="L41" s="205"/>
      <c r="M41" s="205"/>
      <c r="N41" s="205"/>
    </row>
    <row r="42" spans="1:14" s="1978" customFormat="1" ht="15" customHeight="1">
      <c r="A42" s="1971"/>
      <c r="B42" s="1972" t="s">
        <v>359</v>
      </c>
      <c r="C42" s="1973">
        <f t="shared" si="0"/>
        <v>2099515</v>
      </c>
      <c r="D42" s="1974">
        <f>104000+501827+72528</f>
        <v>678355</v>
      </c>
      <c r="E42" s="1975"/>
      <c r="F42" s="1976"/>
      <c r="G42" s="1976">
        <f t="shared" si="5"/>
        <v>678355</v>
      </c>
      <c r="H42" s="1974">
        <f>234200+2200+12260+1152490+20010</f>
        <v>1421160</v>
      </c>
      <c r="I42" s="1975"/>
      <c r="J42" s="1976"/>
      <c r="K42" s="1977">
        <f t="shared" si="3"/>
        <v>1421160</v>
      </c>
      <c r="L42" s="1990"/>
      <c r="M42" s="1990"/>
      <c r="N42" s="1990"/>
    </row>
    <row r="43" spans="1:14" s="218" customFormat="1" ht="24" customHeight="1">
      <c r="A43" s="198" t="s">
        <v>282</v>
      </c>
      <c r="B43" s="1969" t="s">
        <v>369</v>
      </c>
      <c r="C43" s="199">
        <f t="shared" si="0"/>
        <v>20000</v>
      </c>
      <c r="D43" s="203">
        <f>D44</f>
        <v>20000</v>
      </c>
      <c r="E43" s="201"/>
      <c r="F43" s="202"/>
      <c r="G43" s="202">
        <f t="shared" si="5"/>
        <v>20000</v>
      </c>
      <c r="H43" s="224"/>
      <c r="I43" s="222"/>
      <c r="J43" s="223"/>
      <c r="K43" s="211"/>
      <c r="L43" s="205"/>
      <c r="M43" s="205"/>
      <c r="N43" s="205"/>
    </row>
    <row r="44" spans="1:14" s="1978" customFormat="1" ht="15" customHeight="1">
      <c r="A44" s="1971"/>
      <c r="B44" s="1972" t="s">
        <v>359</v>
      </c>
      <c r="C44" s="1973">
        <f t="shared" si="0"/>
        <v>20000</v>
      </c>
      <c r="D44" s="1974">
        <v>20000</v>
      </c>
      <c r="E44" s="1975"/>
      <c r="F44" s="1976"/>
      <c r="G44" s="1976">
        <f t="shared" si="5"/>
        <v>20000</v>
      </c>
      <c r="H44" s="1974"/>
      <c r="I44" s="1975"/>
      <c r="J44" s="1976"/>
      <c r="K44" s="1977"/>
      <c r="L44" s="1990"/>
      <c r="M44" s="1990"/>
      <c r="N44" s="1990"/>
    </row>
    <row r="45" spans="1:14" s="218" customFormat="1" ht="23.25" customHeight="1">
      <c r="A45" s="198" t="s">
        <v>286</v>
      </c>
      <c r="B45" s="1969" t="s">
        <v>287</v>
      </c>
      <c r="C45" s="199">
        <f t="shared" si="0"/>
        <v>2113223</v>
      </c>
      <c r="D45" s="203">
        <f>D46</f>
        <v>76144</v>
      </c>
      <c r="E45" s="201">
        <f>E46</f>
        <v>5000</v>
      </c>
      <c r="F45" s="1991"/>
      <c r="G45" s="215">
        <f>SUM(D45:F45)</f>
        <v>81144</v>
      </c>
      <c r="H45" s="203">
        <f>SUM(H46:H47)</f>
        <v>1964079</v>
      </c>
      <c r="I45" s="201">
        <f>I46+I47</f>
        <v>68000</v>
      </c>
      <c r="J45" s="202"/>
      <c r="K45" s="204">
        <f>SUM(H45:J45)</f>
        <v>2032079</v>
      </c>
      <c r="L45" s="205"/>
      <c r="M45" s="205"/>
      <c r="N45" s="205"/>
    </row>
    <row r="46" spans="1:14" s="168" customFormat="1" ht="14.25" customHeight="1">
      <c r="A46" s="1845"/>
      <c r="B46" s="1992" t="s">
        <v>29</v>
      </c>
      <c r="C46" s="1973">
        <f>K46+G46</f>
        <v>621144</v>
      </c>
      <c r="D46" s="1993">
        <v>76144</v>
      </c>
      <c r="E46" s="669">
        <v>5000</v>
      </c>
      <c r="F46" s="1995"/>
      <c r="G46" s="1976">
        <f>SUM(D46:F46)</f>
        <v>81144</v>
      </c>
      <c r="H46" s="1993">
        <v>540000</v>
      </c>
      <c r="I46" s="669"/>
      <c r="J46" s="1996"/>
      <c r="K46" s="1977">
        <f>H46</f>
        <v>540000</v>
      </c>
      <c r="L46" s="1997"/>
      <c r="M46" s="1997"/>
      <c r="N46" s="1997"/>
    </row>
    <row r="47" spans="1:14" s="1978" customFormat="1" ht="13.5" customHeight="1">
      <c r="A47" s="1970"/>
      <c r="B47" s="1979" t="s">
        <v>25</v>
      </c>
      <c r="C47" s="1998">
        <f t="shared" si="0"/>
        <v>1492079</v>
      </c>
      <c r="D47" s="1981"/>
      <c r="E47" s="478"/>
      <c r="F47" s="1982"/>
      <c r="G47" s="1996"/>
      <c r="H47" s="1981">
        <v>1424079</v>
      </c>
      <c r="I47" s="478">
        <v>68000</v>
      </c>
      <c r="J47" s="1982"/>
      <c r="K47" s="384">
        <f>SUM(H47:J47)</f>
        <v>1492079</v>
      </c>
      <c r="L47" s="1990"/>
      <c r="M47" s="1990"/>
      <c r="N47" s="1990"/>
    </row>
    <row r="48" spans="1:14" s="229" customFormat="1" ht="16.5" customHeight="1">
      <c r="A48" s="198" t="s">
        <v>288</v>
      </c>
      <c r="B48" s="1969" t="s">
        <v>289</v>
      </c>
      <c r="C48" s="2430">
        <f>G48+K48</f>
        <v>1882000</v>
      </c>
      <c r="D48" s="2431">
        <f>SUM(D49:D50)</f>
        <v>1882000</v>
      </c>
      <c r="E48" s="2432"/>
      <c r="F48" s="2433"/>
      <c r="G48" s="226">
        <f>SUM(G49:G50)</f>
        <v>1882000</v>
      </c>
      <c r="H48" s="2431"/>
      <c r="I48" s="225"/>
      <c r="J48" s="226"/>
      <c r="K48" s="227"/>
      <c r="L48" s="228"/>
      <c r="M48" s="228"/>
      <c r="N48" s="228"/>
    </row>
    <row r="49" spans="1:14" s="1968" customFormat="1" ht="12" customHeight="1">
      <c r="A49" s="1845"/>
      <c r="B49" s="1992" t="s">
        <v>29</v>
      </c>
      <c r="C49" s="1998">
        <f>G49</f>
        <v>485000</v>
      </c>
      <c r="D49" s="1993">
        <f>550000-65000</f>
        <v>485000</v>
      </c>
      <c r="E49" s="1994"/>
      <c r="F49" s="1995"/>
      <c r="G49" s="1996">
        <f>SUM(D49:F49)</f>
        <v>485000</v>
      </c>
      <c r="H49" s="1993"/>
      <c r="I49" s="669"/>
      <c r="J49" s="1996"/>
      <c r="K49" s="384"/>
      <c r="L49" s="1999"/>
      <c r="M49" s="1999"/>
      <c r="N49" s="1999"/>
    </row>
    <row r="50" spans="1:14" s="1978" customFormat="1" ht="15" customHeight="1" thickBot="1">
      <c r="A50" s="2000"/>
      <c r="B50" s="1979" t="s">
        <v>360</v>
      </c>
      <c r="C50" s="1998">
        <f>G50+K50</f>
        <v>1397000</v>
      </c>
      <c r="D50" s="1981">
        <f>1332000+65000</f>
        <v>1397000</v>
      </c>
      <c r="E50" s="478"/>
      <c r="F50" s="1982"/>
      <c r="G50" s="1996">
        <f>SUM(D50:F50)</f>
        <v>1397000</v>
      </c>
      <c r="H50" s="1981"/>
      <c r="I50" s="478"/>
      <c r="J50" s="1982"/>
      <c r="K50" s="384"/>
      <c r="L50" s="1990"/>
      <c r="M50" s="1990"/>
      <c r="N50" s="1990"/>
    </row>
    <row r="51" spans="1:15" s="236" customFormat="1" ht="30" customHeight="1" thickBot="1" thickTop="1">
      <c r="A51" s="230"/>
      <c r="B51" s="231" t="s">
        <v>370</v>
      </c>
      <c r="C51" s="2334">
        <f>C10+C45+C43+C41+C39+C37+C35+C32+C30+C28+C25+C23+C21+C18+C15+C12+C48</f>
        <v>354136668.53999996</v>
      </c>
      <c r="D51" s="232">
        <f aca="true" t="shared" si="6" ref="D51:K51">D45+D43+D41+D39+D37+D35+D32+D30+D28+D25+D23+D21+D18+D15+D12+D48</f>
        <v>223921861</v>
      </c>
      <c r="E51" s="233">
        <f t="shared" si="6"/>
        <v>21600</v>
      </c>
      <c r="F51" s="2335">
        <f>F10+F45+F43+F41+F39+F37+F35+F32+F30+F28+F25+F23+F21+F18+F15+F12+F48</f>
        <v>23537962.54</v>
      </c>
      <c r="G51" s="2336">
        <f>G10+G45+G43+G41+G39+G37+G35+G32+G30+G28+G25+G23+G21+G18+G15+G12+G48</f>
        <v>247481423.54</v>
      </c>
      <c r="H51" s="232">
        <f t="shared" si="6"/>
        <v>97658989</v>
      </c>
      <c r="I51" s="233">
        <f>I45+I43+I41+I39+I37+I35+I32+I30+I28+I25+I23+I21+I18+I15+I12+I48</f>
        <v>124636</v>
      </c>
      <c r="J51" s="233">
        <f t="shared" si="6"/>
        <v>8871620</v>
      </c>
      <c r="K51" s="234">
        <f t="shared" si="6"/>
        <v>106655245</v>
      </c>
      <c r="L51" s="235"/>
      <c r="M51" s="235"/>
      <c r="N51" s="235"/>
      <c r="O51" s="235"/>
    </row>
    <row r="52" spans="1:11" s="206" customFormat="1" ht="15" customHeight="1" thickTop="1">
      <c r="A52" s="237"/>
      <c r="B52" s="238" t="s">
        <v>359</v>
      </c>
      <c r="C52" s="2337">
        <f>C11+C44+C42+C40+C38+C36+C33+C31+C29+C26+C24+C22+C19+C16+C13+C46+C49</f>
        <v>326182084.53999996</v>
      </c>
      <c r="D52" s="239">
        <f>D44+D42+D40+D38+D36+D33+D31+D29+D26+D24+D22+D19+D16+D13+D49+D46</f>
        <v>202523556</v>
      </c>
      <c r="E52" s="240">
        <f>E44+E42+E40+E38+E36+E33+E31+E29+E26+E24+E22+E19+E16+E13+E46</f>
        <v>21600</v>
      </c>
      <c r="F52" s="2338">
        <f>F11+F44+F42+F40+F38+F36+F33+F31+F29+F26+F24+F22+F19+F16+F13</f>
        <v>23537962.54</v>
      </c>
      <c r="G52" s="2339">
        <f>SUM(D52:F52)</f>
        <v>226083118.54</v>
      </c>
      <c r="H52" s="239">
        <f>H44+H42+H40+H38+H36+H33+H31+H29+H26+H24+H22+H19+H16+H13+H46</f>
        <v>91228710</v>
      </c>
      <c r="I52" s="240">
        <f>I44+I42+I40+I38+I36+I33+I31+I29+I26+I24+I22+I19+I16+I13</f>
        <v>56636</v>
      </c>
      <c r="J52" s="240">
        <f>J44+J42+J40+J38+J36+J33+J31+J29+J26+J24+J22+J19+J16+J13</f>
        <v>8813620</v>
      </c>
      <c r="K52" s="241">
        <f>SUM(H52:J52)</f>
        <v>100098966</v>
      </c>
    </row>
    <row r="53" spans="1:11" s="206" customFormat="1" ht="17.25" customHeight="1" thickBot="1">
      <c r="A53" s="242"/>
      <c r="B53" s="243" t="s">
        <v>360</v>
      </c>
      <c r="C53" s="244">
        <f>C47+C27+C20+C17+C14+C50+C34</f>
        <v>27954584</v>
      </c>
      <c r="D53" s="244">
        <f>D47+D27+D20+D17+D50+D34</f>
        <v>21398305</v>
      </c>
      <c r="E53" s="245"/>
      <c r="F53" s="245"/>
      <c r="G53" s="246">
        <f>SUM(D53:F53)</f>
        <v>21398305</v>
      </c>
      <c r="H53" s="244">
        <f>H47+H27+H20+H17+H14+H50+H34</f>
        <v>6430279</v>
      </c>
      <c r="I53" s="245">
        <f>I47</f>
        <v>68000</v>
      </c>
      <c r="J53" s="245">
        <f>J47+J27+J20+J17+J14+J50</f>
        <v>58000</v>
      </c>
      <c r="K53" s="246">
        <f>SUM(H53:J53)</f>
        <v>6556279</v>
      </c>
    </row>
    <row r="54" spans="1:7" ht="16.5" thickTop="1">
      <c r="A54" s="87" t="s">
        <v>542</v>
      </c>
      <c r="G54" s="228"/>
    </row>
    <row r="55" spans="1:7" ht="15.75">
      <c r="A55" s="87" t="s">
        <v>296</v>
      </c>
      <c r="G55" s="228"/>
    </row>
    <row r="56" spans="1:7" ht="15.75">
      <c r="A56" s="87" t="s">
        <v>811</v>
      </c>
      <c r="G56" s="228"/>
    </row>
    <row r="57" ht="15.75">
      <c r="G57" s="228"/>
    </row>
    <row r="58" ht="15.75">
      <c r="G58" s="228"/>
    </row>
    <row r="59" ht="15.75">
      <c r="G59" s="228"/>
    </row>
    <row r="60" ht="15.75">
      <c r="G60" s="228"/>
    </row>
    <row r="61" ht="15.75">
      <c r="G61" s="228"/>
    </row>
    <row r="62" ht="15.75">
      <c r="G62" s="228"/>
    </row>
    <row r="63" ht="15.75">
      <c r="G63" s="228"/>
    </row>
    <row r="64" ht="15.75">
      <c r="G64" s="228"/>
    </row>
    <row r="65" ht="15.75">
      <c r="G65" s="228"/>
    </row>
    <row r="66" ht="15.75">
      <c r="G66" s="228"/>
    </row>
    <row r="67" ht="15.75">
      <c r="G67" s="228"/>
    </row>
    <row r="68" ht="15.75">
      <c r="G68" s="228"/>
    </row>
    <row r="69" ht="15.75">
      <c r="G69" s="228"/>
    </row>
    <row r="70" ht="15.75">
      <c r="G70" s="228"/>
    </row>
    <row r="71" ht="15.75">
      <c r="G71" s="228"/>
    </row>
    <row r="72" ht="15.75">
      <c r="G72" s="228"/>
    </row>
    <row r="73" ht="15.75">
      <c r="G73" s="228"/>
    </row>
    <row r="74" ht="15.75">
      <c r="G74" s="228"/>
    </row>
    <row r="75" ht="15.75">
      <c r="G75" s="228"/>
    </row>
    <row r="76" ht="15.75">
      <c r="G76" s="228"/>
    </row>
    <row r="77" ht="15.75">
      <c r="G77" s="228"/>
    </row>
    <row r="78" ht="15.75">
      <c r="G78" s="228"/>
    </row>
    <row r="79" ht="15.75">
      <c r="G79" s="228"/>
    </row>
    <row r="80" ht="15.75">
      <c r="G80" s="228"/>
    </row>
    <row r="81" ht="15.75">
      <c r="G81" s="228"/>
    </row>
    <row r="82" ht="15.75">
      <c r="G82" s="228"/>
    </row>
    <row r="83" ht="15.75">
      <c r="G83" s="228"/>
    </row>
    <row r="84" ht="15.75">
      <c r="G84" s="228"/>
    </row>
    <row r="85" ht="15.75">
      <c r="G85" s="228"/>
    </row>
    <row r="86" ht="15.75">
      <c r="G86" s="228"/>
    </row>
    <row r="87" ht="15.75">
      <c r="G87" s="228"/>
    </row>
    <row r="88" ht="15.75">
      <c r="G88" s="228"/>
    </row>
    <row r="89" ht="15.75">
      <c r="G89" s="228"/>
    </row>
    <row r="90" ht="15.75">
      <c r="G90" s="228"/>
    </row>
    <row r="91" ht="15.75">
      <c r="G91" s="228"/>
    </row>
    <row r="92" ht="15.75">
      <c r="G92" s="228"/>
    </row>
    <row r="93" ht="15.75">
      <c r="G93" s="228"/>
    </row>
    <row r="94" ht="15.75">
      <c r="G94" s="228"/>
    </row>
    <row r="95" ht="15.75">
      <c r="G95" s="228"/>
    </row>
    <row r="96" ht="15.75">
      <c r="G96" s="228"/>
    </row>
    <row r="97" ht="15.75">
      <c r="G97" s="228"/>
    </row>
    <row r="98" ht="15.75">
      <c r="G98" s="228"/>
    </row>
    <row r="99" ht="15.75">
      <c r="G99" s="228"/>
    </row>
    <row r="100" ht="15.75">
      <c r="G100" s="228"/>
    </row>
    <row r="101" ht="15.75">
      <c r="G101" s="228"/>
    </row>
    <row r="102" ht="15.75">
      <c r="G102" s="228"/>
    </row>
    <row r="103" ht="15.75">
      <c r="G103" s="228"/>
    </row>
    <row r="104" ht="15.75">
      <c r="G104" s="228"/>
    </row>
    <row r="105" ht="15.75">
      <c r="G105" s="228"/>
    </row>
    <row r="106" ht="15.75">
      <c r="G106" s="228"/>
    </row>
    <row r="107" ht="15.75">
      <c r="G107" s="228"/>
    </row>
    <row r="108" ht="15.75">
      <c r="G108" s="228"/>
    </row>
    <row r="109" ht="15.75">
      <c r="G109" s="228"/>
    </row>
    <row r="110" ht="15.75">
      <c r="G110" s="228"/>
    </row>
    <row r="111" ht="15.75">
      <c r="G111" s="228"/>
    </row>
    <row r="112" ht="15.75">
      <c r="G112" s="228"/>
    </row>
    <row r="113" ht="15.75">
      <c r="G113" s="228"/>
    </row>
    <row r="114" ht="15.75">
      <c r="G114" s="228"/>
    </row>
    <row r="115" ht="15.75">
      <c r="G115" s="228"/>
    </row>
    <row r="116" ht="15.75">
      <c r="G116" s="228"/>
    </row>
    <row r="117" ht="15.75">
      <c r="G117" s="228"/>
    </row>
    <row r="118" ht="15.75">
      <c r="G118" s="228"/>
    </row>
    <row r="119" ht="15.75">
      <c r="G119" s="228"/>
    </row>
    <row r="120" ht="15.75">
      <c r="G120" s="228"/>
    </row>
    <row r="121" ht="15.75">
      <c r="G121" s="228"/>
    </row>
    <row r="122" ht="15.75">
      <c r="G122" s="228"/>
    </row>
    <row r="123" ht="15.75">
      <c r="G123" s="228"/>
    </row>
    <row r="124" ht="15.75">
      <c r="G124" s="228"/>
    </row>
    <row r="125" ht="15.75">
      <c r="G125" s="228"/>
    </row>
    <row r="126" ht="15.75">
      <c r="G126" s="228"/>
    </row>
    <row r="127" ht="15.75">
      <c r="G127" s="228"/>
    </row>
    <row r="128" ht="15.75">
      <c r="G128" s="228"/>
    </row>
    <row r="129" ht="15.75">
      <c r="G129" s="228"/>
    </row>
    <row r="130" ht="15.75">
      <c r="G130" s="228"/>
    </row>
    <row r="131" ht="15.75">
      <c r="G131" s="228"/>
    </row>
    <row r="132" ht="15.75">
      <c r="G132" s="228"/>
    </row>
    <row r="133" ht="15.75">
      <c r="G133" s="228"/>
    </row>
    <row r="134" ht="15.75">
      <c r="G134" s="228"/>
    </row>
    <row r="135" ht="15.75">
      <c r="G135" s="228"/>
    </row>
    <row r="136" ht="15.75">
      <c r="G136" s="228"/>
    </row>
    <row r="137" ht="15.75">
      <c r="G137" s="228"/>
    </row>
    <row r="138" ht="15.75">
      <c r="G138" s="228"/>
    </row>
    <row r="139" ht="15.75">
      <c r="G139" s="228"/>
    </row>
    <row r="140" ht="15.75">
      <c r="G140" s="228"/>
    </row>
    <row r="141" ht="15.75">
      <c r="G141" s="228"/>
    </row>
    <row r="142" ht="15.75">
      <c r="G142" s="228"/>
    </row>
    <row r="143" ht="15.75">
      <c r="G143" s="228"/>
    </row>
    <row r="144" ht="15.75">
      <c r="G144" s="228"/>
    </row>
    <row r="145" ht="15.75">
      <c r="G145" s="228"/>
    </row>
    <row r="146" ht="15.75">
      <c r="G146" s="228"/>
    </row>
    <row r="147" ht="15.75">
      <c r="G147" s="228"/>
    </row>
    <row r="148" ht="15.75">
      <c r="G148" s="228"/>
    </row>
    <row r="149" ht="15.75">
      <c r="G149" s="228"/>
    </row>
    <row r="150" ht="15.75">
      <c r="G150" s="228"/>
    </row>
    <row r="151" ht="15.75">
      <c r="G151" s="228"/>
    </row>
    <row r="152" ht="15.75">
      <c r="G152" s="228"/>
    </row>
    <row r="153" ht="15.75">
      <c r="G153" s="228"/>
    </row>
    <row r="154" ht="15.75">
      <c r="G154" s="228"/>
    </row>
    <row r="155" ht="15.75">
      <c r="G155" s="228"/>
    </row>
    <row r="156" ht="15.75">
      <c r="G156" s="228"/>
    </row>
    <row r="157" ht="15.75">
      <c r="G157" s="228"/>
    </row>
    <row r="158" ht="15.75">
      <c r="G158" s="228"/>
    </row>
    <row r="159" ht="15.75">
      <c r="G159" s="228"/>
    </row>
    <row r="160" ht="15.75">
      <c r="G160" s="228"/>
    </row>
    <row r="161" ht="15.75">
      <c r="G161" s="228"/>
    </row>
    <row r="162" ht="15.75">
      <c r="G162" s="228"/>
    </row>
    <row r="163" ht="15.75">
      <c r="G163" s="228"/>
    </row>
    <row r="164" ht="15.75">
      <c r="G164" s="228"/>
    </row>
    <row r="165" ht="15.75">
      <c r="G165" s="228"/>
    </row>
    <row r="166" ht="15.75">
      <c r="G166" s="228"/>
    </row>
    <row r="167" ht="15.75">
      <c r="G167" s="228"/>
    </row>
    <row r="168" ht="15.75">
      <c r="G168" s="228"/>
    </row>
    <row r="169" ht="15.75">
      <c r="G169" s="228"/>
    </row>
    <row r="170" ht="15.75">
      <c r="G170" s="228"/>
    </row>
    <row r="171" ht="15.75">
      <c r="G171" s="228"/>
    </row>
    <row r="172" ht="15.75">
      <c r="G172" s="228"/>
    </row>
    <row r="173" ht="15.75">
      <c r="G173" s="228"/>
    </row>
    <row r="174" ht="15.75">
      <c r="G174" s="228"/>
    </row>
    <row r="175" ht="15.75">
      <c r="G175" s="228"/>
    </row>
    <row r="176" ht="15.75">
      <c r="G176" s="228"/>
    </row>
    <row r="177" ht="15.75">
      <c r="G177" s="228"/>
    </row>
    <row r="178" ht="15.75">
      <c r="G178" s="228"/>
    </row>
    <row r="179" ht="15.75">
      <c r="G179" s="228"/>
    </row>
    <row r="180" ht="15.75">
      <c r="G180" s="228"/>
    </row>
    <row r="181" ht="15.75">
      <c r="G181" s="228"/>
    </row>
    <row r="182" ht="15.75">
      <c r="G182" s="228"/>
    </row>
    <row r="183" ht="15.75">
      <c r="G183" s="228"/>
    </row>
    <row r="184" ht="15.75">
      <c r="G184" s="228"/>
    </row>
    <row r="185" ht="15.75">
      <c r="G185" s="228"/>
    </row>
    <row r="186" ht="15.75">
      <c r="G186" s="228"/>
    </row>
    <row r="187" ht="15.75">
      <c r="G187" s="228"/>
    </row>
    <row r="188" ht="15.75">
      <c r="G188" s="228"/>
    </row>
    <row r="189" ht="15.75">
      <c r="G189" s="228"/>
    </row>
    <row r="190" ht="15.75">
      <c r="G190" s="228"/>
    </row>
    <row r="191" ht="15.75">
      <c r="G191" s="228"/>
    </row>
    <row r="192" ht="15.75">
      <c r="G192" s="228"/>
    </row>
    <row r="193" ht="15.75">
      <c r="G193" s="228"/>
    </row>
    <row r="194" ht="15.75">
      <c r="G194" s="228"/>
    </row>
    <row r="195" ht="15.75">
      <c r="G195" s="228"/>
    </row>
    <row r="196" ht="15.75">
      <c r="G196" s="228"/>
    </row>
    <row r="197" ht="15.75">
      <c r="G197" s="228"/>
    </row>
    <row r="198" ht="15.75">
      <c r="G198" s="228"/>
    </row>
    <row r="199" ht="15.75">
      <c r="G199" s="228"/>
    </row>
    <row r="200" ht="15.75">
      <c r="G200" s="228"/>
    </row>
    <row r="201" ht="15.75">
      <c r="G201" s="228"/>
    </row>
    <row r="202" ht="15.75">
      <c r="G202" s="228"/>
    </row>
    <row r="203" ht="15.75">
      <c r="G203" s="228"/>
    </row>
    <row r="204" ht="15.75">
      <c r="G204" s="228"/>
    </row>
    <row r="205" ht="15.75">
      <c r="G205" s="228"/>
    </row>
    <row r="206" ht="15.75">
      <c r="G206" s="228"/>
    </row>
    <row r="207" ht="15.75">
      <c r="G207" s="228"/>
    </row>
    <row r="208" ht="15.75">
      <c r="G208" s="228"/>
    </row>
    <row r="209" ht="15.75">
      <c r="G209" s="228"/>
    </row>
    <row r="210" ht="15.75">
      <c r="G210" s="228"/>
    </row>
    <row r="211" ht="15.75">
      <c r="G211" s="228"/>
    </row>
    <row r="212" ht="15.75">
      <c r="G212" s="228"/>
    </row>
    <row r="213" ht="15.75">
      <c r="G213" s="228"/>
    </row>
    <row r="214" ht="15.75">
      <c r="G214" s="228"/>
    </row>
    <row r="215" ht="15.75">
      <c r="G215" s="228"/>
    </row>
    <row r="216" ht="15.75">
      <c r="G216" s="228"/>
    </row>
    <row r="217" ht="15.75">
      <c r="G217" s="228"/>
    </row>
    <row r="218" ht="15.75">
      <c r="G218" s="228"/>
    </row>
    <row r="219" ht="15.75">
      <c r="G219" s="228"/>
    </row>
    <row r="220" ht="15.75">
      <c r="G220" s="228"/>
    </row>
    <row r="221" ht="15.75">
      <c r="G221" s="228"/>
    </row>
    <row r="222" ht="15.75">
      <c r="G222" s="228"/>
    </row>
    <row r="223" ht="15.75">
      <c r="G223" s="228"/>
    </row>
    <row r="224" ht="15.75">
      <c r="G224" s="228"/>
    </row>
    <row r="225" ht="15.75">
      <c r="G225" s="228"/>
    </row>
    <row r="226" ht="15.75">
      <c r="G226" s="228"/>
    </row>
    <row r="227" ht="15.75">
      <c r="G227" s="228"/>
    </row>
    <row r="228" ht="15.75">
      <c r="G228" s="228"/>
    </row>
    <row r="229" ht="15.75">
      <c r="G229" s="228"/>
    </row>
    <row r="230" ht="15.75">
      <c r="G230" s="228"/>
    </row>
    <row r="231" ht="15.75">
      <c r="G231" s="228"/>
    </row>
    <row r="232" ht="15.75">
      <c r="G232" s="228"/>
    </row>
    <row r="233" ht="15.75">
      <c r="G233" s="228"/>
    </row>
    <row r="234" ht="15.75">
      <c r="G234" s="228"/>
    </row>
    <row r="235" ht="15.75">
      <c r="G235" s="228"/>
    </row>
    <row r="236" ht="15.75">
      <c r="G236" s="228"/>
    </row>
    <row r="237" ht="15.75">
      <c r="G237" s="228"/>
    </row>
    <row r="238" ht="15.75">
      <c r="G238" s="228"/>
    </row>
    <row r="239" ht="15.75">
      <c r="G239" s="228"/>
    </row>
    <row r="240" ht="15.75">
      <c r="G240" s="228"/>
    </row>
    <row r="241" ht="15.75">
      <c r="G241" s="228"/>
    </row>
    <row r="242" ht="15.75">
      <c r="G242" s="228"/>
    </row>
    <row r="243" ht="15.75">
      <c r="G243" s="228"/>
    </row>
    <row r="244" ht="15.75">
      <c r="G244" s="228"/>
    </row>
    <row r="245" ht="15.75">
      <c r="G245" s="228"/>
    </row>
    <row r="246" ht="15.75">
      <c r="G246" s="228"/>
    </row>
    <row r="247" ht="15.75">
      <c r="G247" s="228"/>
    </row>
    <row r="248" ht="15.75">
      <c r="G248" s="228"/>
    </row>
    <row r="249" ht="15.75">
      <c r="G249" s="228"/>
    </row>
    <row r="250" ht="15.75">
      <c r="G250" s="228"/>
    </row>
    <row r="251" ht="15.75">
      <c r="G251" s="228"/>
    </row>
    <row r="252" ht="15.75">
      <c r="G252" s="228"/>
    </row>
    <row r="253" ht="15.75">
      <c r="G253" s="228"/>
    </row>
    <row r="254" ht="15.75">
      <c r="G254" s="228"/>
    </row>
    <row r="255" ht="15.75">
      <c r="G255" s="228"/>
    </row>
    <row r="256" ht="15.75">
      <c r="G256" s="228"/>
    </row>
    <row r="257" ht="15.75">
      <c r="G257" s="228"/>
    </row>
    <row r="258" ht="15.75">
      <c r="G258" s="228"/>
    </row>
    <row r="259" ht="15.75">
      <c r="G259" s="228"/>
    </row>
    <row r="260" ht="15.75">
      <c r="G260" s="228"/>
    </row>
    <row r="261" ht="15.75">
      <c r="G261" s="228"/>
    </row>
    <row r="262" ht="15.75">
      <c r="G262" s="228"/>
    </row>
    <row r="263" ht="15.75">
      <c r="G263" s="228"/>
    </row>
    <row r="264" ht="15.75">
      <c r="G264" s="228"/>
    </row>
    <row r="265" ht="15.75">
      <c r="G265" s="228"/>
    </row>
    <row r="266" ht="15.75">
      <c r="G266" s="228"/>
    </row>
    <row r="267" ht="15.75">
      <c r="G267" s="228"/>
    </row>
    <row r="268" ht="15.75">
      <c r="G268" s="228"/>
    </row>
    <row r="269" ht="15.75">
      <c r="G269" s="228"/>
    </row>
    <row r="270" ht="15.75">
      <c r="G270" s="228"/>
    </row>
    <row r="271" ht="15.75">
      <c r="G271" s="228"/>
    </row>
    <row r="272" ht="15.75">
      <c r="G272" s="228"/>
    </row>
    <row r="273" ht="15.75">
      <c r="G273" s="228"/>
    </row>
    <row r="274" ht="15.75">
      <c r="G274" s="228"/>
    </row>
    <row r="275" ht="15.75">
      <c r="G275" s="228"/>
    </row>
    <row r="276" ht="15.75">
      <c r="G276" s="228"/>
    </row>
    <row r="277" ht="15.75">
      <c r="G277" s="228"/>
    </row>
    <row r="278" ht="15.75">
      <c r="G278" s="228"/>
    </row>
    <row r="279" ht="15.75">
      <c r="G279" s="228"/>
    </row>
    <row r="280" ht="15.75">
      <c r="G280" s="228"/>
    </row>
    <row r="281" ht="15.75">
      <c r="G281" s="228"/>
    </row>
    <row r="282" ht="15.75">
      <c r="G282" s="228"/>
    </row>
    <row r="283" ht="15.75">
      <c r="G283" s="228"/>
    </row>
    <row r="284" ht="15.75">
      <c r="G284" s="228"/>
    </row>
    <row r="285" ht="15.75">
      <c r="G285" s="228"/>
    </row>
    <row r="286" ht="15.75">
      <c r="G286" s="228"/>
    </row>
    <row r="287" ht="15.75">
      <c r="G287" s="228"/>
    </row>
    <row r="288" ht="15.75">
      <c r="G288" s="228"/>
    </row>
    <row r="289" ht="15.75">
      <c r="G289" s="228"/>
    </row>
    <row r="290" ht="15.75">
      <c r="G290" s="228"/>
    </row>
    <row r="291" ht="15.75">
      <c r="G291" s="228"/>
    </row>
  </sheetData>
  <printOptions horizontalCentered="1"/>
  <pageMargins left="0.2" right="0.22" top="0.44" bottom="0.26" header="0.27" footer="0.19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66"/>
  <sheetViews>
    <sheetView tabSelected="1" zoomScale="115" zoomScaleNormal="115" workbookViewId="0" topLeftCell="A947">
      <selection activeCell="F672" sqref="F672"/>
    </sheetView>
  </sheetViews>
  <sheetFormatPr defaultColWidth="9.00390625" defaultRowHeight="12.75"/>
  <cols>
    <col min="1" max="1" width="5.75390625" style="247" customWidth="1"/>
    <col min="2" max="2" width="19.25390625" style="248" customWidth="1"/>
    <col min="3" max="3" width="13.75390625" style="249" customWidth="1"/>
    <col min="4" max="4" width="11.25390625" style="249" customWidth="1"/>
    <col min="5" max="5" width="13.25390625" style="249" customWidth="1"/>
    <col min="6" max="6" width="10.875" style="249" customWidth="1"/>
    <col min="7" max="7" width="12.625" style="4" customWidth="1"/>
    <col min="8" max="8" width="10.875" style="249" customWidth="1"/>
    <col min="9" max="9" width="11.75390625" style="4" customWidth="1"/>
    <col min="10" max="10" width="11.625" style="250" bestFit="1" customWidth="1"/>
    <col min="11" max="16384" width="9.125" style="250" customWidth="1"/>
  </cols>
  <sheetData>
    <row r="1" ht="12.75">
      <c r="H1" s="94" t="s">
        <v>371</v>
      </c>
    </row>
    <row r="2" ht="12.75">
      <c r="H2" s="6" t="s">
        <v>298</v>
      </c>
    </row>
    <row r="3" ht="12.75">
      <c r="H3" s="4" t="s">
        <v>21</v>
      </c>
    </row>
    <row r="4" ht="12.75">
      <c r="H4" s="6"/>
    </row>
    <row r="5" ht="8.25" customHeight="1">
      <c r="H5" s="4"/>
    </row>
    <row r="6" spans="1:9" s="255" customFormat="1" ht="18" customHeight="1">
      <c r="A6" s="251" t="s">
        <v>372</v>
      </c>
      <c r="B6" s="252"/>
      <c r="C6" s="253"/>
      <c r="D6" s="253"/>
      <c r="E6" s="253"/>
      <c r="F6" s="253"/>
      <c r="G6" s="254"/>
      <c r="H6" s="253"/>
      <c r="I6" s="254"/>
    </row>
    <row r="7" spans="1:9" s="255" customFormat="1" ht="15.75">
      <c r="A7" s="256" t="s">
        <v>373</v>
      </c>
      <c r="B7" s="252"/>
      <c r="C7" s="253"/>
      <c r="D7" s="253"/>
      <c r="E7" s="253"/>
      <c r="F7" s="253"/>
      <c r="G7" s="254"/>
      <c r="H7" s="253"/>
      <c r="I7" s="254"/>
    </row>
    <row r="8" spans="1:9" ht="13.5" thickBot="1">
      <c r="A8" s="257" t="s">
        <v>810</v>
      </c>
      <c r="B8" s="258"/>
      <c r="C8" s="258"/>
      <c r="D8" s="258"/>
      <c r="E8" s="258"/>
      <c r="F8" s="258"/>
      <c r="G8" s="259"/>
      <c r="H8" s="258"/>
      <c r="I8" s="259" t="s">
        <v>236</v>
      </c>
    </row>
    <row r="9" spans="1:9" ht="19.5" customHeight="1" thickTop="1">
      <c r="A9" s="260"/>
      <c r="B9" s="261"/>
      <c r="C9" s="262" t="s">
        <v>241</v>
      </c>
      <c r="D9" s="263"/>
      <c r="E9" s="264"/>
      <c r="F9" s="265" t="s">
        <v>301</v>
      </c>
      <c r="G9" s="266"/>
      <c r="H9" s="265" t="s">
        <v>302</v>
      </c>
      <c r="I9" s="267"/>
    </row>
    <row r="10" spans="1:9" ht="68.25" customHeight="1" thickBot="1">
      <c r="A10" s="268" t="s">
        <v>374</v>
      </c>
      <c r="B10" s="269" t="s">
        <v>375</v>
      </c>
      <c r="C10" s="270" t="s">
        <v>376</v>
      </c>
      <c r="D10" s="271" t="s">
        <v>242</v>
      </c>
      <c r="E10" s="272" t="s">
        <v>377</v>
      </c>
      <c r="F10" s="273" t="s">
        <v>242</v>
      </c>
      <c r="G10" s="272" t="s">
        <v>377</v>
      </c>
      <c r="H10" s="273" t="s">
        <v>242</v>
      </c>
      <c r="I10" s="274" t="s">
        <v>377</v>
      </c>
    </row>
    <row r="11" spans="1:9" s="283" customFormat="1" ht="11.25" customHeight="1" thickBot="1" thickTop="1">
      <c r="A11" s="275">
        <v>1</v>
      </c>
      <c r="B11" s="276">
        <v>2</v>
      </c>
      <c r="C11" s="277">
        <v>3</v>
      </c>
      <c r="D11" s="278">
        <v>4</v>
      </c>
      <c r="E11" s="279">
        <v>5</v>
      </c>
      <c r="F11" s="280">
        <v>6</v>
      </c>
      <c r="G11" s="281">
        <v>7</v>
      </c>
      <c r="H11" s="280">
        <v>8</v>
      </c>
      <c r="I11" s="282">
        <v>9</v>
      </c>
    </row>
    <row r="12" spans="1:9" s="290" customFormat="1" ht="27" thickBot="1" thickTop="1">
      <c r="A12" s="284" t="s">
        <v>247</v>
      </c>
      <c r="B12" s="285" t="s">
        <v>248</v>
      </c>
      <c r="C12" s="2046">
        <f>C15+C22</f>
        <v>5135.54</v>
      </c>
      <c r="D12" s="2047">
        <f>D15</f>
        <v>3000</v>
      </c>
      <c r="E12" s="2045">
        <f>E15+E22</f>
        <v>2135.54</v>
      </c>
      <c r="F12" s="289">
        <f>F15</f>
        <v>3000</v>
      </c>
      <c r="G12" s="2045">
        <f>G22</f>
        <v>2135.54</v>
      </c>
      <c r="H12" s="289"/>
      <c r="I12" s="234"/>
    </row>
    <row r="13" spans="1:9" ht="12" customHeight="1" hidden="1">
      <c r="A13" s="291"/>
      <c r="B13" s="292" t="s">
        <v>378</v>
      </c>
      <c r="C13" s="293">
        <f>SUM(C14)</f>
        <v>0</v>
      </c>
      <c r="D13" s="294"/>
      <c r="E13" s="295">
        <f>G13+I13</f>
        <v>0</v>
      </c>
      <c r="F13" s="296"/>
      <c r="G13" s="297"/>
      <c r="H13" s="296"/>
      <c r="I13" s="298">
        <f>SUM(I14)</f>
        <v>0</v>
      </c>
    </row>
    <row r="14" spans="1:9" s="307" customFormat="1" ht="11.25" customHeight="1" hidden="1">
      <c r="A14" s="299"/>
      <c r="B14" s="300" t="s">
        <v>379</v>
      </c>
      <c r="C14" s="301">
        <f>SUM(D14:E14)</f>
        <v>0</v>
      </c>
      <c r="D14" s="302"/>
      <c r="E14" s="303">
        <f>G14+I14</f>
        <v>0</v>
      </c>
      <c r="F14" s="304"/>
      <c r="G14" s="305"/>
      <c r="H14" s="304"/>
      <c r="I14" s="306"/>
    </row>
    <row r="15" spans="1:9" s="315" customFormat="1" ht="15" customHeight="1" thickTop="1">
      <c r="A15" s="308" t="s">
        <v>380</v>
      </c>
      <c r="B15" s="309" t="s">
        <v>381</v>
      </c>
      <c r="C15" s="310">
        <f>C16</f>
        <v>3000</v>
      </c>
      <c r="D15" s="311">
        <f>D16</f>
        <v>3000</v>
      </c>
      <c r="E15" s="312"/>
      <c r="F15" s="313">
        <f>F16</f>
        <v>3000</v>
      </c>
      <c r="G15" s="312"/>
      <c r="H15" s="313"/>
      <c r="I15" s="314"/>
    </row>
    <row r="16" spans="1:9" s="319" customFormat="1" ht="12.75">
      <c r="A16" s="291"/>
      <c r="B16" s="316" t="s">
        <v>382</v>
      </c>
      <c r="C16" s="293">
        <f>SUM(C17)</f>
        <v>3000</v>
      </c>
      <c r="D16" s="294">
        <f>SUM(D17)</f>
        <v>3000</v>
      </c>
      <c r="E16" s="295"/>
      <c r="F16" s="296">
        <f>SUM(F17)</f>
        <v>3000</v>
      </c>
      <c r="G16" s="297"/>
      <c r="H16" s="317"/>
      <c r="I16" s="318"/>
    </row>
    <row r="17" spans="1:9" s="307" customFormat="1" ht="12.75">
      <c r="A17" s="299"/>
      <c r="B17" s="320" t="s">
        <v>383</v>
      </c>
      <c r="C17" s="301">
        <f>D17+E17</f>
        <v>3000</v>
      </c>
      <c r="D17" s="302">
        <f>F17+H17</f>
        <v>3000</v>
      </c>
      <c r="E17" s="303"/>
      <c r="F17" s="321">
        <v>3000</v>
      </c>
      <c r="G17" s="305"/>
      <c r="H17" s="304"/>
      <c r="I17" s="306"/>
    </row>
    <row r="18" spans="1:9" s="290" customFormat="1" ht="14.25" hidden="1" thickBot="1" thickTop="1">
      <c r="A18" s="284" t="s">
        <v>384</v>
      </c>
      <c r="B18" s="285" t="s">
        <v>385</v>
      </c>
      <c r="C18" s="286">
        <f aca="true" t="shared" si="0" ref="C18:H20">SUM(C19)</f>
        <v>0</v>
      </c>
      <c r="D18" s="287">
        <f t="shared" si="0"/>
        <v>0</v>
      </c>
      <c r="E18" s="288"/>
      <c r="F18" s="289"/>
      <c r="G18" s="288"/>
      <c r="H18" s="289">
        <f t="shared" si="0"/>
        <v>0</v>
      </c>
      <c r="I18" s="234"/>
    </row>
    <row r="19" spans="1:9" s="315" customFormat="1" ht="10.5" customHeight="1" hidden="1">
      <c r="A19" s="308" t="s">
        <v>386</v>
      </c>
      <c r="B19" s="309" t="s">
        <v>387</v>
      </c>
      <c r="C19" s="322">
        <f t="shared" si="0"/>
        <v>0</v>
      </c>
      <c r="D19" s="225">
        <f t="shared" si="0"/>
        <v>0</v>
      </c>
      <c r="E19" s="323"/>
      <c r="F19" s="324"/>
      <c r="G19" s="323"/>
      <c r="H19" s="324">
        <f t="shared" si="0"/>
        <v>0</v>
      </c>
      <c r="I19" s="227"/>
    </row>
    <row r="20" spans="1:9" s="319" customFormat="1" ht="13.5" customHeight="1" hidden="1">
      <c r="A20" s="291"/>
      <c r="B20" s="316" t="s">
        <v>382</v>
      </c>
      <c r="C20" s="293">
        <f t="shared" si="0"/>
        <v>0</v>
      </c>
      <c r="D20" s="294">
        <f t="shared" si="0"/>
        <v>0</v>
      </c>
      <c r="E20" s="295"/>
      <c r="F20" s="296"/>
      <c r="G20" s="297"/>
      <c r="H20" s="296">
        <f t="shared" si="0"/>
        <v>0</v>
      </c>
      <c r="I20" s="298"/>
    </row>
    <row r="21" spans="1:9" s="326" customFormat="1" ht="14.25" customHeight="1" hidden="1">
      <c r="A21" s="299"/>
      <c r="B21" s="320" t="s">
        <v>383</v>
      </c>
      <c r="C21" s="301">
        <f>SUM(D21:E21)</f>
        <v>0</v>
      </c>
      <c r="D21" s="302">
        <f>F21+H21</f>
        <v>0</v>
      </c>
      <c r="E21" s="303"/>
      <c r="F21" s="321"/>
      <c r="G21" s="303"/>
      <c r="H21" s="321"/>
      <c r="I21" s="325"/>
    </row>
    <row r="22" spans="1:9" s="333" customFormat="1" ht="15" customHeight="1">
      <c r="A22" s="308" t="s">
        <v>388</v>
      </c>
      <c r="B22" s="327" t="s">
        <v>389</v>
      </c>
      <c r="C22" s="328">
        <f>C23</f>
        <v>2135.54</v>
      </c>
      <c r="D22" s="329"/>
      <c r="E22" s="330">
        <f>E23</f>
        <v>2135.54</v>
      </c>
      <c r="F22" s="331"/>
      <c r="G22" s="330">
        <f>G24</f>
        <v>2135.54</v>
      </c>
      <c r="H22" s="332"/>
      <c r="I22" s="204"/>
    </row>
    <row r="23" spans="1:9" s="333" customFormat="1" ht="14.25" customHeight="1">
      <c r="A23" s="334"/>
      <c r="B23" s="335" t="s">
        <v>382</v>
      </c>
      <c r="C23" s="336">
        <f>SUM(C24)</f>
        <v>2135.54</v>
      </c>
      <c r="D23" s="337"/>
      <c r="E23" s="338">
        <f>E24</f>
        <v>2135.54</v>
      </c>
      <c r="F23" s="339"/>
      <c r="G23" s="338">
        <f>G24</f>
        <v>2135.54</v>
      </c>
      <c r="H23" s="340"/>
      <c r="I23" s="341"/>
    </row>
    <row r="24" spans="1:9" s="326" customFormat="1" ht="13.5" customHeight="1" thickBot="1">
      <c r="A24" s="299"/>
      <c r="B24" s="320" t="s">
        <v>383</v>
      </c>
      <c r="C24" s="301">
        <f>D24+E24</f>
        <v>2135.54</v>
      </c>
      <c r="D24" s="342"/>
      <c r="E24" s="343">
        <f>G24+I24</f>
        <v>2135.54</v>
      </c>
      <c r="F24" s="344"/>
      <c r="G24" s="343">
        <v>2135.54</v>
      </c>
      <c r="H24" s="321"/>
      <c r="I24" s="325"/>
    </row>
    <row r="25" spans="1:9" s="290" customFormat="1" ht="17.25" customHeight="1" thickBot="1" thickTop="1">
      <c r="A25" s="345">
        <v>500</v>
      </c>
      <c r="B25" s="285" t="s">
        <v>249</v>
      </c>
      <c r="C25" s="286">
        <f>SUM(C26)</f>
        <v>194000</v>
      </c>
      <c r="D25" s="287">
        <f>SUM(D26)</f>
        <v>194000</v>
      </c>
      <c r="E25" s="288"/>
      <c r="F25" s="289">
        <f>SUM(F26)</f>
        <v>194000</v>
      </c>
      <c r="G25" s="288"/>
      <c r="H25" s="289"/>
      <c r="I25" s="234"/>
    </row>
    <row r="26" spans="1:9" s="315" customFormat="1" ht="15.75" customHeight="1" thickTop="1">
      <c r="A26" s="346">
        <v>50095</v>
      </c>
      <c r="B26" s="309" t="s">
        <v>389</v>
      </c>
      <c r="C26" s="322">
        <f>C27+C30</f>
        <v>194000</v>
      </c>
      <c r="D26" s="225">
        <f>D27+D30</f>
        <v>194000</v>
      </c>
      <c r="E26" s="323"/>
      <c r="F26" s="324">
        <f>F27+F30</f>
        <v>194000</v>
      </c>
      <c r="G26" s="323"/>
      <c r="H26" s="324"/>
      <c r="I26" s="227"/>
    </row>
    <row r="27" spans="1:9" s="319" customFormat="1" ht="12.75">
      <c r="A27" s="291"/>
      <c r="B27" s="316" t="s">
        <v>382</v>
      </c>
      <c r="C27" s="293">
        <f>SUM(C28)</f>
        <v>174000</v>
      </c>
      <c r="D27" s="294">
        <f>SUM(D28)</f>
        <v>174000</v>
      </c>
      <c r="E27" s="295"/>
      <c r="F27" s="296">
        <f>SUM(F28)</f>
        <v>174000</v>
      </c>
      <c r="G27" s="297"/>
      <c r="H27" s="296"/>
      <c r="I27" s="298"/>
    </row>
    <row r="28" spans="1:9" s="326" customFormat="1" ht="12">
      <c r="A28" s="299"/>
      <c r="B28" s="320" t="s">
        <v>383</v>
      </c>
      <c r="C28" s="301">
        <f>D28+E28</f>
        <v>174000</v>
      </c>
      <c r="D28" s="302">
        <f>F28+H28</f>
        <v>174000</v>
      </c>
      <c r="E28" s="303"/>
      <c r="F28" s="321">
        <v>174000</v>
      </c>
      <c r="G28" s="303"/>
      <c r="H28" s="321"/>
      <c r="I28" s="325"/>
    </row>
    <row r="29" spans="1:9" s="326" customFormat="1" ht="11.25" customHeight="1">
      <c r="A29" s="299"/>
      <c r="B29" s="320" t="s">
        <v>390</v>
      </c>
      <c r="C29" s="301">
        <f>D29+E29</f>
        <v>25000</v>
      </c>
      <c r="D29" s="302">
        <f>F29+H29</f>
        <v>25000</v>
      </c>
      <c r="E29" s="303"/>
      <c r="F29" s="321">
        <v>25000</v>
      </c>
      <c r="G29" s="303"/>
      <c r="H29" s="321"/>
      <c r="I29" s="325"/>
    </row>
    <row r="30" spans="1:9" s="326" customFormat="1" ht="11.25" customHeight="1">
      <c r="A30" s="299"/>
      <c r="B30" s="292" t="s">
        <v>378</v>
      </c>
      <c r="C30" s="301">
        <f>C31</f>
        <v>20000</v>
      </c>
      <c r="D30" s="302">
        <f>D31</f>
        <v>20000</v>
      </c>
      <c r="E30" s="347"/>
      <c r="F30" s="321">
        <f>F31</f>
        <v>20000</v>
      </c>
      <c r="G30" s="303"/>
      <c r="H30" s="348"/>
      <c r="I30" s="325"/>
    </row>
    <row r="31" spans="1:9" s="326" customFormat="1" ht="11.25" customHeight="1" thickBot="1">
      <c r="A31" s="299"/>
      <c r="B31" s="349" t="s">
        <v>391</v>
      </c>
      <c r="C31" s="301">
        <f>D31+E31</f>
        <v>20000</v>
      </c>
      <c r="D31" s="302">
        <f>F31+H31</f>
        <v>20000</v>
      </c>
      <c r="E31" s="347"/>
      <c r="F31" s="321">
        <v>20000</v>
      </c>
      <c r="G31" s="303"/>
      <c r="H31" s="348"/>
      <c r="I31" s="325"/>
    </row>
    <row r="32" spans="1:9" s="290" customFormat="1" ht="27" thickBot="1" thickTop="1">
      <c r="A32" s="345">
        <v>600</v>
      </c>
      <c r="B32" s="285" t="s">
        <v>251</v>
      </c>
      <c r="C32" s="286">
        <f>SUM(C44+C62+C78+C54+C49+C69+C75)</f>
        <v>56278504</v>
      </c>
      <c r="D32" s="287">
        <f>SUM(D44+D62+D78+D54+D49+D69+D75)</f>
        <v>56278504</v>
      </c>
      <c r="E32" s="287"/>
      <c r="F32" s="289">
        <f>SUM(F44+F62+F78+F54+F49+F69+F75)</f>
        <v>28646504</v>
      </c>
      <c r="G32" s="288"/>
      <c r="H32" s="350">
        <f>SUM(H62+H78+H54+H69+H75)</f>
        <v>27632000</v>
      </c>
      <c r="I32" s="234"/>
    </row>
    <row r="33" spans="1:9" s="290" customFormat="1" ht="13.5" thickTop="1">
      <c r="A33" s="351"/>
      <c r="B33" s="352" t="s">
        <v>382</v>
      </c>
      <c r="C33" s="353">
        <f>D33+E33</f>
        <v>12462600</v>
      </c>
      <c r="D33" s="354">
        <f>F33+H33</f>
        <v>12462600</v>
      </c>
      <c r="E33" s="355"/>
      <c r="F33" s="356">
        <f>F45+F50+F55+F63+F70+F79</f>
        <v>11600600</v>
      </c>
      <c r="G33" s="357"/>
      <c r="H33" s="358">
        <f>H50+H55+H63+H70+H79</f>
        <v>862000</v>
      </c>
      <c r="I33" s="359"/>
    </row>
    <row r="34" spans="1:9" s="364" customFormat="1" ht="12.75">
      <c r="A34" s="360"/>
      <c r="B34" s="320" t="s">
        <v>392</v>
      </c>
      <c r="C34" s="361">
        <f>D34+E34</f>
        <v>1825650</v>
      </c>
      <c r="D34" s="362">
        <f>F34+H34</f>
        <v>1825650</v>
      </c>
      <c r="E34" s="305"/>
      <c r="F34" s="363">
        <f>F80</f>
        <v>1822150</v>
      </c>
      <c r="G34" s="305"/>
      <c r="H34" s="304">
        <f>H56</f>
        <v>3500</v>
      </c>
      <c r="I34" s="306"/>
    </row>
    <row r="35" spans="1:9" s="364" customFormat="1" ht="12.75">
      <c r="A35" s="360"/>
      <c r="B35" s="320" t="s">
        <v>393</v>
      </c>
      <c r="C35" s="361"/>
      <c r="D35" s="362"/>
      <c r="E35" s="305"/>
      <c r="F35" s="363"/>
      <c r="G35" s="305"/>
      <c r="H35" s="304"/>
      <c r="I35" s="306"/>
    </row>
    <row r="36" spans="1:9" s="364" customFormat="1" ht="12.75">
      <c r="A36" s="360"/>
      <c r="B36" s="365" t="s">
        <v>394</v>
      </c>
      <c r="C36" s="361">
        <f>F36</f>
        <v>330000</v>
      </c>
      <c r="D36" s="362"/>
      <c r="E36" s="305"/>
      <c r="F36" s="363">
        <f>F46</f>
        <v>330000</v>
      </c>
      <c r="G36" s="305"/>
      <c r="H36" s="304"/>
      <c r="I36" s="306"/>
    </row>
    <row r="37" spans="1:9" s="364" customFormat="1" ht="12.75">
      <c r="A37" s="360"/>
      <c r="B37" s="320" t="s">
        <v>383</v>
      </c>
      <c r="C37" s="361">
        <f>SUM(D37:E37)</f>
        <v>10306950</v>
      </c>
      <c r="D37" s="362">
        <f aca="true" t="shared" si="1" ref="D37:D43">F37+H37</f>
        <v>10306950</v>
      </c>
      <c r="E37" s="305"/>
      <c r="F37" s="363">
        <f>F51+F58+F64+F71+F82</f>
        <v>9448450</v>
      </c>
      <c r="G37" s="305"/>
      <c r="H37" s="304">
        <f>H51+H58+H64+H71+H82</f>
        <v>858500</v>
      </c>
      <c r="I37" s="306"/>
    </row>
    <row r="38" spans="1:9" s="315" customFormat="1" ht="12">
      <c r="A38" s="366"/>
      <c r="B38" s="367" t="s">
        <v>390</v>
      </c>
      <c r="C38" s="293">
        <f>SUM(D38:E38)</f>
        <v>3025600</v>
      </c>
      <c r="D38" s="294">
        <f t="shared" si="1"/>
        <v>3025600</v>
      </c>
      <c r="E38" s="368"/>
      <c r="F38" s="369">
        <f>F59+F65+F72+F83</f>
        <v>2359100</v>
      </c>
      <c r="G38" s="295"/>
      <c r="H38" s="317">
        <f>H59+H65+H72+H83</f>
        <v>666500</v>
      </c>
      <c r="I38" s="318"/>
    </row>
    <row r="39" spans="1:9" s="290" customFormat="1" ht="12.75">
      <c r="A39" s="351"/>
      <c r="B39" s="370" t="s">
        <v>378</v>
      </c>
      <c r="C39" s="353">
        <f>SUM(D39:E39)</f>
        <v>43815904</v>
      </c>
      <c r="D39" s="354">
        <f t="shared" si="1"/>
        <v>43815904</v>
      </c>
      <c r="E39" s="355"/>
      <c r="F39" s="356">
        <f>F47+F52+F60+F66+F73+F84+F76</f>
        <v>17045904</v>
      </c>
      <c r="G39" s="355"/>
      <c r="H39" s="371">
        <f>H52+H60+H66+H73+H84+H76</f>
        <v>26770000</v>
      </c>
      <c r="I39" s="372"/>
    </row>
    <row r="40" spans="1:9" s="375" customFormat="1" ht="13.5">
      <c r="A40" s="373"/>
      <c r="B40" s="300" t="s">
        <v>391</v>
      </c>
      <c r="C40" s="301">
        <f>E40+D40</f>
        <v>41793904</v>
      </c>
      <c r="D40" s="302">
        <f t="shared" si="1"/>
        <v>41793904</v>
      </c>
      <c r="E40" s="374"/>
      <c r="F40" s="348">
        <f>F48+F61+F67+F74+F85+F77</f>
        <v>15023904</v>
      </c>
      <c r="G40" s="303"/>
      <c r="H40" s="321">
        <f>H61+H67+H74+H85+H77</f>
        <v>26770000</v>
      </c>
      <c r="I40" s="306"/>
    </row>
    <row r="41" spans="1:9" s="385" customFormat="1" ht="10.5" customHeight="1" hidden="1">
      <c r="A41" s="376"/>
      <c r="B41" s="377" t="s">
        <v>395</v>
      </c>
      <c r="C41" s="378">
        <f>D41+E41</f>
        <v>0</v>
      </c>
      <c r="D41" s="379"/>
      <c r="E41" s="380"/>
      <c r="F41" s="381"/>
      <c r="G41" s="382"/>
      <c r="H41" s="383"/>
      <c r="I41" s="384"/>
    </row>
    <row r="42" spans="1:9" s="375" customFormat="1" ht="12.75" customHeight="1">
      <c r="A42" s="373"/>
      <c r="B42" s="300" t="s">
        <v>379</v>
      </c>
      <c r="C42" s="301">
        <f>E42+D42</f>
        <v>22000</v>
      </c>
      <c r="D42" s="302">
        <f t="shared" si="1"/>
        <v>22000</v>
      </c>
      <c r="E42" s="374"/>
      <c r="F42" s="348">
        <f>F86</f>
        <v>22000</v>
      </c>
      <c r="G42" s="303"/>
      <c r="H42" s="321"/>
      <c r="I42" s="306"/>
    </row>
    <row r="43" spans="1:9" s="375" customFormat="1" ht="14.25" thickBot="1">
      <c r="A43" s="386"/>
      <c r="B43" s="387" t="s">
        <v>396</v>
      </c>
      <c r="C43" s="388">
        <f>E43+D43</f>
        <v>2000000</v>
      </c>
      <c r="D43" s="389">
        <f t="shared" si="1"/>
        <v>2000000</v>
      </c>
      <c r="E43" s="390"/>
      <c r="F43" s="391">
        <f>F53</f>
        <v>2000000</v>
      </c>
      <c r="G43" s="392"/>
      <c r="H43" s="393"/>
      <c r="I43" s="394"/>
    </row>
    <row r="44" spans="1:9" s="315" customFormat="1" ht="18" customHeight="1" thickTop="1">
      <c r="A44" s="395">
        <v>60002</v>
      </c>
      <c r="B44" s="396" t="s">
        <v>397</v>
      </c>
      <c r="C44" s="397">
        <f>SUM(D44:E44)</f>
        <v>330000</v>
      </c>
      <c r="D44" s="398">
        <f>D45+D47</f>
        <v>330000</v>
      </c>
      <c r="E44" s="399"/>
      <c r="F44" s="400">
        <f>F45+F47</f>
        <v>330000</v>
      </c>
      <c r="G44" s="399"/>
      <c r="H44" s="400"/>
      <c r="I44" s="401"/>
    </row>
    <row r="45" spans="1:9" s="407" customFormat="1" ht="15" customHeight="1">
      <c r="A45" s="334"/>
      <c r="B45" s="335" t="s">
        <v>382</v>
      </c>
      <c r="C45" s="402">
        <f>C46</f>
        <v>330000</v>
      </c>
      <c r="D45" s="403">
        <f>D46</f>
        <v>330000</v>
      </c>
      <c r="E45" s="404"/>
      <c r="F45" s="405">
        <f>F46</f>
        <v>330000</v>
      </c>
      <c r="G45" s="404"/>
      <c r="H45" s="405"/>
      <c r="I45" s="406"/>
    </row>
    <row r="46" spans="1:9" s="415" customFormat="1" ht="15" customHeight="1">
      <c r="A46" s="408"/>
      <c r="B46" s="409" t="s">
        <v>394</v>
      </c>
      <c r="C46" s="410">
        <f>SUM(D46:E46)</f>
        <v>330000</v>
      </c>
      <c r="D46" s="411">
        <f>F46</f>
        <v>330000</v>
      </c>
      <c r="E46" s="412"/>
      <c r="F46" s="413">
        <v>330000</v>
      </c>
      <c r="G46" s="412"/>
      <c r="H46" s="413"/>
      <c r="I46" s="414"/>
    </row>
    <row r="47" spans="1:9" ht="13.5" customHeight="1" hidden="1">
      <c r="A47" s="291"/>
      <c r="B47" s="292" t="s">
        <v>378</v>
      </c>
      <c r="C47" s="293">
        <f>SUM(C48)</f>
        <v>0</v>
      </c>
      <c r="D47" s="294">
        <f>F47+H47</f>
        <v>0</v>
      </c>
      <c r="E47" s="295"/>
      <c r="F47" s="296">
        <f>SUM(F48)</f>
        <v>0</v>
      </c>
      <c r="G47" s="297"/>
      <c r="H47" s="296"/>
      <c r="I47" s="298"/>
    </row>
    <row r="48" spans="1:9" ht="11.25" customHeight="1" hidden="1">
      <c r="A48" s="416"/>
      <c r="B48" s="349" t="s">
        <v>391</v>
      </c>
      <c r="C48" s="417">
        <f>SUM(D48:E48)</f>
        <v>0</v>
      </c>
      <c r="D48" s="418">
        <f>F48+H48</f>
        <v>0</v>
      </c>
      <c r="E48" s="419"/>
      <c r="F48" s="420"/>
      <c r="G48" s="421"/>
      <c r="H48" s="422"/>
      <c r="I48" s="423"/>
    </row>
    <row r="49" spans="1:9" s="315" customFormat="1" ht="23.25" customHeight="1">
      <c r="A49" s="395">
        <v>60004</v>
      </c>
      <c r="B49" s="396" t="s">
        <v>398</v>
      </c>
      <c r="C49" s="397">
        <f>C50+C52</f>
        <v>8100000</v>
      </c>
      <c r="D49" s="398">
        <f>D50+D52</f>
        <v>8100000</v>
      </c>
      <c r="E49" s="399"/>
      <c r="F49" s="400">
        <f>F50+F52</f>
        <v>8100000</v>
      </c>
      <c r="G49" s="399"/>
      <c r="H49" s="400"/>
      <c r="I49" s="401"/>
    </row>
    <row r="50" spans="1:9" s="319" customFormat="1" ht="12.75" customHeight="1">
      <c r="A50" s="291"/>
      <c r="B50" s="292" t="s">
        <v>399</v>
      </c>
      <c r="C50" s="293">
        <f>SUM(C51)</f>
        <v>6100000</v>
      </c>
      <c r="D50" s="294">
        <f>SUM(D51)</f>
        <v>6100000</v>
      </c>
      <c r="E50" s="295"/>
      <c r="F50" s="296">
        <f>SUM(F51)</f>
        <v>6100000</v>
      </c>
      <c r="G50" s="297"/>
      <c r="H50" s="296"/>
      <c r="I50" s="298"/>
    </row>
    <row r="51" spans="1:9" s="326" customFormat="1" ht="10.5" customHeight="1">
      <c r="A51" s="299"/>
      <c r="B51" s="320" t="s">
        <v>383</v>
      </c>
      <c r="C51" s="301">
        <f>SUM(D51:E51)</f>
        <v>6100000</v>
      </c>
      <c r="D51" s="302">
        <f>F51+H51</f>
        <v>6100000</v>
      </c>
      <c r="E51" s="303"/>
      <c r="F51" s="321">
        <v>6100000</v>
      </c>
      <c r="G51" s="303"/>
      <c r="H51" s="321"/>
      <c r="I51" s="325"/>
    </row>
    <row r="52" spans="1:9" ht="12" customHeight="1">
      <c r="A52" s="291"/>
      <c r="B52" s="292" t="s">
        <v>378</v>
      </c>
      <c r="C52" s="293">
        <f>SUM(D52:E52)</f>
        <v>2000000</v>
      </c>
      <c r="D52" s="294">
        <f>F52+H52</f>
        <v>2000000</v>
      </c>
      <c r="E52" s="295"/>
      <c r="F52" s="317">
        <f>F53</f>
        <v>2000000</v>
      </c>
      <c r="G52" s="297"/>
      <c r="H52" s="296"/>
      <c r="I52" s="306"/>
    </row>
    <row r="53" spans="1:9" ht="12" customHeight="1">
      <c r="A53" s="291"/>
      <c r="B53" s="424" t="s">
        <v>396</v>
      </c>
      <c r="C53" s="417">
        <f>SUM(D53:E53)</f>
        <v>2000000</v>
      </c>
      <c r="D53" s="302">
        <f>F53+H53</f>
        <v>2000000</v>
      </c>
      <c r="E53" s="303"/>
      <c r="F53" s="321">
        <v>2000000</v>
      </c>
      <c r="G53" s="297"/>
      <c r="H53" s="296"/>
      <c r="I53" s="306"/>
    </row>
    <row r="54" spans="1:9" s="315" customFormat="1" ht="36.75" customHeight="1">
      <c r="A54" s="346">
        <v>60015</v>
      </c>
      <c r="B54" s="425" t="s">
        <v>400</v>
      </c>
      <c r="C54" s="310">
        <f>C55+C60</f>
        <v>27632000</v>
      </c>
      <c r="D54" s="311">
        <f>D55+D60</f>
        <v>27632000</v>
      </c>
      <c r="E54" s="311"/>
      <c r="F54" s="313"/>
      <c r="G54" s="312"/>
      <c r="H54" s="426">
        <f>H55+H60</f>
        <v>27632000</v>
      </c>
      <c r="I54" s="314"/>
    </row>
    <row r="55" spans="1:9" s="319" customFormat="1" ht="12.75">
      <c r="A55" s="291"/>
      <c r="B55" s="316" t="s">
        <v>382</v>
      </c>
      <c r="C55" s="293">
        <f>SUM(C56:C58)</f>
        <v>862000</v>
      </c>
      <c r="D55" s="294">
        <f>SUM(D56:D58)</f>
        <v>862000</v>
      </c>
      <c r="E55" s="295"/>
      <c r="F55" s="296"/>
      <c r="G55" s="297"/>
      <c r="H55" s="427">
        <f>SUM(H56:H58)</f>
        <v>862000</v>
      </c>
      <c r="I55" s="298"/>
    </row>
    <row r="56" spans="1:9" s="319" customFormat="1" ht="12.75">
      <c r="A56" s="291"/>
      <c r="B56" s="320" t="s">
        <v>392</v>
      </c>
      <c r="C56" s="301">
        <f>SUM(D56:E56)</f>
        <v>3500</v>
      </c>
      <c r="D56" s="302">
        <f>F56+H56</f>
        <v>3500</v>
      </c>
      <c r="E56" s="295"/>
      <c r="F56" s="296"/>
      <c r="G56" s="297"/>
      <c r="H56" s="363">
        <v>3500</v>
      </c>
      <c r="I56" s="298"/>
    </row>
    <row r="57" spans="1:9" s="319" customFormat="1" ht="12.75">
      <c r="A57" s="291"/>
      <c r="B57" s="320" t="s">
        <v>393</v>
      </c>
      <c r="C57" s="301"/>
      <c r="D57" s="302"/>
      <c r="E57" s="295"/>
      <c r="F57" s="296"/>
      <c r="G57" s="297"/>
      <c r="H57" s="427"/>
      <c r="I57" s="298"/>
    </row>
    <row r="58" spans="1:9" s="326" customFormat="1" ht="12">
      <c r="A58" s="299"/>
      <c r="B58" s="320" t="s">
        <v>383</v>
      </c>
      <c r="C58" s="301">
        <f>SUM(D58:E58)</f>
        <v>858500</v>
      </c>
      <c r="D58" s="302">
        <f>F58+H58</f>
        <v>858500</v>
      </c>
      <c r="E58" s="303"/>
      <c r="F58" s="321"/>
      <c r="G58" s="303"/>
      <c r="H58" s="348">
        <v>858500</v>
      </c>
      <c r="I58" s="325"/>
    </row>
    <row r="59" spans="1:9" s="326" customFormat="1" ht="12">
      <c r="A59" s="299"/>
      <c r="B59" s="320" t="s">
        <v>390</v>
      </c>
      <c r="C59" s="301">
        <f>SUM(D59:E59)</f>
        <v>666500</v>
      </c>
      <c r="D59" s="302">
        <f>F59+H59</f>
        <v>666500</v>
      </c>
      <c r="E59" s="303"/>
      <c r="F59" s="321"/>
      <c r="G59" s="303"/>
      <c r="H59" s="348">
        <v>666500</v>
      </c>
      <c r="I59" s="325"/>
    </row>
    <row r="60" spans="1:9" ht="11.25" customHeight="1">
      <c r="A60" s="291"/>
      <c r="B60" s="292" t="s">
        <v>378</v>
      </c>
      <c r="C60" s="293">
        <f>SUM(C61)</f>
        <v>26770000</v>
      </c>
      <c r="D60" s="294">
        <f>F60+H60</f>
        <v>26770000</v>
      </c>
      <c r="E60" s="295"/>
      <c r="F60" s="296"/>
      <c r="G60" s="297"/>
      <c r="H60" s="427">
        <f>SUM(H61)</f>
        <v>26770000</v>
      </c>
      <c r="I60" s="298"/>
    </row>
    <row r="61" spans="1:9" s="307" customFormat="1" ht="12.75">
      <c r="A61" s="299"/>
      <c r="B61" s="300" t="s">
        <v>391</v>
      </c>
      <c r="C61" s="301">
        <f>SUM(D61:E61)</f>
        <v>26770000</v>
      </c>
      <c r="D61" s="302">
        <f>F61+H61</f>
        <v>26770000</v>
      </c>
      <c r="E61" s="303"/>
      <c r="F61" s="304"/>
      <c r="G61" s="305"/>
      <c r="H61" s="348">
        <v>26770000</v>
      </c>
      <c r="I61" s="428"/>
    </row>
    <row r="62" spans="1:9" s="315" customFormat="1" ht="13.5" customHeight="1">
      <c r="A62" s="346">
        <v>60016</v>
      </c>
      <c r="B62" s="309" t="s">
        <v>401</v>
      </c>
      <c r="C62" s="310">
        <f>C63+C66</f>
        <v>13634604</v>
      </c>
      <c r="D62" s="311">
        <f>D63+D66</f>
        <v>13634604</v>
      </c>
      <c r="E62" s="312"/>
      <c r="F62" s="313">
        <f>F63+F66</f>
        <v>13634604</v>
      </c>
      <c r="G62" s="312"/>
      <c r="H62" s="313"/>
      <c r="I62" s="314"/>
    </row>
    <row r="63" spans="1:9" ht="9.75" customHeight="1">
      <c r="A63" s="291"/>
      <c r="B63" s="316" t="s">
        <v>382</v>
      </c>
      <c r="C63" s="293">
        <f>SUM(C64)</f>
        <v>710700</v>
      </c>
      <c r="D63" s="294">
        <f>SUM(D64)</f>
        <v>710700</v>
      </c>
      <c r="E63" s="295"/>
      <c r="F63" s="296">
        <f>SUM(F64)</f>
        <v>710700</v>
      </c>
      <c r="G63" s="429"/>
      <c r="H63" s="430"/>
      <c r="I63" s="431"/>
    </row>
    <row r="64" spans="1:9" ht="12.75">
      <c r="A64" s="291"/>
      <c r="B64" s="320" t="s">
        <v>383</v>
      </c>
      <c r="C64" s="301">
        <f>SUM(D64:E64)</f>
        <v>710700</v>
      </c>
      <c r="D64" s="302">
        <f>F64+H64</f>
        <v>710700</v>
      </c>
      <c r="E64" s="303"/>
      <c r="F64" s="321">
        <v>710700</v>
      </c>
      <c r="G64" s="297"/>
      <c r="H64" s="296"/>
      <c r="I64" s="298"/>
    </row>
    <row r="65" spans="1:9" s="307" customFormat="1" ht="11.25" customHeight="1">
      <c r="A65" s="432"/>
      <c r="B65" s="433" t="s">
        <v>390</v>
      </c>
      <c r="C65" s="417">
        <f>SUM(D65:E65)</f>
        <v>660700</v>
      </c>
      <c r="D65" s="418">
        <f>F65+H65</f>
        <v>660700</v>
      </c>
      <c r="E65" s="419"/>
      <c r="F65" s="420">
        <v>660700</v>
      </c>
      <c r="G65" s="434"/>
      <c r="H65" s="435"/>
      <c r="I65" s="436"/>
    </row>
    <row r="66" spans="1:9" ht="13.5" customHeight="1">
      <c r="A66" s="291"/>
      <c r="B66" s="292" t="s">
        <v>378</v>
      </c>
      <c r="C66" s="293">
        <f>SUM(C67)</f>
        <v>12923904</v>
      </c>
      <c r="D66" s="294">
        <f>F66+H66</f>
        <v>12923904</v>
      </c>
      <c r="E66" s="295"/>
      <c r="F66" s="296">
        <f>SUM(F67)</f>
        <v>12923904</v>
      </c>
      <c r="G66" s="297"/>
      <c r="H66" s="296"/>
      <c r="I66" s="298"/>
    </row>
    <row r="67" spans="1:9" ht="11.25" customHeight="1">
      <c r="A67" s="291"/>
      <c r="B67" s="300" t="s">
        <v>391</v>
      </c>
      <c r="C67" s="301">
        <f>SUM(D67:E67)</f>
        <v>12923904</v>
      </c>
      <c r="D67" s="302">
        <f>F67+H67</f>
        <v>12923904</v>
      </c>
      <c r="E67" s="303"/>
      <c r="F67" s="321">
        <v>12923904</v>
      </c>
      <c r="G67" s="297"/>
      <c r="H67" s="296"/>
      <c r="I67" s="298"/>
    </row>
    <row r="68" spans="1:9" s="385" customFormat="1" ht="12.75" customHeight="1" hidden="1">
      <c r="A68" s="437"/>
      <c r="B68" s="438" t="s">
        <v>395</v>
      </c>
      <c r="C68" s="439">
        <f>D68+E68</f>
        <v>0</v>
      </c>
      <c r="D68" s="440">
        <f>F68+H68</f>
        <v>0</v>
      </c>
      <c r="E68" s="441"/>
      <c r="F68" s="442"/>
      <c r="G68" s="443"/>
      <c r="H68" s="444"/>
      <c r="I68" s="445"/>
    </row>
    <row r="69" spans="1:9" s="315" customFormat="1" ht="15" customHeight="1">
      <c r="A69" s="346">
        <v>60017</v>
      </c>
      <c r="B69" s="309" t="s">
        <v>402</v>
      </c>
      <c r="C69" s="310">
        <f>C70+C73</f>
        <v>2805900</v>
      </c>
      <c r="D69" s="311">
        <f>D70+D73</f>
        <v>2805900</v>
      </c>
      <c r="E69" s="312"/>
      <c r="F69" s="313">
        <f>F70+F73</f>
        <v>2805900</v>
      </c>
      <c r="G69" s="312"/>
      <c r="H69" s="313"/>
      <c r="I69" s="314"/>
    </row>
    <row r="70" spans="1:9" ht="12.75">
      <c r="A70" s="291"/>
      <c r="B70" s="316" t="s">
        <v>382</v>
      </c>
      <c r="C70" s="293">
        <f>SUM(C71)</f>
        <v>1705900</v>
      </c>
      <c r="D70" s="294">
        <f>SUM(D71)</f>
        <v>1705900</v>
      </c>
      <c r="E70" s="295"/>
      <c r="F70" s="296">
        <f>SUM(F71)</f>
        <v>1705900</v>
      </c>
      <c r="G70" s="429"/>
      <c r="H70" s="430"/>
      <c r="I70" s="431"/>
    </row>
    <row r="71" spans="1:9" ht="11.25" customHeight="1">
      <c r="A71" s="291"/>
      <c r="B71" s="320" t="s">
        <v>383</v>
      </c>
      <c r="C71" s="301">
        <f>SUM(D71:E71)</f>
        <v>1705900</v>
      </c>
      <c r="D71" s="302">
        <f>F71+H71</f>
        <v>1705900</v>
      </c>
      <c r="E71" s="303"/>
      <c r="F71" s="321">
        <v>1705900</v>
      </c>
      <c r="G71" s="297"/>
      <c r="H71" s="296"/>
      <c r="I71" s="298"/>
    </row>
    <row r="72" spans="1:9" s="307" customFormat="1" ht="11.25" customHeight="1">
      <c r="A72" s="299"/>
      <c r="B72" s="320" t="s">
        <v>390</v>
      </c>
      <c r="C72" s="301">
        <f>SUM(D72:E72)</f>
        <v>1645400</v>
      </c>
      <c r="D72" s="302">
        <f>F72+H72</f>
        <v>1645400</v>
      </c>
      <c r="E72" s="303"/>
      <c r="F72" s="321">
        <v>1645400</v>
      </c>
      <c r="G72" s="305"/>
      <c r="H72" s="304"/>
      <c r="I72" s="306"/>
    </row>
    <row r="73" spans="1:9" ht="10.5" customHeight="1">
      <c r="A73" s="291"/>
      <c r="B73" s="292" t="s">
        <v>378</v>
      </c>
      <c r="C73" s="293">
        <f>SUM(C74)</f>
        <v>1100000</v>
      </c>
      <c r="D73" s="294">
        <f>F73+H73</f>
        <v>1100000</v>
      </c>
      <c r="E73" s="295"/>
      <c r="F73" s="296">
        <f>SUM(F74)</f>
        <v>1100000</v>
      </c>
      <c r="G73" s="297"/>
      <c r="H73" s="296"/>
      <c r="I73" s="298"/>
    </row>
    <row r="74" spans="1:9" ht="12.75" customHeight="1">
      <c r="A74" s="416"/>
      <c r="B74" s="349" t="s">
        <v>391</v>
      </c>
      <c r="C74" s="417">
        <f>SUM(D74:E74)</f>
        <v>1100000</v>
      </c>
      <c r="D74" s="418">
        <f>F74+H74</f>
        <v>1100000</v>
      </c>
      <c r="E74" s="419"/>
      <c r="F74" s="420">
        <v>1100000</v>
      </c>
      <c r="G74" s="421"/>
      <c r="H74" s="422"/>
      <c r="I74" s="423"/>
    </row>
    <row r="75" spans="1:9" s="315" customFormat="1" ht="25.5" customHeight="1">
      <c r="A75" s="346">
        <v>60053</v>
      </c>
      <c r="B75" s="309" t="s">
        <v>403</v>
      </c>
      <c r="C75" s="310">
        <f>SUM(C76)</f>
        <v>1000000</v>
      </c>
      <c r="D75" s="311">
        <f>SUM(D76)</f>
        <v>1000000</v>
      </c>
      <c r="E75" s="312"/>
      <c r="F75" s="313">
        <f>SUM(F76)</f>
        <v>1000000</v>
      </c>
      <c r="G75" s="312"/>
      <c r="H75" s="313"/>
      <c r="I75" s="314"/>
    </row>
    <row r="76" spans="1:9" ht="10.5" customHeight="1">
      <c r="A76" s="291"/>
      <c r="B76" s="292" t="s">
        <v>378</v>
      </c>
      <c r="C76" s="293">
        <f>SUM(C77)</f>
        <v>1000000</v>
      </c>
      <c r="D76" s="294">
        <f>F76+H76</f>
        <v>1000000</v>
      </c>
      <c r="E76" s="295"/>
      <c r="F76" s="296">
        <f>SUM(F77)</f>
        <v>1000000</v>
      </c>
      <c r="G76" s="297"/>
      <c r="H76" s="296"/>
      <c r="I76" s="298"/>
    </row>
    <row r="77" spans="1:9" ht="12.75" customHeight="1">
      <c r="A77" s="416"/>
      <c r="B77" s="349" t="s">
        <v>391</v>
      </c>
      <c r="C77" s="417">
        <f>SUM(D77:E77)</f>
        <v>1000000</v>
      </c>
      <c r="D77" s="418">
        <f>F77+H77</f>
        <v>1000000</v>
      </c>
      <c r="E77" s="419"/>
      <c r="F77" s="420">
        <v>1000000</v>
      </c>
      <c r="G77" s="421"/>
      <c r="H77" s="422"/>
      <c r="I77" s="423"/>
    </row>
    <row r="78" spans="1:9" ht="14.25" customHeight="1">
      <c r="A78" s="346">
        <v>60095</v>
      </c>
      <c r="B78" s="446" t="s">
        <v>389</v>
      </c>
      <c r="C78" s="322">
        <f>C79+C84</f>
        <v>2776000</v>
      </c>
      <c r="D78" s="225">
        <f>D79+D84</f>
        <v>2776000</v>
      </c>
      <c r="E78" s="323"/>
      <c r="F78" s="324">
        <f>F79+F84</f>
        <v>2776000</v>
      </c>
      <c r="G78" s="323"/>
      <c r="H78" s="324"/>
      <c r="I78" s="227"/>
    </row>
    <row r="79" spans="1:9" ht="12">
      <c r="A79" s="291"/>
      <c r="B79" s="316" t="s">
        <v>382</v>
      </c>
      <c r="C79" s="447">
        <f>SUM(C80:C82)</f>
        <v>2754000</v>
      </c>
      <c r="D79" s="294">
        <f>SUM(D80:D82)</f>
        <v>2754000</v>
      </c>
      <c r="E79" s="295"/>
      <c r="F79" s="317">
        <f>SUM(F80:F82)</f>
        <v>2754000</v>
      </c>
      <c r="G79" s="295"/>
      <c r="H79" s="317"/>
      <c r="I79" s="318"/>
    </row>
    <row r="80" spans="1:9" s="451" customFormat="1" ht="12">
      <c r="A80" s="448"/>
      <c r="B80" s="320" t="s">
        <v>392</v>
      </c>
      <c r="C80" s="301">
        <f>SUM(D80:E80)</f>
        <v>1822150</v>
      </c>
      <c r="D80" s="302">
        <f>F80+H80</f>
        <v>1822150</v>
      </c>
      <c r="E80" s="374"/>
      <c r="F80" s="321">
        <v>1822150</v>
      </c>
      <c r="G80" s="374"/>
      <c r="H80" s="449"/>
      <c r="I80" s="450"/>
    </row>
    <row r="81" spans="1:9" s="451" customFormat="1" ht="11.25" customHeight="1">
      <c r="A81" s="448"/>
      <c r="B81" s="320" t="s">
        <v>393</v>
      </c>
      <c r="C81" s="301"/>
      <c r="D81" s="302"/>
      <c r="E81" s="374"/>
      <c r="F81" s="449"/>
      <c r="G81" s="374"/>
      <c r="H81" s="449"/>
      <c r="I81" s="450"/>
    </row>
    <row r="82" spans="1:9" s="307" customFormat="1" ht="11.25" customHeight="1">
      <c r="A82" s="299"/>
      <c r="B82" s="320" t="s">
        <v>383</v>
      </c>
      <c r="C82" s="301">
        <f>SUM(D82:E82)</f>
        <v>931850</v>
      </c>
      <c r="D82" s="302">
        <f>F82+H82</f>
        <v>931850</v>
      </c>
      <c r="E82" s="303"/>
      <c r="F82" s="321">
        <v>931850</v>
      </c>
      <c r="G82" s="305"/>
      <c r="H82" s="304"/>
      <c r="I82" s="306"/>
    </row>
    <row r="83" spans="1:9" s="307" customFormat="1" ht="10.5" customHeight="1">
      <c r="A83" s="299"/>
      <c r="B83" s="320" t="s">
        <v>390</v>
      </c>
      <c r="C83" s="301">
        <f>SUM(D83:E83)</f>
        <v>53000</v>
      </c>
      <c r="D83" s="302">
        <f>F83+H83</f>
        <v>53000</v>
      </c>
      <c r="E83" s="303"/>
      <c r="F83" s="321">
        <v>53000</v>
      </c>
      <c r="G83" s="305"/>
      <c r="H83" s="304"/>
      <c r="I83" s="306"/>
    </row>
    <row r="84" spans="1:9" ht="10.5" customHeight="1">
      <c r="A84" s="291"/>
      <c r="B84" s="292" t="s">
        <v>378</v>
      </c>
      <c r="C84" s="452">
        <f>SUM(C85:C86)</f>
        <v>22000</v>
      </c>
      <c r="D84" s="453">
        <f>SUM(D85:D86)</f>
        <v>22000</v>
      </c>
      <c r="E84" s="295"/>
      <c r="F84" s="296">
        <f>SUM(F85:F86)</f>
        <v>22000</v>
      </c>
      <c r="G84" s="297"/>
      <c r="H84" s="296"/>
      <c r="I84" s="298"/>
    </row>
    <row r="85" spans="1:9" ht="13.5" customHeight="1" hidden="1">
      <c r="A85" s="291"/>
      <c r="B85" s="300" t="s">
        <v>391</v>
      </c>
      <c r="C85" s="301">
        <f>SUM(D85:E85)</f>
        <v>0</v>
      </c>
      <c r="D85" s="302">
        <f>F85+H85</f>
        <v>0</v>
      </c>
      <c r="E85" s="295"/>
      <c r="F85" s="321"/>
      <c r="G85" s="297"/>
      <c r="H85" s="296"/>
      <c r="I85" s="298"/>
    </row>
    <row r="86" spans="1:9" ht="12" customHeight="1" thickBot="1">
      <c r="A86" s="291"/>
      <c r="B86" s="300" t="s">
        <v>379</v>
      </c>
      <c r="C86" s="301">
        <f>SUM(D86:E86)</f>
        <v>22000</v>
      </c>
      <c r="D86" s="302">
        <f>F86+H86</f>
        <v>22000</v>
      </c>
      <c r="E86" s="303"/>
      <c r="F86" s="321">
        <v>22000</v>
      </c>
      <c r="G86" s="297"/>
      <c r="H86" s="296"/>
      <c r="I86" s="298"/>
    </row>
    <row r="87" spans="1:9" s="290" customFormat="1" ht="17.25" customHeight="1" thickBot="1" thickTop="1">
      <c r="A87" s="345">
        <v>630</v>
      </c>
      <c r="B87" s="285" t="s">
        <v>404</v>
      </c>
      <c r="C87" s="286">
        <f>C91+C95</f>
        <v>64000</v>
      </c>
      <c r="D87" s="287">
        <f>D91+D95</f>
        <v>64000</v>
      </c>
      <c r="E87" s="288"/>
      <c r="F87" s="289">
        <f>SUM(F91)+F95</f>
        <v>64000</v>
      </c>
      <c r="G87" s="288"/>
      <c r="H87" s="289"/>
      <c r="I87" s="234"/>
    </row>
    <row r="88" spans="1:9" s="290" customFormat="1" ht="13.5" customHeight="1" thickTop="1">
      <c r="A88" s="351"/>
      <c r="B88" s="316" t="s">
        <v>382</v>
      </c>
      <c r="C88" s="452">
        <f>D88+E88</f>
        <v>64000</v>
      </c>
      <c r="D88" s="453">
        <f>F88+H88</f>
        <v>64000</v>
      </c>
      <c r="E88" s="355"/>
      <c r="F88" s="296">
        <f>F92+F96</f>
        <v>64000</v>
      </c>
      <c r="G88" s="355"/>
      <c r="H88" s="371"/>
      <c r="I88" s="372"/>
    </row>
    <row r="89" spans="1:9" s="375" customFormat="1" ht="13.5" customHeight="1">
      <c r="A89" s="373"/>
      <c r="B89" s="320" t="s">
        <v>394</v>
      </c>
      <c r="C89" s="361">
        <f>D89+E89</f>
        <v>7000</v>
      </c>
      <c r="D89" s="362">
        <f>F89+H89</f>
        <v>7000</v>
      </c>
      <c r="E89" s="454"/>
      <c r="F89" s="304">
        <f>F93+F97</f>
        <v>7000</v>
      </c>
      <c r="G89" s="454"/>
      <c r="H89" s="455"/>
      <c r="I89" s="456"/>
    </row>
    <row r="90" spans="1:9" s="375" customFormat="1" ht="13.5" customHeight="1" thickBot="1">
      <c r="A90" s="386"/>
      <c r="B90" s="457" t="s">
        <v>383</v>
      </c>
      <c r="C90" s="458">
        <f>D90+E90</f>
        <v>57000</v>
      </c>
      <c r="D90" s="459">
        <f>F90+H90</f>
        <v>57000</v>
      </c>
      <c r="E90" s="460"/>
      <c r="F90" s="461">
        <f>F94+F98</f>
        <v>57000</v>
      </c>
      <c r="G90" s="460"/>
      <c r="H90" s="462"/>
      <c r="I90" s="463"/>
    </row>
    <row r="91" spans="1:9" ht="28.5" customHeight="1" thickTop="1">
      <c r="A91" s="395">
        <v>63003</v>
      </c>
      <c r="B91" s="464" t="s">
        <v>405</v>
      </c>
      <c r="C91" s="465">
        <f>C92</f>
        <v>64000</v>
      </c>
      <c r="D91" s="466">
        <f>D92</f>
        <v>64000</v>
      </c>
      <c r="E91" s="467"/>
      <c r="F91" s="468">
        <f>F92</f>
        <v>64000</v>
      </c>
      <c r="G91" s="467"/>
      <c r="H91" s="468"/>
      <c r="I91" s="469"/>
    </row>
    <row r="92" spans="1:9" s="319" customFormat="1" ht="10.5" customHeight="1">
      <c r="A92" s="291"/>
      <c r="B92" s="316" t="s">
        <v>382</v>
      </c>
      <c r="C92" s="452">
        <f>SUM(C93:C94)</f>
        <v>64000</v>
      </c>
      <c r="D92" s="453">
        <f>SUM(D93:D94)</f>
        <v>64000</v>
      </c>
      <c r="E92" s="295"/>
      <c r="F92" s="296">
        <f>SUM(F93:F94)</f>
        <v>64000</v>
      </c>
      <c r="G92" s="297"/>
      <c r="H92" s="296"/>
      <c r="I92" s="298"/>
    </row>
    <row r="93" spans="1:9" s="326" customFormat="1" ht="10.5" customHeight="1">
      <c r="A93" s="299"/>
      <c r="B93" s="320" t="s">
        <v>394</v>
      </c>
      <c r="C93" s="301">
        <f>SUM(D93:E93)</f>
        <v>7000</v>
      </c>
      <c r="D93" s="302">
        <f>F93+H93</f>
        <v>7000</v>
      </c>
      <c r="E93" s="303"/>
      <c r="F93" s="321">
        <v>7000</v>
      </c>
      <c r="G93" s="305"/>
      <c r="H93" s="304"/>
      <c r="I93" s="306"/>
    </row>
    <row r="94" spans="1:9" s="326" customFormat="1" ht="10.5" customHeight="1" thickBot="1">
      <c r="A94" s="432"/>
      <c r="B94" s="433" t="s">
        <v>383</v>
      </c>
      <c r="C94" s="417">
        <f>SUM(D94:E94)</f>
        <v>57000</v>
      </c>
      <c r="D94" s="418">
        <f>F94+H94</f>
        <v>57000</v>
      </c>
      <c r="E94" s="419"/>
      <c r="F94" s="420">
        <v>57000</v>
      </c>
      <c r="G94" s="434"/>
      <c r="H94" s="435"/>
      <c r="I94" s="436"/>
    </row>
    <row r="95" spans="1:9" s="315" customFormat="1" ht="12.75" hidden="1" thickBot="1">
      <c r="A95" s="346">
        <v>63095</v>
      </c>
      <c r="B95" s="470" t="s">
        <v>389</v>
      </c>
      <c r="C95" s="322">
        <f>SUM(C96)</f>
        <v>0</v>
      </c>
      <c r="D95" s="225">
        <f>SUM(D96)</f>
        <v>0</v>
      </c>
      <c r="E95" s="323"/>
      <c r="F95" s="324">
        <f>SUM(F96)</f>
        <v>0</v>
      </c>
      <c r="G95" s="323"/>
      <c r="H95" s="324"/>
      <c r="I95" s="227"/>
    </row>
    <row r="96" spans="1:9" ht="12" customHeight="1" hidden="1">
      <c r="A96" s="291"/>
      <c r="B96" s="316" t="s">
        <v>382</v>
      </c>
      <c r="C96" s="293">
        <f>SUM(C97:C98)</f>
        <v>0</v>
      </c>
      <c r="D96" s="294">
        <f>SUM(D97:D98)</f>
        <v>0</v>
      </c>
      <c r="E96" s="295"/>
      <c r="F96" s="296">
        <f>SUM(F97:F98)</f>
        <v>0</v>
      </c>
      <c r="G96" s="429"/>
      <c r="H96" s="430"/>
      <c r="I96" s="298"/>
    </row>
    <row r="97" spans="1:9" s="326" customFormat="1" ht="11.25" customHeight="1" hidden="1">
      <c r="A97" s="299"/>
      <c r="B97" s="320" t="s">
        <v>394</v>
      </c>
      <c r="C97" s="301">
        <f>SUM(D97:E97)</f>
        <v>0</v>
      </c>
      <c r="D97" s="302">
        <f>F97+H97</f>
        <v>0</v>
      </c>
      <c r="E97" s="303"/>
      <c r="F97" s="321">
        <v>0</v>
      </c>
      <c r="G97" s="305"/>
      <c r="H97" s="304"/>
      <c r="I97" s="306"/>
    </row>
    <row r="98" spans="1:9" ht="10.5" customHeight="1" hidden="1">
      <c r="A98" s="291"/>
      <c r="B98" s="320" t="s">
        <v>383</v>
      </c>
      <c r="C98" s="301">
        <f>SUM(D98:E98)</f>
        <v>0</v>
      </c>
      <c r="D98" s="302">
        <f>F98+H98</f>
        <v>0</v>
      </c>
      <c r="E98" s="303"/>
      <c r="F98" s="321"/>
      <c r="G98" s="297"/>
      <c r="H98" s="296"/>
      <c r="I98" s="306"/>
    </row>
    <row r="99" spans="1:9" s="471" customFormat="1" ht="27" thickBot="1" thickTop="1">
      <c r="A99" s="345">
        <v>700</v>
      </c>
      <c r="B99" s="285" t="s">
        <v>406</v>
      </c>
      <c r="C99" s="286">
        <f>C111+C119+C122+C129+C132</f>
        <v>24700970</v>
      </c>
      <c r="D99" s="287">
        <f>D111+D119+D122+D129+D132</f>
        <v>24657470</v>
      </c>
      <c r="E99" s="288">
        <f>E111+E119+E122+E132</f>
        <v>43500</v>
      </c>
      <c r="F99" s="289">
        <f>F111+F119+F122+F129+F132</f>
        <v>24657470</v>
      </c>
      <c r="G99" s="288"/>
      <c r="H99" s="289"/>
      <c r="I99" s="234">
        <f>I111+I119+I122+I132</f>
        <v>43500</v>
      </c>
    </row>
    <row r="100" spans="1:9" s="290" customFormat="1" ht="13.5" thickTop="1">
      <c r="A100" s="351"/>
      <c r="B100" s="352" t="s">
        <v>382</v>
      </c>
      <c r="C100" s="353">
        <f>D100+E100</f>
        <v>11133970</v>
      </c>
      <c r="D100" s="354">
        <f>F100+H100</f>
        <v>11090470</v>
      </c>
      <c r="E100" s="355">
        <f>G100+I100</f>
        <v>43500</v>
      </c>
      <c r="F100" s="358">
        <f>F123+F133+F112</f>
        <v>11090470</v>
      </c>
      <c r="G100" s="354"/>
      <c r="H100" s="358"/>
      <c r="I100" s="359">
        <f>I123+I133</f>
        <v>43500</v>
      </c>
    </row>
    <row r="101" spans="1:9" s="364" customFormat="1" ht="11.25" customHeight="1">
      <c r="A101" s="373"/>
      <c r="B101" s="300" t="s">
        <v>407</v>
      </c>
      <c r="C101" s="361">
        <f>D101+E101</f>
        <v>6700</v>
      </c>
      <c r="D101" s="362">
        <f>F101+H101</f>
        <v>6700</v>
      </c>
      <c r="E101" s="305"/>
      <c r="F101" s="304">
        <f>F134</f>
        <v>6700</v>
      </c>
      <c r="G101" s="362"/>
      <c r="H101" s="304"/>
      <c r="I101" s="306"/>
    </row>
    <row r="102" spans="1:9" s="364" customFormat="1" ht="12" customHeight="1">
      <c r="A102" s="373"/>
      <c r="B102" s="300" t="s">
        <v>408</v>
      </c>
      <c r="C102" s="361"/>
      <c r="D102" s="362"/>
      <c r="E102" s="305"/>
      <c r="F102" s="304"/>
      <c r="G102" s="472"/>
      <c r="H102" s="304"/>
      <c r="I102" s="306"/>
    </row>
    <row r="103" spans="1:9" s="364" customFormat="1" ht="9.75" customHeight="1">
      <c r="A103" s="373"/>
      <c r="B103" s="320" t="s">
        <v>394</v>
      </c>
      <c r="C103" s="361">
        <f aca="true" t="shared" si="2" ref="C103:C110">D103+E103</f>
        <v>6700000</v>
      </c>
      <c r="D103" s="362">
        <f aca="true" t="shared" si="3" ref="D103:D110">F103+H103</f>
        <v>6700000</v>
      </c>
      <c r="E103" s="305"/>
      <c r="F103" s="304">
        <f>F113</f>
        <v>6700000</v>
      </c>
      <c r="G103" s="473"/>
      <c r="H103" s="304"/>
      <c r="I103" s="306"/>
    </row>
    <row r="104" spans="1:9" s="364" customFormat="1" ht="10.5" customHeight="1">
      <c r="A104" s="373"/>
      <c r="B104" s="320" t="s">
        <v>383</v>
      </c>
      <c r="C104" s="361">
        <f t="shared" si="2"/>
        <v>4427270</v>
      </c>
      <c r="D104" s="362">
        <f t="shared" si="3"/>
        <v>4383770</v>
      </c>
      <c r="E104" s="305">
        <f>G104+I104</f>
        <v>43500</v>
      </c>
      <c r="F104" s="304">
        <f>F126+F136+F115</f>
        <v>4383770</v>
      </c>
      <c r="G104" s="362"/>
      <c r="H104" s="304"/>
      <c r="I104" s="306">
        <f>I126+I136</f>
        <v>43500</v>
      </c>
    </row>
    <row r="105" spans="1:9" s="364" customFormat="1" ht="10.5" customHeight="1">
      <c r="A105" s="373"/>
      <c r="B105" s="320" t="s">
        <v>390</v>
      </c>
      <c r="C105" s="361"/>
      <c r="D105" s="362"/>
      <c r="E105" s="305"/>
      <c r="F105" s="304"/>
      <c r="G105" s="362"/>
      <c r="H105" s="304"/>
      <c r="I105" s="306"/>
    </row>
    <row r="106" spans="1:9" s="290" customFormat="1" ht="12.75">
      <c r="A106" s="351"/>
      <c r="B106" s="370" t="s">
        <v>378</v>
      </c>
      <c r="C106" s="353">
        <f t="shared" si="2"/>
        <v>13567000</v>
      </c>
      <c r="D106" s="354">
        <f t="shared" si="3"/>
        <v>13567000</v>
      </c>
      <c r="E106" s="355"/>
      <c r="F106" s="371">
        <f>F116+F127+F130+F138</f>
        <v>13567000</v>
      </c>
      <c r="G106" s="354"/>
      <c r="H106" s="371"/>
      <c r="I106" s="372"/>
    </row>
    <row r="107" spans="1:9" s="364" customFormat="1" ht="13.5">
      <c r="A107" s="373"/>
      <c r="B107" s="300" t="s">
        <v>391</v>
      </c>
      <c r="C107" s="361">
        <f t="shared" si="2"/>
        <v>7050000</v>
      </c>
      <c r="D107" s="362">
        <f t="shared" si="3"/>
        <v>7050000</v>
      </c>
      <c r="E107" s="305"/>
      <c r="F107" s="304">
        <f>F117+F139</f>
        <v>7050000</v>
      </c>
      <c r="G107" s="362"/>
      <c r="H107" s="304"/>
      <c r="I107" s="306"/>
    </row>
    <row r="108" spans="1:9" s="385" customFormat="1" ht="12.75" hidden="1">
      <c r="A108" s="474"/>
      <c r="B108" s="377" t="s">
        <v>395</v>
      </c>
      <c r="C108" s="452">
        <f t="shared" si="2"/>
        <v>400000</v>
      </c>
      <c r="D108" s="453">
        <f t="shared" si="3"/>
        <v>400000</v>
      </c>
      <c r="E108" s="297"/>
      <c r="F108" s="296">
        <f>F118</f>
        <v>400000</v>
      </c>
      <c r="G108" s="453"/>
      <c r="H108" s="296"/>
      <c r="I108" s="298"/>
    </row>
    <row r="109" spans="1:9" s="364" customFormat="1" ht="13.5">
      <c r="A109" s="373"/>
      <c r="B109" s="300" t="s">
        <v>379</v>
      </c>
      <c r="C109" s="361">
        <f t="shared" si="2"/>
        <v>1000000</v>
      </c>
      <c r="D109" s="362">
        <f t="shared" si="3"/>
        <v>1000000</v>
      </c>
      <c r="E109" s="305"/>
      <c r="F109" s="304">
        <f>F128</f>
        <v>1000000</v>
      </c>
      <c r="G109" s="362"/>
      <c r="H109" s="304"/>
      <c r="I109" s="306"/>
    </row>
    <row r="110" spans="1:9" s="364" customFormat="1" ht="14.25" thickBot="1">
      <c r="A110" s="386"/>
      <c r="B110" s="475" t="s">
        <v>396</v>
      </c>
      <c r="C110" s="458">
        <f t="shared" si="2"/>
        <v>5517000</v>
      </c>
      <c r="D110" s="459">
        <f t="shared" si="3"/>
        <v>5517000</v>
      </c>
      <c r="E110" s="476"/>
      <c r="F110" s="461">
        <f>F131</f>
        <v>5517000</v>
      </c>
      <c r="G110" s="459"/>
      <c r="H110" s="461"/>
      <c r="I110" s="394"/>
    </row>
    <row r="111" spans="1:9" s="315" customFormat="1" ht="24.75" thickTop="1">
      <c r="A111" s="395">
        <v>70001</v>
      </c>
      <c r="B111" s="464" t="s">
        <v>409</v>
      </c>
      <c r="C111" s="465">
        <f>SUM(C112)+C116</f>
        <v>7100000</v>
      </c>
      <c r="D111" s="466">
        <f>SUM(D112)+D116</f>
        <v>7100000</v>
      </c>
      <c r="E111" s="467"/>
      <c r="F111" s="468">
        <f>SUM(F112)+F116</f>
        <v>7100000</v>
      </c>
      <c r="G111" s="467"/>
      <c r="H111" s="468"/>
      <c r="I111" s="469"/>
    </row>
    <row r="112" spans="1:9" ht="12.75">
      <c r="A112" s="291"/>
      <c r="B112" s="316" t="s">
        <v>382</v>
      </c>
      <c r="C112" s="293">
        <f>SUM(C113:C115)</f>
        <v>6700000</v>
      </c>
      <c r="D112" s="294">
        <f>SUM(D113:D115)</f>
        <v>6700000</v>
      </c>
      <c r="E112" s="295"/>
      <c r="F112" s="296">
        <f>SUM(F113:F115)</f>
        <v>6700000</v>
      </c>
      <c r="G112" s="429"/>
      <c r="H112" s="430"/>
      <c r="I112" s="431"/>
    </row>
    <row r="113" spans="1:9" ht="11.25" customHeight="1">
      <c r="A113" s="291"/>
      <c r="B113" s="320" t="s">
        <v>394</v>
      </c>
      <c r="C113" s="301">
        <f>SUM(D113:E113)</f>
        <v>6700000</v>
      </c>
      <c r="D113" s="302">
        <f>F113+H113</f>
        <v>6700000</v>
      </c>
      <c r="E113" s="303"/>
      <c r="F113" s="321">
        <v>6700000</v>
      </c>
      <c r="G113" s="297"/>
      <c r="H113" s="296"/>
      <c r="I113" s="298"/>
    </row>
    <row r="114" spans="1:9" ht="11.25" customHeight="1" hidden="1">
      <c r="A114" s="291"/>
      <c r="B114" s="320" t="s">
        <v>410</v>
      </c>
      <c r="C114" s="301">
        <f>SUM(D114:E114)</f>
        <v>0</v>
      </c>
      <c r="D114" s="302">
        <f>F114+H114</f>
        <v>0</v>
      </c>
      <c r="E114" s="303"/>
      <c r="F114" s="321"/>
      <c r="G114" s="297"/>
      <c r="H114" s="296"/>
      <c r="I114" s="298"/>
    </row>
    <row r="115" spans="1:9" ht="12.75" customHeight="1" hidden="1">
      <c r="A115" s="291"/>
      <c r="B115" s="320" t="s">
        <v>383</v>
      </c>
      <c r="C115" s="301">
        <f>SUM(D115:E115)</f>
        <v>0</v>
      </c>
      <c r="D115" s="302">
        <f>F115+H115</f>
        <v>0</v>
      </c>
      <c r="E115" s="303"/>
      <c r="F115" s="321"/>
      <c r="G115" s="295"/>
      <c r="H115" s="317"/>
      <c r="I115" s="325"/>
    </row>
    <row r="116" spans="1:9" ht="12.75" customHeight="1">
      <c r="A116" s="291"/>
      <c r="B116" s="292" t="s">
        <v>378</v>
      </c>
      <c r="C116" s="452">
        <f>SUM(C117)</f>
        <v>400000</v>
      </c>
      <c r="D116" s="453">
        <f>SUM(D117)</f>
        <v>400000</v>
      </c>
      <c r="E116" s="295"/>
      <c r="F116" s="296">
        <f>SUM(F117)</f>
        <v>400000</v>
      </c>
      <c r="G116" s="297"/>
      <c r="H116" s="296"/>
      <c r="I116" s="298"/>
    </row>
    <row r="117" spans="1:9" ht="13.5" customHeight="1">
      <c r="A117" s="291"/>
      <c r="B117" s="300" t="s">
        <v>391</v>
      </c>
      <c r="C117" s="301">
        <f>SUM(D117:E117)</f>
        <v>400000</v>
      </c>
      <c r="D117" s="302">
        <f>F117+H117</f>
        <v>400000</v>
      </c>
      <c r="E117" s="295"/>
      <c r="F117" s="321">
        <v>400000</v>
      </c>
      <c r="G117" s="297"/>
      <c r="H117" s="296"/>
      <c r="I117" s="298"/>
    </row>
    <row r="118" spans="1:9" s="385" customFormat="1" ht="12" customHeight="1">
      <c r="A118" s="437"/>
      <c r="B118" s="438" t="s">
        <v>395</v>
      </c>
      <c r="C118" s="477">
        <f>SUM(D118:E118)</f>
        <v>400000</v>
      </c>
      <c r="D118" s="478">
        <f>F118+H118</f>
        <v>400000</v>
      </c>
      <c r="E118" s="443"/>
      <c r="F118" s="444">
        <v>400000</v>
      </c>
      <c r="G118" s="443"/>
      <c r="H118" s="444"/>
      <c r="I118" s="445"/>
    </row>
    <row r="119" spans="1:9" s="315" customFormat="1" ht="13.5" customHeight="1" hidden="1">
      <c r="A119" s="346">
        <v>70004</v>
      </c>
      <c r="B119" s="470" t="s">
        <v>411</v>
      </c>
      <c r="C119" s="322">
        <f>SUM(C121)</f>
        <v>0</v>
      </c>
      <c r="D119" s="225">
        <f>SUM(D121)</f>
        <v>0</v>
      </c>
      <c r="E119" s="323"/>
      <c r="F119" s="324">
        <f>SUM(F121)</f>
        <v>0</v>
      </c>
      <c r="G119" s="323"/>
      <c r="H119" s="324"/>
      <c r="I119" s="227"/>
    </row>
    <row r="120" spans="1:9" ht="12.75" customHeight="1" hidden="1">
      <c r="A120" s="291"/>
      <c r="B120" s="316" t="s">
        <v>382</v>
      </c>
      <c r="C120" s="293">
        <f>SUM(C121)</f>
        <v>0</v>
      </c>
      <c r="D120" s="294">
        <f>SUM(D121)</f>
        <v>0</v>
      </c>
      <c r="E120" s="295"/>
      <c r="F120" s="296">
        <f>SUM(F121)</f>
        <v>0</v>
      </c>
      <c r="G120" s="429"/>
      <c r="H120" s="430"/>
      <c r="I120" s="431"/>
    </row>
    <row r="121" spans="1:9" ht="12" customHeight="1" hidden="1">
      <c r="A121" s="291"/>
      <c r="B121" s="320" t="s">
        <v>383</v>
      </c>
      <c r="C121" s="301">
        <f>SUM(D121:E121)</f>
        <v>0</v>
      </c>
      <c r="D121" s="302">
        <f>F121+H121</f>
        <v>0</v>
      </c>
      <c r="E121" s="303"/>
      <c r="F121" s="304">
        <v>0</v>
      </c>
      <c r="G121" s="297"/>
      <c r="H121" s="296"/>
      <c r="I121" s="298"/>
    </row>
    <row r="122" spans="1:9" s="315" customFormat="1" ht="24.75" customHeight="1">
      <c r="A122" s="346">
        <v>70005</v>
      </c>
      <c r="B122" s="470" t="s">
        <v>412</v>
      </c>
      <c r="C122" s="322">
        <f>C123+C127</f>
        <v>5406370</v>
      </c>
      <c r="D122" s="225">
        <f>D123+D127</f>
        <v>5362870</v>
      </c>
      <c r="E122" s="323">
        <f>SUM(E123)</f>
        <v>43500</v>
      </c>
      <c r="F122" s="324">
        <f>F123+F127</f>
        <v>5362870</v>
      </c>
      <c r="G122" s="323"/>
      <c r="H122" s="324"/>
      <c r="I122" s="227">
        <f>I123+I127</f>
        <v>43500</v>
      </c>
    </row>
    <row r="123" spans="1:9" ht="14.25" customHeight="1">
      <c r="A123" s="479"/>
      <c r="B123" s="480" t="s">
        <v>382</v>
      </c>
      <c r="C123" s="447">
        <f>SUM(C124:C126)</f>
        <v>4406370</v>
      </c>
      <c r="D123" s="481">
        <f>SUM(D126)</f>
        <v>4362870</v>
      </c>
      <c r="E123" s="482">
        <f>SUM(E124:E126)</f>
        <v>43500</v>
      </c>
      <c r="F123" s="483">
        <f>SUM(F126)</f>
        <v>4362870</v>
      </c>
      <c r="G123" s="484"/>
      <c r="H123" s="485"/>
      <c r="I123" s="486">
        <f>SUM(I124:I126)</f>
        <v>43500</v>
      </c>
    </row>
    <row r="124" spans="1:9" ht="12.75" hidden="1">
      <c r="A124" s="291"/>
      <c r="B124" s="300" t="s">
        <v>407</v>
      </c>
      <c r="C124" s="301">
        <f>SUM(D124:E124)</f>
        <v>0</v>
      </c>
      <c r="D124" s="302">
        <f>F124+H124</f>
        <v>0</v>
      </c>
      <c r="E124" s="303">
        <f>G124+I124</f>
        <v>0</v>
      </c>
      <c r="F124" s="296"/>
      <c r="G124" s="429"/>
      <c r="H124" s="430"/>
      <c r="I124" s="298"/>
    </row>
    <row r="125" spans="1:9" ht="12.75" hidden="1">
      <c r="A125" s="291"/>
      <c r="B125" s="300" t="s">
        <v>408</v>
      </c>
      <c r="C125" s="301"/>
      <c r="D125" s="302"/>
      <c r="E125" s="295"/>
      <c r="F125" s="296"/>
      <c r="G125" s="429"/>
      <c r="H125" s="430"/>
      <c r="I125" s="298"/>
    </row>
    <row r="126" spans="1:9" ht="12" customHeight="1">
      <c r="A126" s="291"/>
      <c r="B126" s="320" t="s">
        <v>383</v>
      </c>
      <c r="C126" s="301">
        <f>SUM(D126:E126)</f>
        <v>4406370</v>
      </c>
      <c r="D126" s="302">
        <f>F126+H126</f>
        <v>4362870</v>
      </c>
      <c r="E126" s="303">
        <f>G126+I126</f>
        <v>43500</v>
      </c>
      <c r="F126" s="321">
        <v>4362870</v>
      </c>
      <c r="G126" s="295"/>
      <c r="H126" s="317"/>
      <c r="I126" s="325">
        <v>43500</v>
      </c>
    </row>
    <row r="127" spans="1:9" ht="11.25" customHeight="1">
      <c r="A127" s="291"/>
      <c r="B127" s="292" t="s">
        <v>378</v>
      </c>
      <c r="C127" s="293">
        <f>SUM(C128)</f>
        <v>1000000</v>
      </c>
      <c r="D127" s="294">
        <f>F127+H127</f>
        <v>1000000</v>
      </c>
      <c r="E127" s="295"/>
      <c r="F127" s="296">
        <f>SUM(F128)</f>
        <v>1000000</v>
      </c>
      <c r="G127" s="297"/>
      <c r="H127" s="296"/>
      <c r="I127" s="298"/>
    </row>
    <row r="128" spans="1:9" ht="11.25" customHeight="1">
      <c r="A128" s="416"/>
      <c r="B128" s="349" t="s">
        <v>379</v>
      </c>
      <c r="C128" s="417">
        <f>SUM(D128:E128)</f>
        <v>1000000</v>
      </c>
      <c r="D128" s="418">
        <f>F128+H128</f>
        <v>1000000</v>
      </c>
      <c r="E128" s="419"/>
      <c r="F128" s="420">
        <v>1000000</v>
      </c>
      <c r="G128" s="421"/>
      <c r="H128" s="422"/>
      <c r="I128" s="436"/>
    </row>
    <row r="129" spans="1:9" ht="36.75" customHeight="1">
      <c r="A129" s="346">
        <v>70021</v>
      </c>
      <c r="B129" s="470" t="s">
        <v>413</v>
      </c>
      <c r="C129" s="322">
        <f>C130</f>
        <v>5517000</v>
      </c>
      <c r="D129" s="225">
        <f>D130</f>
        <v>5517000</v>
      </c>
      <c r="E129" s="323"/>
      <c r="F129" s="324">
        <f>F130</f>
        <v>5517000</v>
      </c>
      <c r="G129" s="323"/>
      <c r="H129" s="324"/>
      <c r="I129" s="227"/>
    </row>
    <row r="130" spans="1:9" ht="12.75">
      <c r="A130" s="291"/>
      <c r="B130" s="292" t="s">
        <v>378</v>
      </c>
      <c r="C130" s="487">
        <f>SUM(D130:E130)</f>
        <v>5517000</v>
      </c>
      <c r="D130" s="294">
        <f>F130+H130</f>
        <v>5517000</v>
      </c>
      <c r="E130" s="303"/>
      <c r="F130" s="321">
        <f>F131</f>
        <v>5517000</v>
      </c>
      <c r="G130" s="297"/>
      <c r="H130" s="296"/>
      <c r="I130" s="306"/>
    </row>
    <row r="131" spans="1:9" ht="11.25" customHeight="1">
      <c r="A131" s="416"/>
      <c r="B131" s="349" t="s">
        <v>396</v>
      </c>
      <c r="C131" s="417">
        <f>SUM(D131:E131)</f>
        <v>5517000</v>
      </c>
      <c r="D131" s="418">
        <f>F131+H131</f>
        <v>5517000</v>
      </c>
      <c r="E131" s="419"/>
      <c r="F131" s="420">
        <v>5517000</v>
      </c>
      <c r="G131" s="421"/>
      <c r="H131" s="422"/>
      <c r="I131" s="436"/>
    </row>
    <row r="132" spans="1:9" s="315" customFormat="1" ht="12">
      <c r="A132" s="346">
        <v>70095</v>
      </c>
      <c r="B132" s="470" t="s">
        <v>389</v>
      </c>
      <c r="C132" s="322">
        <f>C133+C138</f>
        <v>6677600</v>
      </c>
      <c r="D132" s="225">
        <f>D133+D138</f>
        <v>6677600</v>
      </c>
      <c r="E132" s="323"/>
      <c r="F132" s="324">
        <f>F133+F138</f>
        <v>6677600</v>
      </c>
      <c r="G132" s="323"/>
      <c r="H132" s="324"/>
      <c r="I132" s="227"/>
    </row>
    <row r="133" spans="1:9" ht="12.75">
      <c r="A133" s="291"/>
      <c r="B133" s="316" t="s">
        <v>382</v>
      </c>
      <c r="C133" s="293">
        <f>SUM(C134:C136)</f>
        <v>27600</v>
      </c>
      <c r="D133" s="294">
        <f>SUM(D134:D136)</f>
        <v>27600</v>
      </c>
      <c r="E133" s="295"/>
      <c r="F133" s="296">
        <f>SUM(F134:F136)</f>
        <v>27600</v>
      </c>
      <c r="G133" s="429"/>
      <c r="H133" s="430"/>
      <c r="I133" s="298"/>
    </row>
    <row r="134" spans="1:9" ht="12.75">
      <c r="A134" s="291"/>
      <c r="B134" s="300" t="s">
        <v>407</v>
      </c>
      <c r="C134" s="301">
        <f>SUM(D134:E134)</f>
        <v>6700</v>
      </c>
      <c r="D134" s="302">
        <f>F134+H134</f>
        <v>6700</v>
      </c>
      <c r="E134" s="295"/>
      <c r="F134" s="296">
        <v>6700</v>
      </c>
      <c r="G134" s="429"/>
      <c r="H134" s="430"/>
      <c r="I134" s="298"/>
    </row>
    <row r="135" spans="1:9" ht="12.75">
      <c r="A135" s="291"/>
      <c r="B135" s="300" t="s">
        <v>408</v>
      </c>
      <c r="C135" s="301"/>
      <c r="D135" s="302"/>
      <c r="E135" s="295"/>
      <c r="F135" s="296"/>
      <c r="G135" s="429"/>
      <c r="H135" s="430"/>
      <c r="I135" s="298"/>
    </row>
    <row r="136" spans="1:9" ht="11.25" customHeight="1">
      <c r="A136" s="291"/>
      <c r="B136" s="320" t="s">
        <v>383</v>
      </c>
      <c r="C136" s="301">
        <f>SUM(D136:E136)</f>
        <v>20900</v>
      </c>
      <c r="D136" s="302">
        <f>F136+H136</f>
        <v>20900</v>
      </c>
      <c r="E136" s="303"/>
      <c r="F136" s="321">
        <v>20900</v>
      </c>
      <c r="G136" s="297"/>
      <c r="H136" s="296"/>
      <c r="I136" s="306"/>
    </row>
    <row r="137" spans="1:9" ht="11.25" customHeight="1" hidden="1">
      <c r="A137" s="291"/>
      <c r="B137" s="320" t="s">
        <v>390</v>
      </c>
      <c r="C137" s="301">
        <f>SUM(D137:E137)</f>
        <v>0</v>
      </c>
      <c r="D137" s="302">
        <f>F137+H137</f>
        <v>0</v>
      </c>
      <c r="E137" s="303"/>
      <c r="F137" s="321"/>
      <c r="G137" s="297"/>
      <c r="H137" s="296"/>
      <c r="I137" s="306"/>
    </row>
    <row r="138" spans="1:9" ht="12" customHeight="1">
      <c r="A138" s="291"/>
      <c r="B138" s="292" t="s">
        <v>378</v>
      </c>
      <c r="C138" s="293">
        <f>SUM(C139:C140)</f>
        <v>6650000</v>
      </c>
      <c r="D138" s="294">
        <f>F138+H138</f>
        <v>6650000</v>
      </c>
      <c r="E138" s="295"/>
      <c r="F138" s="296">
        <f>SUM(F139:F140)</f>
        <v>6650000</v>
      </c>
      <c r="G138" s="297"/>
      <c r="H138" s="296"/>
      <c r="I138" s="298"/>
    </row>
    <row r="139" spans="1:9" s="307" customFormat="1" ht="14.25" customHeight="1" thickBot="1">
      <c r="A139" s="432"/>
      <c r="B139" s="349" t="s">
        <v>391</v>
      </c>
      <c r="C139" s="417">
        <f>SUM(D139:E139)</f>
        <v>6650000</v>
      </c>
      <c r="D139" s="418">
        <f>F139+H139</f>
        <v>6650000</v>
      </c>
      <c r="E139" s="419"/>
      <c r="F139" s="420">
        <v>6650000</v>
      </c>
      <c r="G139" s="419"/>
      <c r="H139" s="420"/>
      <c r="I139" s="428"/>
    </row>
    <row r="140" spans="1:9" ht="12.75" hidden="1" thickBot="1">
      <c r="A140" s="291"/>
      <c r="B140" s="300" t="s">
        <v>414</v>
      </c>
      <c r="C140" s="417">
        <f>SUM(D140:E140)</f>
        <v>0</v>
      </c>
      <c r="D140" s="302">
        <f>F140+H140</f>
        <v>0</v>
      </c>
      <c r="E140" s="303"/>
      <c r="F140" s="321">
        <v>0</v>
      </c>
      <c r="G140" s="295"/>
      <c r="H140" s="317"/>
      <c r="I140" s="318"/>
    </row>
    <row r="141" spans="1:9" s="471" customFormat="1" ht="30" customHeight="1" thickBot="1" thickTop="1">
      <c r="A141" s="345">
        <v>710</v>
      </c>
      <c r="B141" s="285" t="s">
        <v>257</v>
      </c>
      <c r="C141" s="286">
        <f>C154+C157+C160+C167+C149+C174</f>
        <v>3804400</v>
      </c>
      <c r="D141" s="287">
        <f>D154+D157+D160+D167+D149+D174</f>
        <v>3349700</v>
      </c>
      <c r="E141" s="288">
        <f>E154+E157+E160+E167</f>
        <v>454700</v>
      </c>
      <c r="F141" s="289">
        <f>F154+F157+F160+F167+F149+F174</f>
        <v>3149700</v>
      </c>
      <c r="G141" s="288">
        <f>G154+G157+G160+G167+G149</f>
        <v>16600</v>
      </c>
      <c r="H141" s="287">
        <f>H154+H157+H160+H167+H149</f>
        <v>200000</v>
      </c>
      <c r="I141" s="234">
        <f>I154+I157+I160+I167+I149</f>
        <v>438100</v>
      </c>
    </row>
    <row r="142" spans="1:9" s="290" customFormat="1" ht="14.25" customHeight="1" thickTop="1">
      <c r="A142" s="351"/>
      <c r="B142" s="352" t="s">
        <v>382</v>
      </c>
      <c r="C142" s="353">
        <f>D142+E142</f>
        <v>3296400</v>
      </c>
      <c r="D142" s="354">
        <f>F142+H142</f>
        <v>2849700</v>
      </c>
      <c r="E142" s="355">
        <f>G142+I142</f>
        <v>446700</v>
      </c>
      <c r="F142" s="358">
        <f>F150+F155+F158+F161+F168</f>
        <v>2649700</v>
      </c>
      <c r="G142" s="357">
        <f>G150+G155+G158+G161+G168</f>
        <v>16600</v>
      </c>
      <c r="H142" s="235">
        <f>H150+H155+H158+H161+H168</f>
        <v>200000</v>
      </c>
      <c r="I142" s="359">
        <f>I150+I155+I158+I161+I168</f>
        <v>430100</v>
      </c>
    </row>
    <row r="143" spans="1:9" s="364" customFormat="1" ht="12" customHeight="1">
      <c r="A143" s="373"/>
      <c r="B143" s="300" t="s">
        <v>407</v>
      </c>
      <c r="C143" s="361">
        <f>D143+E143</f>
        <v>471150</v>
      </c>
      <c r="D143" s="362">
        <f>F143+H143</f>
        <v>184300</v>
      </c>
      <c r="E143" s="305">
        <f>G143+I143</f>
        <v>286850</v>
      </c>
      <c r="F143" s="363">
        <f>F151+F162</f>
        <v>24700</v>
      </c>
      <c r="G143" s="305"/>
      <c r="H143" s="473">
        <f>H162</f>
        <v>159600</v>
      </c>
      <c r="I143" s="306">
        <f>I162</f>
        <v>286850</v>
      </c>
    </row>
    <row r="144" spans="1:9" s="364" customFormat="1" ht="12" customHeight="1">
      <c r="A144" s="373"/>
      <c r="B144" s="300" t="s">
        <v>408</v>
      </c>
      <c r="C144" s="361"/>
      <c r="D144" s="362"/>
      <c r="E144" s="305"/>
      <c r="F144" s="304"/>
      <c r="G144" s="305"/>
      <c r="H144" s="473"/>
      <c r="I144" s="306"/>
    </row>
    <row r="145" spans="1:9" s="364" customFormat="1" ht="12" customHeight="1">
      <c r="A145" s="373"/>
      <c r="B145" s="320" t="s">
        <v>383</v>
      </c>
      <c r="C145" s="361">
        <f>D145+E145</f>
        <v>2825250</v>
      </c>
      <c r="D145" s="362">
        <f>F145+H145</f>
        <v>2665400</v>
      </c>
      <c r="E145" s="305">
        <f>G145+I145</f>
        <v>159850</v>
      </c>
      <c r="F145" s="304">
        <f>F153+F156+F159+F164+F169</f>
        <v>2625000</v>
      </c>
      <c r="G145" s="305">
        <f>G169</f>
        <v>16600</v>
      </c>
      <c r="H145" s="473">
        <f>H153+H156+H159+H164</f>
        <v>40400</v>
      </c>
      <c r="I145" s="306">
        <f>I153+I156+I159+I164</f>
        <v>143250</v>
      </c>
    </row>
    <row r="146" spans="1:9" s="290" customFormat="1" ht="12.75">
      <c r="A146" s="351"/>
      <c r="B146" s="370" t="s">
        <v>378</v>
      </c>
      <c r="C146" s="353">
        <f>D146+E146</f>
        <v>508000</v>
      </c>
      <c r="D146" s="354">
        <f>F146+H146</f>
        <v>500000</v>
      </c>
      <c r="E146" s="354">
        <f>G146+I146</f>
        <v>8000</v>
      </c>
      <c r="F146" s="371">
        <f>SUM(F147:F148)</f>
        <v>500000</v>
      </c>
      <c r="G146" s="355"/>
      <c r="H146" s="235"/>
      <c r="I146" s="372">
        <f>SUM(I147:I148)</f>
        <v>8000</v>
      </c>
    </row>
    <row r="147" spans="1:9" s="364" customFormat="1" ht="13.5">
      <c r="A147" s="373"/>
      <c r="B147" s="300" t="s">
        <v>391</v>
      </c>
      <c r="C147" s="301">
        <f>D147+E147</f>
        <v>500000</v>
      </c>
      <c r="D147" s="302">
        <f>F147+H147</f>
        <v>500000</v>
      </c>
      <c r="E147" s="303"/>
      <c r="F147" s="321">
        <f>F173</f>
        <v>500000</v>
      </c>
      <c r="G147" s="303"/>
      <c r="H147" s="302"/>
      <c r="I147" s="325"/>
    </row>
    <row r="148" spans="1:9" ht="13.5" thickBot="1">
      <c r="A148" s="488"/>
      <c r="B148" s="475" t="s">
        <v>379</v>
      </c>
      <c r="C148" s="388">
        <f>SUM(D148:E148)</f>
        <v>8000</v>
      </c>
      <c r="D148" s="389"/>
      <c r="E148" s="392">
        <f>G148+I148</f>
        <v>8000</v>
      </c>
      <c r="F148" s="461"/>
      <c r="G148" s="476"/>
      <c r="H148" s="459"/>
      <c r="I148" s="394">
        <f>I166</f>
        <v>8000</v>
      </c>
    </row>
    <row r="149" spans="1:9" s="315" customFormat="1" ht="27" customHeight="1" thickTop="1">
      <c r="A149" s="395">
        <v>71004</v>
      </c>
      <c r="B149" s="464" t="s">
        <v>415</v>
      </c>
      <c r="C149" s="465">
        <f>SUM(C150)</f>
        <v>1260700</v>
      </c>
      <c r="D149" s="466">
        <f>D150+D154</f>
        <v>1260700</v>
      </c>
      <c r="E149" s="467"/>
      <c r="F149" s="468">
        <f>SUM(F150)</f>
        <v>1260700</v>
      </c>
      <c r="G149" s="467"/>
      <c r="H149" s="468"/>
      <c r="I149" s="469"/>
    </row>
    <row r="150" spans="1:9" ht="13.5" customHeight="1">
      <c r="A150" s="291"/>
      <c r="B150" s="316" t="s">
        <v>382</v>
      </c>
      <c r="C150" s="293">
        <f>SUM(C153)+C151</f>
        <v>1260700</v>
      </c>
      <c r="D150" s="294">
        <f>SUM(D153)+D151</f>
        <v>1260700</v>
      </c>
      <c r="E150" s="295"/>
      <c r="F150" s="296">
        <f>F151+F153</f>
        <v>1260700</v>
      </c>
      <c r="G150" s="429"/>
      <c r="H150" s="430"/>
      <c r="I150" s="298"/>
    </row>
    <row r="151" spans="1:9" ht="12.75">
      <c r="A151" s="291"/>
      <c r="B151" s="300" t="s">
        <v>407</v>
      </c>
      <c r="C151" s="301">
        <f>SUM(D151:E151)</f>
        <v>24700</v>
      </c>
      <c r="D151" s="302">
        <f>F151+H151</f>
        <v>24700</v>
      </c>
      <c r="E151" s="295"/>
      <c r="F151" s="296">
        <v>24700</v>
      </c>
      <c r="G151" s="429"/>
      <c r="H151" s="430"/>
      <c r="I151" s="298"/>
    </row>
    <row r="152" spans="1:9" ht="11.25" customHeight="1">
      <c r="A152" s="291"/>
      <c r="B152" s="300" t="s">
        <v>408</v>
      </c>
      <c r="C152" s="301"/>
      <c r="D152" s="302"/>
      <c r="E152" s="295"/>
      <c r="F152" s="296"/>
      <c r="G152" s="429"/>
      <c r="H152" s="430"/>
      <c r="I152" s="298"/>
    </row>
    <row r="153" spans="1:9" ht="12" customHeight="1">
      <c r="A153" s="291"/>
      <c r="B153" s="320" t="s">
        <v>383</v>
      </c>
      <c r="C153" s="301">
        <f>SUM(D153:E153)</f>
        <v>1236000</v>
      </c>
      <c r="D153" s="302">
        <f>F153+H153</f>
        <v>1236000</v>
      </c>
      <c r="E153" s="303"/>
      <c r="F153" s="321">
        <v>1236000</v>
      </c>
      <c r="G153" s="295"/>
      <c r="H153" s="317"/>
      <c r="I153" s="325"/>
    </row>
    <row r="154" spans="1:9" s="315" customFormat="1" ht="24.75" customHeight="1">
      <c r="A154" s="346">
        <v>71013</v>
      </c>
      <c r="B154" s="470" t="s">
        <v>416</v>
      </c>
      <c r="C154" s="322">
        <f aca="true" t="shared" si="4" ref="C154:E155">SUM(C155)</f>
        <v>80000</v>
      </c>
      <c r="D154" s="225"/>
      <c r="E154" s="323">
        <f t="shared" si="4"/>
        <v>80000</v>
      </c>
      <c r="F154" s="324"/>
      <c r="G154" s="323"/>
      <c r="H154" s="324"/>
      <c r="I154" s="227">
        <f>SUM(I155)</f>
        <v>80000</v>
      </c>
    </row>
    <row r="155" spans="1:9" ht="12" customHeight="1">
      <c r="A155" s="291"/>
      <c r="B155" s="316" t="s">
        <v>382</v>
      </c>
      <c r="C155" s="293">
        <f t="shared" si="4"/>
        <v>80000</v>
      </c>
      <c r="D155" s="294"/>
      <c r="E155" s="295">
        <f t="shared" si="4"/>
        <v>80000</v>
      </c>
      <c r="F155" s="296"/>
      <c r="G155" s="429"/>
      <c r="H155" s="430"/>
      <c r="I155" s="298">
        <f>SUM(I156)</f>
        <v>80000</v>
      </c>
    </row>
    <row r="156" spans="1:9" ht="11.25" customHeight="1">
      <c r="A156" s="291"/>
      <c r="B156" s="320" t="s">
        <v>383</v>
      </c>
      <c r="C156" s="301">
        <f>SUM(D156:E156)</f>
        <v>80000</v>
      </c>
      <c r="D156" s="302"/>
      <c r="E156" s="303">
        <f>G156+I156</f>
        <v>80000</v>
      </c>
      <c r="F156" s="321"/>
      <c r="G156" s="295"/>
      <c r="H156" s="317"/>
      <c r="I156" s="325">
        <v>80000</v>
      </c>
    </row>
    <row r="157" spans="1:9" s="315" customFormat="1" ht="22.5" customHeight="1">
      <c r="A157" s="346">
        <v>71014</v>
      </c>
      <c r="B157" s="470" t="s">
        <v>417</v>
      </c>
      <c r="C157" s="322">
        <f>SUM(C159)</f>
        <v>20000</v>
      </c>
      <c r="D157" s="225"/>
      <c r="E157" s="323">
        <f>SUM(E158)</f>
        <v>20000</v>
      </c>
      <c r="F157" s="324"/>
      <c r="G157" s="323"/>
      <c r="H157" s="324"/>
      <c r="I157" s="227">
        <f>SUM(I158)</f>
        <v>20000</v>
      </c>
    </row>
    <row r="158" spans="1:9" ht="12" customHeight="1">
      <c r="A158" s="291"/>
      <c r="B158" s="316" t="s">
        <v>382</v>
      </c>
      <c r="C158" s="293">
        <f>SUM(C159)</f>
        <v>20000</v>
      </c>
      <c r="D158" s="294"/>
      <c r="E158" s="295">
        <f>SUM(E159)</f>
        <v>20000</v>
      </c>
      <c r="F158" s="296"/>
      <c r="G158" s="429"/>
      <c r="H158" s="430"/>
      <c r="I158" s="298">
        <f>SUM(I159)</f>
        <v>20000</v>
      </c>
    </row>
    <row r="159" spans="1:9" ht="12" customHeight="1">
      <c r="A159" s="416"/>
      <c r="B159" s="433" t="s">
        <v>383</v>
      </c>
      <c r="C159" s="417">
        <f>SUM(D159:E159)</f>
        <v>20000</v>
      </c>
      <c r="D159" s="418"/>
      <c r="E159" s="419">
        <f>G159+I159</f>
        <v>20000</v>
      </c>
      <c r="F159" s="420"/>
      <c r="G159" s="489"/>
      <c r="H159" s="490"/>
      <c r="I159" s="428">
        <v>20000</v>
      </c>
    </row>
    <row r="160" spans="1:9" s="315" customFormat="1" ht="12.75" customHeight="1">
      <c r="A160" s="346">
        <v>71015</v>
      </c>
      <c r="B160" s="470" t="s">
        <v>418</v>
      </c>
      <c r="C160" s="322">
        <f>C161+C165</f>
        <v>538100</v>
      </c>
      <c r="D160" s="225">
        <f>D161+D165</f>
        <v>200000</v>
      </c>
      <c r="E160" s="323">
        <f>E161+E165</f>
        <v>338100</v>
      </c>
      <c r="F160" s="324"/>
      <c r="G160" s="323"/>
      <c r="H160" s="324">
        <f>H161+H165</f>
        <v>200000</v>
      </c>
      <c r="I160" s="227">
        <f>I161+I165</f>
        <v>338100</v>
      </c>
    </row>
    <row r="161" spans="1:9" ht="12">
      <c r="A161" s="291"/>
      <c r="B161" s="316" t="s">
        <v>382</v>
      </c>
      <c r="C161" s="293">
        <f>SUM(C162:C164)</f>
        <v>530100</v>
      </c>
      <c r="D161" s="294">
        <f>SUM(D162:D164)</f>
        <v>200000</v>
      </c>
      <c r="E161" s="295">
        <f>SUM(E162:E164)</f>
        <v>330100</v>
      </c>
      <c r="F161" s="317"/>
      <c r="G161" s="295"/>
      <c r="H161" s="317">
        <f>SUM(H162:H164)</f>
        <v>200000</v>
      </c>
      <c r="I161" s="318">
        <f>SUM(I162:I164)</f>
        <v>330100</v>
      </c>
    </row>
    <row r="162" spans="1:9" ht="12">
      <c r="A162" s="291"/>
      <c r="B162" s="300" t="s">
        <v>407</v>
      </c>
      <c r="C162" s="301">
        <f>SUM(D162:E162)</f>
        <v>446450</v>
      </c>
      <c r="D162" s="302">
        <f>F162+H162</f>
        <v>159600</v>
      </c>
      <c r="E162" s="303">
        <f>G162+I162</f>
        <v>286850</v>
      </c>
      <c r="F162" s="321"/>
      <c r="G162" s="295"/>
      <c r="H162" s="321">
        <v>159600</v>
      </c>
      <c r="I162" s="325">
        <v>286850</v>
      </c>
    </row>
    <row r="163" spans="1:9" ht="12">
      <c r="A163" s="291"/>
      <c r="B163" s="300" t="s">
        <v>408</v>
      </c>
      <c r="C163" s="301"/>
      <c r="D163" s="302"/>
      <c r="E163" s="303"/>
      <c r="F163" s="321"/>
      <c r="G163" s="295"/>
      <c r="H163" s="321"/>
      <c r="I163" s="325"/>
    </row>
    <row r="164" spans="1:9" ht="10.5" customHeight="1">
      <c r="A164" s="291"/>
      <c r="B164" s="320" t="s">
        <v>383</v>
      </c>
      <c r="C164" s="301">
        <f>SUM(D164:E164)</f>
        <v>83650</v>
      </c>
      <c r="D164" s="302">
        <f>F164+H164</f>
        <v>40400</v>
      </c>
      <c r="E164" s="303">
        <f>G164+I164</f>
        <v>43250</v>
      </c>
      <c r="F164" s="321"/>
      <c r="G164" s="295"/>
      <c r="H164" s="321">
        <v>40400</v>
      </c>
      <c r="I164" s="325">
        <v>43250</v>
      </c>
    </row>
    <row r="165" spans="1:9" ht="11.25" customHeight="1">
      <c r="A165" s="291"/>
      <c r="B165" s="292" t="s">
        <v>378</v>
      </c>
      <c r="C165" s="293">
        <f>SUM(C166)</f>
        <v>8000</v>
      </c>
      <c r="D165" s="302"/>
      <c r="E165" s="295">
        <f>SUM(E166)</f>
        <v>8000</v>
      </c>
      <c r="F165" s="304"/>
      <c r="G165" s="297"/>
      <c r="H165" s="296"/>
      <c r="I165" s="298">
        <f>SUM(I166)</f>
        <v>8000</v>
      </c>
    </row>
    <row r="166" spans="1:9" ht="12.75">
      <c r="A166" s="291"/>
      <c r="B166" s="300" t="s">
        <v>379</v>
      </c>
      <c r="C166" s="301">
        <f>SUM(D166:E166)</f>
        <v>8000</v>
      </c>
      <c r="D166" s="302"/>
      <c r="E166" s="303">
        <f>G166+I166</f>
        <v>8000</v>
      </c>
      <c r="F166" s="304"/>
      <c r="G166" s="297"/>
      <c r="H166" s="435"/>
      <c r="I166" s="306">
        <v>8000</v>
      </c>
    </row>
    <row r="167" spans="1:9" s="315" customFormat="1" ht="10.5" customHeight="1">
      <c r="A167" s="346">
        <v>71035</v>
      </c>
      <c r="B167" s="470" t="s">
        <v>419</v>
      </c>
      <c r="C167" s="322">
        <f>SUM(C169+C172)</f>
        <v>1905600</v>
      </c>
      <c r="D167" s="225">
        <f>D168+D172</f>
        <v>1889000</v>
      </c>
      <c r="E167" s="323">
        <f>SUM(E168)</f>
        <v>16600</v>
      </c>
      <c r="F167" s="324">
        <f>F168+F172</f>
        <v>1889000</v>
      </c>
      <c r="G167" s="323">
        <f>SUM(G168)</f>
        <v>16600</v>
      </c>
      <c r="H167" s="491"/>
      <c r="I167" s="227"/>
    </row>
    <row r="168" spans="1:9" ht="13.5" customHeight="1">
      <c r="A168" s="479"/>
      <c r="B168" s="480" t="s">
        <v>382</v>
      </c>
      <c r="C168" s="447">
        <f>SUM(C169)</f>
        <v>1405600</v>
      </c>
      <c r="D168" s="481">
        <f>SUM(D169)</f>
        <v>1389000</v>
      </c>
      <c r="E168" s="295">
        <f>SUM(E169)</f>
        <v>16600</v>
      </c>
      <c r="F168" s="483">
        <f>SUM(F169)</f>
        <v>1389000</v>
      </c>
      <c r="G168" s="492">
        <f>SUM(G169)</f>
        <v>16600</v>
      </c>
      <c r="H168" s="493"/>
      <c r="I168" s="486"/>
    </row>
    <row r="169" spans="1:9" ht="11.25" customHeight="1">
      <c r="A169" s="291"/>
      <c r="B169" s="320" t="s">
        <v>383</v>
      </c>
      <c r="C169" s="301">
        <f>SUM(D169:E169)</f>
        <v>1405600</v>
      </c>
      <c r="D169" s="302">
        <f>F169+H169</f>
        <v>1389000</v>
      </c>
      <c r="E169" s="303">
        <f>G169+I169</f>
        <v>16600</v>
      </c>
      <c r="F169" s="321">
        <v>1389000</v>
      </c>
      <c r="G169" s="303">
        <v>16600</v>
      </c>
      <c r="H169" s="494"/>
      <c r="I169" s="325"/>
    </row>
    <row r="170" spans="1:9" s="307" customFormat="1" ht="12" customHeight="1" hidden="1">
      <c r="A170" s="432"/>
      <c r="B170" s="433" t="s">
        <v>390</v>
      </c>
      <c r="C170" s="301">
        <f>SUM(D170:E170)</f>
        <v>0</v>
      </c>
      <c r="D170" s="418">
        <f>F170+H170</f>
        <v>0</v>
      </c>
      <c r="E170" s="303">
        <f>G170+I170</f>
        <v>0</v>
      </c>
      <c r="F170" s="420"/>
      <c r="G170" s="419"/>
      <c r="H170" s="418"/>
      <c r="I170" s="428"/>
    </row>
    <row r="171" spans="1:9" s="498" customFormat="1" ht="12" customHeight="1">
      <c r="A171" s="495"/>
      <c r="B171" s="496" t="s">
        <v>420</v>
      </c>
      <c r="C171" s="378">
        <f>SUM(D171:E171)</f>
        <v>16600</v>
      </c>
      <c r="D171" s="379"/>
      <c r="E171" s="380">
        <f>G171+I171</f>
        <v>16600</v>
      </c>
      <c r="F171" s="381"/>
      <c r="G171" s="380">
        <v>16600</v>
      </c>
      <c r="H171" s="379"/>
      <c r="I171" s="497"/>
    </row>
    <row r="172" spans="1:9" ht="12" customHeight="1">
      <c r="A172" s="291"/>
      <c r="B172" s="292" t="s">
        <v>378</v>
      </c>
      <c r="C172" s="293">
        <f>SUM(C173:C174)</f>
        <v>500000</v>
      </c>
      <c r="D172" s="294">
        <f>F172+H172</f>
        <v>500000</v>
      </c>
      <c r="E172" s="295"/>
      <c r="F172" s="296">
        <f>SUM(F173:F174)</f>
        <v>500000</v>
      </c>
      <c r="G172" s="297"/>
      <c r="H172" s="453"/>
      <c r="I172" s="298"/>
    </row>
    <row r="173" spans="1:9" s="307" customFormat="1" ht="14.25" customHeight="1" thickBot="1">
      <c r="A173" s="299"/>
      <c r="B173" s="300" t="s">
        <v>391</v>
      </c>
      <c r="C173" s="301">
        <f>SUM(D173:E173)</f>
        <v>500000</v>
      </c>
      <c r="D173" s="302">
        <f>F173+H173</f>
        <v>500000</v>
      </c>
      <c r="E173" s="303"/>
      <c r="F173" s="321">
        <v>500000</v>
      </c>
      <c r="G173" s="303"/>
      <c r="H173" s="321"/>
      <c r="I173" s="325"/>
    </row>
    <row r="174" spans="1:9" s="307" customFormat="1" ht="15" customHeight="1" hidden="1">
      <c r="A174" s="346">
        <v>71095</v>
      </c>
      <c r="B174" s="309" t="s">
        <v>389</v>
      </c>
      <c r="C174" s="322">
        <f>SUM(C176)</f>
        <v>0</v>
      </c>
      <c r="D174" s="225">
        <f>D175</f>
        <v>0</v>
      </c>
      <c r="E174" s="323"/>
      <c r="F174" s="324">
        <f>F175</f>
        <v>0</v>
      </c>
      <c r="G174" s="323"/>
      <c r="H174" s="324"/>
      <c r="I174" s="227"/>
    </row>
    <row r="175" spans="1:9" s="307" customFormat="1" ht="9" customHeight="1" hidden="1">
      <c r="A175" s="299"/>
      <c r="B175" s="316" t="s">
        <v>421</v>
      </c>
      <c r="C175" s="447">
        <f>SUM(C176)</f>
        <v>0</v>
      </c>
      <c r="D175" s="481">
        <f>SUM(D176)</f>
        <v>0</v>
      </c>
      <c r="E175" s="303"/>
      <c r="F175" s="317">
        <f>F176</f>
        <v>0</v>
      </c>
      <c r="G175" s="303"/>
      <c r="H175" s="321"/>
      <c r="I175" s="325"/>
    </row>
    <row r="176" spans="1:9" s="307" customFormat="1" ht="16.5" customHeight="1" hidden="1">
      <c r="A176" s="299"/>
      <c r="B176" s="320" t="s">
        <v>422</v>
      </c>
      <c r="C176" s="301">
        <f>SUM(D176:E176)</f>
        <v>0</v>
      </c>
      <c r="D176" s="302">
        <f>F176+H176</f>
        <v>0</v>
      </c>
      <c r="E176" s="303"/>
      <c r="F176" s="321">
        <v>0</v>
      </c>
      <c r="G176" s="392"/>
      <c r="H176" s="321"/>
      <c r="I176" s="325"/>
    </row>
    <row r="177" spans="1:9" s="290" customFormat="1" ht="27.75" customHeight="1" thickBot="1" thickTop="1">
      <c r="A177" s="345">
        <v>750</v>
      </c>
      <c r="B177" s="285" t="s">
        <v>259</v>
      </c>
      <c r="C177" s="286">
        <f aca="true" t="shared" si="5" ref="C177:I177">C187+C199+C202+C224+C192+C211+C218</f>
        <v>36423635</v>
      </c>
      <c r="D177" s="287">
        <f t="shared" si="5"/>
        <v>35385035</v>
      </c>
      <c r="E177" s="288">
        <f t="shared" si="5"/>
        <v>1038600</v>
      </c>
      <c r="F177" s="289">
        <f t="shared" si="5"/>
        <v>30412455</v>
      </c>
      <c r="G177" s="288">
        <f t="shared" si="5"/>
        <v>757900</v>
      </c>
      <c r="H177" s="289">
        <f t="shared" si="5"/>
        <v>4972580</v>
      </c>
      <c r="I177" s="234">
        <f t="shared" si="5"/>
        <v>280700</v>
      </c>
    </row>
    <row r="178" spans="1:9" s="290" customFormat="1" ht="12.75" customHeight="1" thickTop="1">
      <c r="A178" s="499"/>
      <c r="B178" s="500" t="s">
        <v>382</v>
      </c>
      <c r="C178" s="501">
        <f>D178+E178</f>
        <v>33690735</v>
      </c>
      <c r="D178" s="502">
        <f>F178+H178</f>
        <v>32652135</v>
      </c>
      <c r="E178" s="357">
        <f>G178+I178</f>
        <v>1038600</v>
      </c>
      <c r="F178" s="503">
        <f>F188+F193+F200+F203+F212+F219+F225</f>
        <v>27679555</v>
      </c>
      <c r="G178" s="504">
        <f>G188+G193+G200+G203+G212+G219+G225</f>
        <v>757900</v>
      </c>
      <c r="H178" s="358">
        <f>H188+H193+H200+H203+H212+H219+H225</f>
        <v>4972580</v>
      </c>
      <c r="I178" s="359">
        <f>I188+I193+I200+I203+I212+I219+I225</f>
        <v>280700</v>
      </c>
    </row>
    <row r="179" spans="1:9" s="364" customFormat="1" ht="12.75" customHeight="1">
      <c r="A179" s="360"/>
      <c r="B179" s="300" t="s">
        <v>407</v>
      </c>
      <c r="C179" s="361">
        <f>D179+E179</f>
        <v>19819615</v>
      </c>
      <c r="D179" s="362">
        <f>F179+H179</f>
        <v>18795115</v>
      </c>
      <c r="E179" s="305">
        <f>G179+I179</f>
        <v>1024500</v>
      </c>
      <c r="F179" s="363">
        <f>F189+F194+F204+F213+F220+F226</f>
        <v>17479215</v>
      </c>
      <c r="G179" s="505">
        <f>G189+G194+G204+G213+G220+G226</f>
        <v>757900</v>
      </c>
      <c r="H179" s="304">
        <f>H189+H194+H204+H213+H220+H226</f>
        <v>1315900</v>
      </c>
      <c r="I179" s="306">
        <f>I189+I194+I204+I213+I220+I226</f>
        <v>266600</v>
      </c>
    </row>
    <row r="180" spans="1:9" s="364" customFormat="1" ht="12.75" customHeight="1">
      <c r="A180" s="360"/>
      <c r="B180" s="300" t="s">
        <v>408</v>
      </c>
      <c r="C180" s="361"/>
      <c r="D180" s="362"/>
      <c r="E180" s="305"/>
      <c r="F180" s="363"/>
      <c r="G180" s="505"/>
      <c r="H180" s="304"/>
      <c r="I180" s="306"/>
    </row>
    <row r="181" spans="1:9" s="364" customFormat="1" ht="12.75" customHeight="1">
      <c r="A181" s="360"/>
      <c r="B181" s="320" t="s">
        <v>394</v>
      </c>
      <c r="C181" s="361">
        <f>D181+E181</f>
        <v>2645180</v>
      </c>
      <c r="D181" s="362">
        <f aca="true" t="shared" si="6" ref="D181:D186">F181+H181</f>
        <v>2645180</v>
      </c>
      <c r="E181" s="305"/>
      <c r="F181" s="363">
        <f>F197+F228</f>
        <v>668000</v>
      </c>
      <c r="G181" s="305"/>
      <c r="H181" s="506">
        <f>H197+H228</f>
        <v>1977180</v>
      </c>
      <c r="I181" s="306"/>
    </row>
    <row r="182" spans="1:9" s="364" customFormat="1" ht="12.75" customHeight="1">
      <c r="A182" s="360"/>
      <c r="B182" s="300" t="s">
        <v>383</v>
      </c>
      <c r="C182" s="361">
        <f>D182+E182</f>
        <v>11225940</v>
      </c>
      <c r="D182" s="362">
        <f t="shared" si="6"/>
        <v>11211840</v>
      </c>
      <c r="E182" s="305">
        <f>G182+I182</f>
        <v>14100</v>
      </c>
      <c r="F182" s="363">
        <f>F191+F198+F201+F206+F216+F222+F229</f>
        <v>9532340</v>
      </c>
      <c r="G182" s="505"/>
      <c r="H182" s="304">
        <f>H191+H198+H201+H206+H216+H222+H229</f>
        <v>1679500</v>
      </c>
      <c r="I182" s="306">
        <f>I191+I198+I201+I206+I216+I222+I229</f>
        <v>14100</v>
      </c>
    </row>
    <row r="183" spans="1:9" ht="12.75" customHeight="1">
      <c r="A183" s="291"/>
      <c r="B183" s="300" t="s">
        <v>410</v>
      </c>
      <c r="C183" s="293">
        <f>D183+E183</f>
        <v>576000</v>
      </c>
      <c r="D183" s="294">
        <f t="shared" si="6"/>
        <v>576000</v>
      </c>
      <c r="E183" s="295"/>
      <c r="F183" s="369">
        <f>F207</f>
        <v>576000</v>
      </c>
      <c r="G183" s="507"/>
      <c r="H183" s="317"/>
      <c r="I183" s="318"/>
    </row>
    <row r="184" spans="1:9" s="290" customFormat="1" ht="12.75" customHeight="1">
      <c r="A184" s="351"/>
      <c r="B184" s="500" t="s">
        <v>378</v>
      </c>
      <c r="C184" s="353">
        <f>D184+E184</f>
        <v>2732900</v>
      </c>
      <c r="D184" s="354">
        <f t="shared" si="6"/>
        <v>2732900</v>
      </c>
      <c r="E184" s="355"/>
      <c r="F184" s="356">
        <f>F208</f>
        <v>2732900</v>
      </c>
      <c r="G184" s="508"/>
      <c r="H184" s="371"/>
      <c r="I184" s="372"/>
    </row>
    <row r="185" spans="1:9" s="364" customFormat="1" ht="13.5" customHeight="1">
      <c r="A185" s="360"/>
      <c r="B185" s="300" t="s">
        <v>379</v>
      </c>
      <c r="C185" s="361">
        <f>D185+E185</f>
        <v>1449300</v>
      </c>
      <c r="D185" s="362">
        <f t="shared" si="6"/>
        <v>1449300</v>
      </c>
      <c r="E185" s="305"/>
      <c r="F185" s="363">
        <f>F210</f>
        <v>1449300</v>
      </c>
      <c r="G185" s="505"/>
      <c r="H185" s="304"/>
      <c r="I185" s="306"/>
    </row>
    <row r="186" spans="1:9" s="307" customFormat="1" ht="15" customHeight="1">
      <c r="A186" s="432"/>
      <c r="B186" s="349" t="s">
        <v>391</v>
      </c>
      <c r="C186" s="509">
        <f>SUM(D186:E186)</f>
        <v>1283600</v>
      </c>
      <c r="D186" s="510">
        <f t="shared" si="6"/>
        <v>1283600</v>
      </c>
      <c r="E186" s="434"/>
      <c r="F186" s="435">
        <f>F209</f>
        <v>1283600</v>
      </c>
      <c r="G186" s="434"/>
      <c r="H186" s="435"/>
      <c r="I186" s="436"/>
    </row>
    <row r="187" spans="1:9" ht="15" customHeight="1">
      <c r="A187" s="395">
        <v>75011</v>
      </c>
      <c r="B187" s="464" t="s">
        <v>423</v>
      </c>
      <c r="C187" s="465">
        <f>SUM(C188)</f>
        <v>1553700</v>
      </c>
      <c r="D187" s="466">
        <f>SUM(D188)</f>
        <v>554600</v>
      </c>
      <c r="E187" s="467">
        <f>SUM(E188)</f>
        <v>999100</v>
      </c>
      <c r="F187" s="468">
        <f>SUM(F188)</f>
        <v>554600</v>
      </c>
      <c r="G187" s="467">
        <f>G188</f>
        <v>757900</v>
      </c>
      <c r="H187" s="468"/>
      <c r="I187" s="469">
        <f>I188</f>
        <v>241200</v>
      </c>
    </row>
    <row r="188" spans="1:9" ht="12.75" customHeight="1">
      <c r="A188" s="291"/>
      <c r="B188" s="292" t="s">
        <v>382</v>
      </c>
      <c r="C188" s="293">
        <f>SUM(C189:C191)</f>
        <v>1553700</v>
      </c>
      <c r="D188" s="294">
        <f>SUM(D189:D191)</f>
        <v>554600</v>
      </c>
      <c r="E188" s="295">
        <f>SUM(E189:E191)</f>
        <v>999100</v>
      </c>
      <c r="F188" s="317">
        <f>SUM(F189:F191)</f>
        <v>554600</v>
      </c>
      <c r="G188" s="295">
        <f>SUM(G189:G191)</f>
        <v>757900</v>
      </c>
      <c r="H188" s="317"/>
      <c r="I188" s="318">
        <f>SUM(I189:I191)</f>
        <v>241200</v>
      </c>
    </row>
    <row r="189" spans="1:9" s="307" customFormat="1" ht="14.25" customHeight="1">
      <c r="A189" s="299"/>
      <c r="B189" s="300" t="s">
        <v>407</v>
      </c>
      <c r="C189" s="301">
        <f>SUM(D189:E189)</f>
        <v>1209700</v>
      </c>
      <c r="D189" s="302">
        <f>F189+H189</f>
        <v>210600</v>
      </c>
      <c r="E189" s="303">
        <f>G189+I189</f>
        <v>999100</v>
      </c>
      <c r="F189" s="321">
        <v>210600</v>
      </c>
      <c r="G189" s="303">
        <v>757900</v>
      </c>
      <c r="H189" s="321"/>
      <c r="I189" s="325">
        <v>241200</v>
      </c>
    </row>
    <row r="190" spans="1:9" s="307" customFormat="1" ht="12">
      <c r="A190" s="299"/>
      <c r="B190" s="300" t="s">
        <v>408</v>
      </c>
      <c r="C190" s="301"/>
      <c r="D190" s="302"/>
      <c r="E190" s="303"/>
      <c r="F190" s="321"/>
      <c r="G190" s="303"/>
      <c r="H190" s="321"/>
      <c r="I190" s="325"/>
    </row>
    <row r="191" spans="1:9" s="307" customFormat="1" ht="10.5" customHeight="1">
      <c r="A191" s="432"/>
      <c r="B191" s="349" t="s">
        <v>383</v>
      </c>
      <c r="C191" s="417">
        <f>SUM(D191:E191)</f>
        <v>344000</v>
      </c>
      <c r="D191" s="418">
        <f>F191+H191</f>
        <v>344000</v>
      </c>
      <c r="E191" s="419"/>
      <c r="F191" s="420">
        <v>344000</v>
      </c>
      <c r="G191" s="419"/>
      <c r="H191" s="420"/>
      <c r="I191" s="428"/>
    </row>
    <row r="192" spans="1:9" ht="14.25" customHeight="1">
      <c r="A192" s="346">
        <v>75020</v>
      </c>
      <c r="B192" s="470" t="s">
        <v>424</v>
      </c>
      <c r="C192" s="322">
        <f>SUM(C193)</f>
        <v>4969580</v>
      </c>
      <c r="D192" s="225">
        <f>SUM(D193)</f>
        <v>4969580</v>
      </c>
      <c r="E192" s="467"/>
      <c r="F192" s="511"/>
      <c r="G192" s="512"/>
      <c r="H192" s="324">
        <f>SUM(H193)</f>
        <v>4969580</v>
      </c>
      <c r="I192" s="227"/>
    </row>
    <row r="193" spans="1:9" ht="14.25" customHeight="1">
      <c r="A193" s="291"/>
      <c r="B193" s="292" t="s">
        <v>382</v>
      </c>
      <c r="C193" s="293">
        <f>SUM(C194:C198)</f>
        <v>4969580</v>
      </c>
      <c r="D193" s="294">
        <f>SUM(D194:D198)</f>
        <v>4969580</v>
      </c>
      <c r="E193" s="295"/>
      <c r="F193" s="317"/>
      <c r="G193" s="295"/>
      <c r="H193" s="317">
        <f>SUM(H194:H198)</f>
        <v>4969580</v>
      </c>
      <c r="I193" s="318"/>
    </row>
    <row r="194" spans="1:9" s="307" customFormat="1" ht="12">
      <c r="A194" s="299"/>
      <c r="B194" s="300" t="s">
        <v>407</v>
      </c>
      <c r="C194" s="301">
        <f>SUM(D194:E194)</f>
        <v>1315900</v>
      </c>
      <c r="D194" s="302">
        <f>F194+H194</f>
        <v>1315900</v>
      </c>
      <c r="E194" s="303"/>
      <c r="F194" s="321"/>
      <c r="G194" s="303"/>
      <c r="H194" s="321">
        <v>1315900</v>
      </c>
      <c r="I194" s="325"/>
    </row>
    <row r="195" spans="1:9" s="307" customFormat="1" ht="12">
      <c r="A195" s="299"/>
      <c r="B195" s="300" t="s">
        <v>408</v>
      </c>
      <c r="C195" s="301"/>
      <c r="D195" s="302"/>
      <c r="E195" s="303"/>
      <c r="F195" s="321"/>
      <c r="G195" s="303"/>
      <c r="H195" s="321"/>
      <c r="I195" s="325"/>
    </row>
    <row r="196" spans="1:9" s="307" customFormat="1" ht="12" hidden="1">
      <c r="A196" s="299"/>
      <c r="B196" s="320" t="s">
        <v>394</v>
      </c>
      <c r="C196" s="301">
        <f>SUM(D196:E196)</f>
        <v>0</v>
      </c>
      <c r="D196" s="302">
        <f>F196+H196</f>
        <v>0</v>
      </c>
      <c r="E196" s="303"/>
      <c r="F196" s="321"/>
      <c r="G196" s="303"/>
      <c r="H196" s="321"/>
      <c r="I196" s="325"/>
    </row>
    <row r="197" spans="1:9" s="307" customFormat="1" ht="12">
      <c r="A197" s="299"/>
      <c r="B197" s="320" t="s">
        <v>394</v>
      </c>
      <c r="C197" s="301">
        <f>SUM(D197:E197)</f>
        <v>1977180</v>
      </c>
      <c r="D197" s="302">
        <f>F197+H197</f>
        <v>1977180</v>
      </c>
      <c r="E197" s="295"/>
      <c r="F197" s="321"/>
      <c r="G197" s="303"/>
      <c r="H197" s="321">
        <v>1977180</v>
      </c>
      <c r="I197" s="325"/>
    </row>
    <row r="198" spans="1:9" s="307" customFormat="1" ht="12.75">
      <c r="A198" s="432"/>
      <c r="B198" s="349" t="s">
        <v>383</v>
      </c>
      <c r="C198" s="417">
        <f>SUM(D198:E198)</f>
        <v>1676500</v>
      </c>
      <c r="D198" s="418">
        <f>F198+H198</f>
        <v>1676500</v>
      </c>
      <c r="E198" s="467"/>
      <c r="F198" s="435"/>
      <c r="G198" s="434"/>
      <c r="H198" s="420">
        <v>1676500</v>
      </c>
      <c r="I198" s="436"/>
    </row>
    <row r="199" spans="1:9" ht="15.75" customHeight="1">
      <c r="A199" s="346">
        <v>75022</v>
      </c>
      <c r="B199" s="470" t="s">
        <v>425</v>
      </c>
      <c r="C199" s="322">
        <f>C200</f>
        <v>776000</v>
      </c>
      <c r="D199" s="225">
        <f>SUM(D200)</f>
        <v>776000</v>
      </c>
      <c r="E199" s="323"/>
      <c r="F199" s="324">
        <f>SUM(F200)</f>
        <v>776000</v>
      </c>
      <c r="G199" s="323"/>
      <c r="H199" s="324"/>
      <c r="I199" s="227"/>
    </row>
    <row r="200" spans="1:9" ht="12.75">
      <c r="A200" s="291"/>
      <c r="B200" s="316" t="s">
        <v>382</v>
      </c>
      <c r="C200" s="293">
        <f>SUM(C201)</f>
        <v>776000</v>
      </c>
      <c r="D200" s="294">
        <f>SUM(D201)</f>
        <v>776000</v>
      </c>
      <c r="E200" s="295"/>
      <c r="F200" s="296">
        <f>SUM(F201)</f>
        <v>776000</v>
      </c>
      <c r="G200" s="429"/>
      <c r="H200" s="430"/>
      <c r="I200" s="431"/>
    </row>
    <row r="201" spans="1:9" ht="12.75">
      <c r="A201" s="416"/>
      <c r="B201" s="433" t="s">
        <v>383</v>
      </c>
      <c r="C201" s="417">
        <f>SUM(D201:E201)</f>
        <v>776000</v>
      </c>
      <c r="D201" s="418">
        <f>F201+H201</f>
        <v>776000</v>
      </c>
      <c r="E201" s="419"/>
      <c r="F201" s="420">
        <v>776000</v>
      </c>
      <c r="G201" s="421"/>
      <c r="H201" s="422"/>
      <c r="I201" s="423"/>
    </row>
    <row r="202" spans="1:9" ht="15" customHeight="1">
      <c r="A202" s="346">
        <v>75023</v>
      </c>
      <c r="B202" s="513" t="s">
        <v>426</v>
      </c>
      <c r="C202" s="322">
        <f>C203+C208</f>
        <v>24833905</v>
      </c>
      <c r="D202" s="225">
        <f>D203+D208</f>
        <v>24833905</v>
      </c>
      <c r="E202" s="323"/>
      <c r="F202" s="324">
        <f>F203+F208</f>
        <v>24833905</v>
      </c>
      <c r="G202" s="323"/>
      <c r="H202" s="324"/>
      <c r="I202" s="227"/>
    </row>
    <row r="203" spans="1:9" ht="12">
      <c r="A203" s="291"/>
      <c r="B203" s="292" t="s">
        <v>382</v>
      </c>
      <c r="C203" s="293">
        <f>SUM(C204:C206)</f>
        <v>22101005</v>
      </c>
      <c r="D203" s="294">
        <f>SUM(D204:D206)</f>
        <v>22101005</v>
      </c>
      <c r="E203" s="295"/>
      <c r="F203" s="317">
        <f>SUM(F204:F206)</f>
        <v>22101005</v>
      </c>
      <c r="G203" s="295"/>
      <c r="H203" s="317"/>
      <c r="I203" s="318"/>
    </row>
    <row r="204" spans="1:9" s="307" customFormat="1" ht="12">
      <c r="A204" s="299"/>
      <c r="B204" s="300" t="s">
        <v>407</v>
      </c>
      <c r="C204" s="301">
        <f>SUM(D204:E204)</f>
        <v>17210265</v>
      </c>
      <c r="D204" s="302">
        <f>F204+H204</f>
        <v>17210265</v>
      </c>
      <c r="E204" s="303"/>
      <c r="F204" s="321">
        <v>17210265</v>
      </c>
      <c r="G204" s="303"/>
      <c r="H204" s="321"/>
      <c r="I204" s="325"/>
    </row>
    <row r="205" spans="1:9" s="307" customFormat="1" ht="12">
      <c r="A205" s="299"/>
      <c r="B205" s="300" t="s">
        <v>408</v>
      </c>
      <c r="C205" s="301"/>
      <c r="D205" s="302"/>
      <c r="E205" s="303"/>
      <c r="F205" s="321"/>
      <c r="G205" s="303"/>
      <c r="H205" s="321"/>
      <c r="I205" s="325"/>
    </row>
    <row r="206" spans="1:9" s="307" customFormat="1" ht="9.75" customHeight="1">
      <c r="A206" s="299"/>
      <c r="B206" s="300" t="s">
        <v>383</v>
      </c>
      <c r="C206" s="301">
        <f>SUM(D206:E206)</f>
        <v>4890740</v>
      </c>
      <c r="D206" s="302">
        <f>F206+H206</f>
        <v>4890740</v>
      </c>
      <c r="E206" s="303"/>
      <c r="F206" s="321">
        <v>4890740</v>
      </c>
      <c r="G206" s="303"/>
      <c r="H206" s="321"/>
      <c r="I206" s="325"/>
    </row>
    <row r="207" spans="1:9" s="307" customFormat="1" ht="11.25" customHeight="1">
      <c r="A207" s="299"/>
      <c r="B207" s="300" t="s">
        <v>410</v>
      </c>
      <c r="C207" s="301">
        <f>SUM(D207:E207)</f>
        <v>576000</v>
      </c>
      <c r="D207" s="302">
        <f>F207+H207</f>
        <v>576000</v>
      </c>
      <c r="E207" s="303"/>
      <c r="F207" s="321">
        <v>576000</v>
      </c>
      <c r="G207" s="305"/>
      <c r="H207" s="304"/>
      <c r="I207" s="306"/>
    </row>
    <row r="208" spans="1:9" ht="12" customHeight="1">
      <c r="A208" s="291"/>
      <c r="B208" s="292" t="s">
        <v>378</v>
      </c>
      <c r="C208" s="293">
        <f>SUM(C209:C210)</f>
        <v>2732900</v>
      </c>
      <c r="D208" s="294">
        <f>SUM(D209:D210)</f>
        <v>2732900</v>
      </c>
      <c r="E208" s="295"/>
      <c r="F208" s="296">
        <f>SUM(F209:F210)</f>
        <v>2732900</v>
      </c>
      <c r="G208" s="297"/>
      <c r="H208" s="296"/>
      <c r="I208" s="298"/>
    </row>
    <row r="209" spans="1:9" s="307" customFormat="1" ht="12" customHeight="1">
      <c r="A209" s="299"/>
      <c r="B209" s="300" t="s">
        <v>391</v>
      </c>
      <c r="C209" s="301">
        <f>SUM(D209:E209)</f>
        <v>1283600</v>
      </c>
      <c r="D209" s="302">
        <f>F209+H209</f>
        <v>1283600</v>
      </c>
      <c r="E209" s="303"/>
      <c r="F209" s="321">
        <v>1283600</v>
      </c>
      <c r="G209" s="305"/>
      <c r="H209" s="304"/>
      <c r="I209" s="306"/>
    </row>
    <row r="210" spans="1:9" ht="12" customHeight="1">
      <c r="A210" s="416"/>
      <c r="B210" s="349" t="s">
        <v>379</v>
      </c>
      <c r="C210" s="417">
        <f>SUM(D210:E210)</f>
        <v>1449300</v>
      </c>
      <c r="D210" s="418">
        <f>F210+H210</f>
        <v>1449300</v>
      </c>
      <c r="E210" s="419"/>
      <c r="F210" s="420">
        <v>1449300</v>
      </c>
      <c r="G210" s="421"/>
      <c r="H210" s="422"/>
      <c r="I210" s="423"/>
    </row>
    <row r="211" spans="1:9" ht="12" customHeight="1">
      <c r="A211" s="346">
        <v>75045</v>
      </c>
      <c r="B211" s="470" t="s">
        <v>427</v>
      </c>
      <c r="C211" s="322">
        <f>C212</f>
        <v>42500</v>
      </c>
      <c r="D211" s="225">
        <f>SUM(D212)</f>
        <v>3000</v>
      </c>
      <c r="E211" s="323">
        <f>SUM(E212)</f>
        <v>39500</v>
      </c>
      <c r="F211" s="511"/>
      <c r="G211" s="512"/>
      <c r="H211" s="324">
        <f>SUM(H212)</f>
        <v>3000</v>
      </c>
      <c r="I211" s="227">
        <f>SUM(I212)</f>
        <v>39500</v>
      </c>
    </row>
    <row r="212" spans="1:9" ht="12.75" customHeight="1">
      <c r="A212" s="291"/>
      <c r="B212" s="292" t="s">
        <v>382</v>
      </c>
      <c r="C212" s="293">
        <f>C213+C216</f>
        <v>42500</v>
      </c>
      <c r="D212" s="294">
        <f>SUM(D213:D216)</f>
        <v>3000</v>
      </c>
      <c r="E212" s="295">
        <f>E213+E216</f>
        <v>39500</v>
      </c>
      <c r="F212" s="317"/>
      <c r="G212" s="295"/>
      <c r="H212" s="317">
        <f>SUM(H213:H216)</f>
        <v>3000</v>
      </c>
      <c r="I212" s="318">
        <f>I213+I216</f>
        <v>39500</v>
      </c>
    </row>
    <row r="213" spans="1:9" s="307" customFormat="1" ht="12" customHeight="1">
      <c r="A213" s="299"/>
      <c r="B213" s="300" t="s">
        <v>407</v>
      </c>
      <c r="C213" s="301">
        <f>SUM(D213:E213)</f>
        <v>25400</v>
      </c>
      <c r="D213" s="302"/>
      <c r="E213" s="303">
        <f>G213+I213</f>
        <v>25400</v>
      </c>
      <c r="F213" s="321"/>
      <c r="G213" s="303"/>
      <c r="H213" s="321"/>
      <c r="I213" s="325">
        <v>25400</v>
      </c>
    </row>
    <row r="214" spans="1:9" s="307" customFormat="1" ht="11.25" customHeight="1">
      <c r="A214" s="299"/>
      <c r="B214" s="300" t="s">
        <v>408</v>
      </c>
      <c r="C214" s="301"/>
      <c r="D214" s="302"/>
      <c r="E214" s="303"/>
      <c r="F214" s="321"/>
      <c r="G214" s="303"/>
      <c r="H214" s="321"/>
      <c r="I214" s="325"/>
    </row>
    <row r="215" spans="1:9" s="307" customFormat="1" ht="11.25" customHeight="1">
      <c r="A215" s="299"/>
      <c r="B215" s="496" t="s">
        <v>420</v>
      </c>
      <c r="C215" s="301">
        <f>SUM(D215:E215)</f>
        <v>1000</v>
      </c>
      <c r="D215" s="302"/>
      <c r="E215" s="303">
        <f>I215</f>
        <v>1000</v>
      </c>
      <c r="F215" s="321"/>
      <c r="G215" s="303"/>
      <c r="H215" s="321"/>
      <c r="I215" s="325">
        <v>1000</v>
      </c>
    </row>
    <row r="216" spans="1:9" ht="11.25" customHeight="1">
      <c r="A216" s="291"/>
      <c r="B216" s="320" t="s">
        <v>383</v>
      </c>
      <c r="C216" s="301">
        <f>SUM(D216:E216)</f>
        <v>17100</v>
      </c>
      <c r="D216" s="302">
        <f>F216+H216</f>
        <v>3000</v>
      </c>
      <c r="E216" s="303">
        <f>G216+I216</f>
        <v>14100</v>
      </c>
      <c r="F216" s="321"/>
      <c r="G216" s="295"/>
      <c r="H216" s="321">
        <v>3000</v>
      </c>
      <c r="I216" s="325">
        <v>14100</v>
      </c>
    </row>
    <row r="217" spans="1:9" s="385" customFormat="1" ht="12">
      <c r="A217" s="376"/>
      <c r="B217" s="496" t="s">
        <v>420</v>
      </c>
      <c r="C217" s="301">
        <f>SUM(D217:E217)</f>
        <v>4500</v>
      </c>
      <c r="D217" s="379"/>
      <c r="E217" s="303">
        <f>G217+I217</f>
        <v>4500</v>
      </c>
      <c r="F217" s="381"/>
      <c r="G217" s="382"/>
      <c r="H217" s="381"/>
      <c r="I217" s="497">
        <v>4500</v>
      </c>
    </row>
    <row r="218" spans="1:9" ht="24" customHeight="1">
      <c r="A218" s="346">
        <v>75075</v>
      </c>
      <c r="B218" s="470" t="s">
        <v>428</v>
      </c>
      <c r="C218" s="322">
        <f>C219</f>
        <v>1377000</v>
      </c>
      <c r="D218" s="225">
        <f>SUM(D219)</f>
        <v>1377000</v>
      </c>
      <c r="E218" s="323"/>
      <c r="F218" s="324">
        <f>SUM(F219)</f>
        <v>1377000</v>
      </c>
      <c r="G218" s="323"/>
      <c r="H218" s="324"/>
      <c r="I218" s="227"/>
    </row>
    <row r="219" spans="1:9" s="319" customFormat="1" ht="12.75">
      <c r="A219" s="291"/>
      <c r="B219" s="316" t="s">
        <v>382</v>
      </c>
      <c r="C219" s="452">
        <f>C220+C222</f>
        <v>1377000</v>
      </c>
      <c r="D219" s="453">
        <f>D220+D222</f>
        <v>1377000</v>
      </c>
      <c r="E219" s="295"/>
      <c r="F219" s="296">
        <f>F220+F222</f>
        <v>1377000</v>
      </c>
      <c r="G219" s="297"/>
      <c r="H219" s="296"/>
      <c r="I219" s="298"/>
    </row>
    <row r="220" spans="1:9" s="307" customFormat="1" ht="11.25" customHeight="1">
      <c r="A220" s="299"/>
      <c r="B220" s="300" t="s">
        <v>407</v>
      </c>
      <c r="C220" s="301">
        <f>SUM(D220:E220)</f>
        <v>2000</v>
      </c>
      <c r="D220" s="302">
        <f>F220+H220</f>
        <v>2000</v>
      </c>
      <c r="E220" s="303"/>
      <c r="F220" s="321">
        <v>2000</v>
      </c>
      <c r="G220" s="303"/>
      <c r="H220" s="321"/>
      <c r="I220" s="325"/>
    </row>
    <row r="221" spans="1:9" s="307" customFormat="1" ht="11.25" customHeight="1">
      <c r="A221" s="299"/>
      <c r="B221" s="300" t="s">
        <v>408</v>
      </c>
      <c r="C221" s="301"/>
      <c r="D221" s="302"/>
      <c r="E221" s="303"/>
      <c r="F221" s="321"/>
      <c r="G221" s="303"/>
      <c r="H221" s="321"/>
      <c r="I221" s="325"/>
    </row>
    <row r="222" spans="1:9" ht="12" customHeight="1">
      <c r="A222" s="291"/>
      <c r="B222" s="320" t="s">
        <v>383</v>
      </c>
      <c r="C222" s="301">
        <f>SUM(D222:E222)</f>
        <v>1375000</v>
      </c>
      <c r="D222" s="302">
        <f>F222+H222</f>
        <v>1375000</v>
      </c>
      <c r="E222" s="303"/>
      <c r="F222" s="321">
        <v>1375000</v>
      </c>
      <c r="G222" s="305"/>
      <c r="H222" s="304"/>
      <c r="I222" s="306"/>
    </row>
    <row r="223" spans="1:9" ht="9.75" customHeight="1" hidden="1">
      <c r="A223" s="291"/>
      <c r="B223" s="300" t="s">
        <v>410</v>
      </c>
      <c r="C223" s="417">
        <f>E223+G223</f>
        <v>0</v>
      </c>
      <c r="D223" s="418">
        <f>F223+H223</f>
        <v>0</v>
      </c>
      <c r="E223" s="514"/>
      <c r="F223" s="304"/>
      <c r="G223" s="305"/>
      <c r="H223" s="435"/>
      <c r="I223" s="306"/>
    </row>
    <row r="224" spans="1:9" ht="12" customHeight="1">
      <c r="A224" s="346">
        <v>75095</v>
      </c>
      <c r="B224" s="470" t="s">
        <v>389</v>
      </c>
      <c r="C224" s="322">
        <f>SUM(C225)</f>
        <v>2870950</v>
      </c>
      <c r="D224" s="225">
        <f>SUM(D225)</f>
        <v>2870950</v>
      </c>
      <c r="E224" s="323"/>
      <c r="F224" s="324">
        <f>SUM(F225)</f>
        <v>2870950</v>
      </c>
      <c r="G224" s="323"/>
      <c r="H224" s="324"/>
      <c r="I224" s="227"/>
    </row>
    <row r="225" spans="1:9" s="319" customFormat="1" ht="12" customHeight="1">
      <c r="A225" s="291"/>
      <c r="B225" s="316" t="s">
        <v>382</v>
      </c>
      <c r="C225" s="452">
        <f>SUM(C226:C229)</f>
        <v>2870950</v>
      </c>
      <c r="D225" s="453">
        <f>SUM(D226:D229)</f>
        <v>2870950</v>
      </c>
      <c r="E225" s="295"/>
      <c r="F225" s="296">
        <f>SUM(F226:F229)</f>
        <v>2870950</v>
      </c>
      <c r="G225" s="297"/>
      <c r="H225" s="296"/>
      <c r="I225" s="298"/>
    </row>
    <row r="226" spans="1:9" s="307" customFormat="1" ht="9.75" customHeight="1">
      <c r="A226" s="299"/>
      <c r="B226" s="300" t="s">
        <v>407</v>
      </c>
      <c r="C226" s="301">
        <f>SUM(D226:E226)</f>
        <v>56350</v>
      </c>
      <c r="D226" s="302">
        <f>F226+H226</f>
        <v>56350</v>
      </c>
      <c r="E226" s="303"/>
      <c r="F226" s="321">
        <v>56350</v>
      </c>
      <c r="G226" s="303"/>
      <c r="H226" s="321"/>
      <c r="I226" s="325"/>
    </row>
    <row r="227" spans="1:9" s="307" customFormat="1" ht="10.5" customHeight="1">
      <c r="A227" s="299"/>
      <c r="B227" s="300" t="s">
        <v>408</v>
      </c>
      <c r="C227" s="301"/>
      <c r="D227" s="302"/>
      <c r="E227" s="303"/>
      <c r="F227" s="321"/>
      <c r="G227" s="303"/>
      <c r="H227" s="321"/>
      <c r="I227" s="325"/>
    </row>
    <row r="228" spans="1:9" s="326" customFormat="1" ht="12">
      <c r="A228" s="299"/>
      <c r="B228" s="320" t="s">
        <v>394</v>
      </c>
      <c r="C228" s="301">
        <f>SUM(D228:E228)</f>
        <v>668000</v>
      </c>
      <c r="D228" s="302">
        <f>F228+H228</f>
        <v>668000</v>
      </c>
      <c r="E228" s="303"/>
      <c r="F228" s="321">
        <v>668000</v>
      </c>
      <c r="G228" s="303"/>
      <c r="H228" s="321"/>
      <c r="I228" s="325"/>
    </row>
    <row r="229" spans="1:9" s="326" customFormat="1" ht="12" customHeight="1" thickBot="1">
      <c r="A229" s="432"/>
      <c r="B229" s="433" t="s">
        <v>383</v>
      </c>
      <c r="C229" s="417">
        <f>SUM(D229:E229)</f>
        <v>2146600</v>
      </c>
      <c r="D229" s="418">
        <f>F229+H229</f>
        <v>2146600</v>
      </c>
      <c r="E229" s="419"/>
      <c r="F229" s="420">
        <v>2146600</v>
      </c>
      <c r="G229" s="419"/>
      <c r="H229" s="420"/>
      <c r="I229" s="428"/>
    </row>
    <row r="230" spans="1:9" s="326" customFormat="1" ht="1.5" customHeight="1" hidden="1">
      <c r="A230" s="299"/>
      <c r="B230" s="300" t="s">
        <v>410</v>
      </c>
      <c r="C230" s="301">
        <f>SUM(D230:E230)</f>
        <v>0</v>
      </c>
      <c r="D230" s="302">
        <f>F230+H230</f>
        <v>0</v>
      </c>
      <c r="E230" s="303"/>
      <c r="F230" s="321">
        <v>0</v>
      </c>
      <c r="G230" s="303"/>
      <c r="H230" s="321"/>
      <c r="I230" s="325"/>
    </row>
    <row r="231" spans="1:9" s="290" customFormat="1" ht="116.25" hidden="1" thickBot="1" thickTop="1">
      <c r="A231" s="284" t="s">
        <v>260</v>
      </c>
      <c r="B231" s="285" t="s">
        <v>261</v>
      </c>
      <c r="C231" s="286">
        <f>SUM(C232)</f>
        <v>0</v>
      </c>
      <c r="D231" s="287"/>
      <c r="E231" s="288">
        <f>E232</f>
        <v>0</v>
      </c>
      <c r="F231" s="289"/>
      <c r="G231" s="288">
        <f>SUM(G232)</f>
        <v>0</v>
      </c>
      <c r="H231" s="289"/>
      <c r="I231" s="234"/>
    </row>
    <row r="232" spans="1:9" s="315" customFormat="1" ht="48.75" hidden="1" thickBot="1">
      <c r="A232" s="308" t="s">
        <v>429</v>
      </c>
      <c r="B232" s="309" t="s">
        <v>430</v>
      </c>
      <c r="C232" s="322">
        <f>SUM(C233)</f>
        <v>0</v>
      </c>
      <c r="D232" s="225"/>
      <c r="E232" s="323">
        <f>E233</f>
        <v>0</v>
      </c>
      <c r="F232" s="324"/>
      <c r="G232" s="323">
        <f>SUM(G233)</f>
        <v>0</v>
      </c>
      <c r="H232" s="324"/>
      <c r="I232" s="227"/>
    </row>
    <row r="233" spans="1:9" s="319" customFormat="1" ht="12.75" customHeight="1" hidden="1">
      <c r="A233" s="479"/>
      <c r="B233" s="480" t="s">
        <v>382</v>
      </c>
      <c r="C233" s="447">
        <f>SUM(C234:C236)</f>
        <v>0</v>
      </c>
      <c r="D233" s="481"/>
      <c r="E233" s="482">
        <f>SUM(E234:E236)</f>
        <v>0</v>
      </c>
      <c r="F233" s="483"/>
      <c r="G233" s="492">
        <f>SUM(G234:G236)</f>
        <v>0</v>
      </c>
      <c r="H233" s="483"/>
      <c r="I233" s="486"/>
    </row>
    <row r="234" spans="1:9" s="319" customFormat="1" ht="13.5" hidden="1" thickBot="1">
      <c r="A234" s="291"/>
      <c r="B234" s="300" t="s">
        <v>407</v>
      </c>
      <c r="C234" s="301">
        <f>SUM(D234:E234)</f>
        <v>0</v>
      </c>
      <c r="D234" s="302"/>
      <c r="E234" s="303">
        <f>G234+I234</f>
        <v>0</v>
      </c>
      <c r="F234" s="296"/>
      <c r="G234" s="297"/>
      <c r="H234" s="296"/>
      <c r="I234" s="298"/>
    </row>
    <row r="235" spans="1:9" s="319" customFormat="1" ht="13.5" hidden="1" thickBot="1">
      <c r="A235" s="291"/>
      <c r="B235" s="300" t="s">
        <v>408</v>
      </c>
      <c r="C235" s="293"/>
      <c r="D235" s="294"/>
      <c r="E235" s="295"/>
      <c r="F235" s="296"/>
      <c r="G235" s="297"/>
      <c r="H235" s="296"/>
      <c r="I235" s="298"/>
    </row>
    <row r="236" spans="1:9" s="326" customFormat="1" ht="0.75" customHeight="1" hidden="1">
      <c r="A236" s="299"/>
      <c r="B236" s="320" t="s">
        <v>383</v>
      </c>
      <c r="C236" s="301">
        <f>SUM(D236:E236)</f>
        <v>0</v>
      </c>
      <c r="D236" s="302"/>
      <c r="E236" s="303">
        <f>G236+I236</f>
        <v>0</v>
      </c>
      <c r="F236" s="321">
        <v>0</v>
      </c>
      <c r="G236" s="303">
        <v>0</v>
      </c>
      <c r="H236" s="321"/>
      <c r="I236" s="325"/>
    </row>
    <row r="237" spans="1:9" s="326" customFormat="1" ht="86.25" customHeight="1" thickBot="1" thickTop="1">
      <c r="A237" s="515">
        <v>751</v>
      </c>
      <c r="B237" s="516" t="s">
        <v>261</v>
      </c>
      <c r="C237" s="286">
        <f>C238+C247</f>
        <v>133927</v>
      </c>
      <c r="D237" s="287"/>
      <c r="E237" s="517">
        <f>E238+E247</f>
        <v>133927</v>
      </c>
      <c r="F237" s="287"/>
      <c r="G237" s="288">
        <f>G238+G247</f>
        <v>133927</v>
      </c>
      <c r="H237" s="289"/>
      <c r="I237" s="234"/>
    </row>
    <row r="238" spans="1:9" s="326" customFormat="1" ht="48.75" customHeight="1" thickTop="1">
      <c r="A238" s="395">
        <v>75101</v>
      </c>
      <c r="B238" s="396" t="s">
        <v>431</v>
      </c>
      <c r="C238" s="465">
        <f>C239</f>
        <v>17577</v>
      </c>
      <c r="D238" s="466"/>
      <c r="E238" s="466">
        <f>SUM(E239)</f>
        <v>17577</v>
      </c>
      <c r="F238" s="468"/>
      <c r="G238" s="467">
        <f>SUM(G239)</f>
        <v>17577</v>
      </c>
      <c r="H238" s="466"/>
      <c r="I238" s="469"/>
    </row>
    <row r="239" spans="1:9" s="326" customFormat="1" ht="9.75" customHeight="1">
      <c r="A239" s="518"/>
      <c r="B239" s="480" t="s">
        <v>421</v>
      </c>
      <c r="C239" s="447">
        <f>SUM(C242+C240)</f>
        <v>17577</v>
      </c>
      <c r="D239" s="481"/>
      <c r="E239" s="519">
        <f>SUM(E242)+E240</f>
        <v>17577</v>
      </c>
      <c r="F239" s="483"/>
      <c r="G239" s="519">
        <f>SUM(G242)+G240</f>
        <v>17577</v>
      </c>
      <c r="H239" s="485"/>
      <c r="I239" s="520"/>
    </row>
    <row r="240" spans="1:9" s="307" customFormat="1" ht="12" customHeight="1">
      <c r="A240" s="299"/>
      <c r="B240" s="300" t="s">
        <v>407</v>
      </c>
      <c r="C240" s="301">
        <f>SUM(D240:E240)</f>
        <v>16157</v>
      </c>
      <c r="D240" s="302"/>
      <c r="E240" s="303">
        <f>G240+I240</f>
        <v>16157</v>
      </c>
      <c r="F240" s="321"/>
      <c r="G240" s="303">
        <v>16157</v>
      </c>
      <c r="H240" s="321"/>
      <c r="I240" s="325"/>
    </row>
    <row r="241" spans="1:9" s="307" customFormat="1" ht="11.25" customHeight="1">
      <c r="A241" s="299"/>
      <c r="B241" s="300" t="s">
        <v>408</v>
      </c>
      <c r="C241" s="301"/>
      <c r="D241" s="302"/>
      <c r="E241" s="303"/>
      <c r="F241" s="321"/>
      <c r="G241" s="303"/>
      <c r="H241" s="321"/>
      <c r="I241" s="325"/>
    </row>
    <row r="242" spans="1:9" s="326" customFormat="1" ht="12" customHeight="1">
      <c r="A242" s="432"/>
      <c r="B242" s="433" t="s">
        <v>383</v>
      </c>
      <c r="C242" s="417">
        <f>SUM(D242:E242)</f>
        <v>1420</v>
      </c>
      <c r="D242" s="418"/>
      <c r="E242" s="521">
        <f>G242+I242</f>
        <v>1420</v>
      </c>
      <c r="F242" s="420"/>
      <c r="G242" s="521">
        <v>1420</v>
      </c>
      <c r="H242" s="420"/>
      <c r="I242" s="428"/>
    </row>
    <row r="243" spans="1:9" s="326" customFormat="1" ht="9.75" customHeight="1" hidden="1" thickBot="1">
      <c r="A243" s="522">
        <v>752</v>
      </c>
      <c r="B243" s="523" t="s">
        <v>432</v>
      </c>
      <c r="C243" s="524">
        <f>C244</f>
        <v>0</v>
      </c>
      <c r="D243" s="525"/>
      <c r="E243" s="526">
        <f>E244</f>
        <v>0</v>
      </c>
      <c r="F243" s="525"/>
      <c r="G243" s="526"/>
      <c r="H243" s="527"/>
      <c r="I243" s="528">
        <f>I244</f>
        <v>0</v>
      </c>
    </row>
    <row r="244" spans="1:9" s="326" customFormat="1" ht="12" customHeight="1" hidden="1" thickTop="1">
      <c r="A244" s="395">
        <v>75212</v>
      </c>
      <c r="B244" s="396" t="s">
        <v>433</v>
      </c>
      <c r="C244" s="465">
        <f>D244+E244</f>
        <v>0</v>
      </c>
      <c r="D244" s="466"/>
      <c r="E244" s="529">
        <f>I244+G244</f>
        <v>0</v>
      </c>
      <c r="F244" s="468"/>
      <c r="G244" s="467"/>
      <c r="H244" s="468"/>
      <c r="I244" s="469">
        <f>I245</f>
        <v>0</v>
      </c>
    </row>
    <row r="245" spans="1:9" s="326" customFormat="1" ht="12" customHeight="1" hidden="1">
      <c r="A245" s="299"/>
      <c r="B245" s="316" t="s">
        <v>421</v>
      </c>
      <c r="C245" s="447">
        <f>D245+E245</f>
        <v>0</v>
      </c>
      <c r="D245" s="530"/>
      <c r="E245" s="482">
        <f>I245+G245</f>
        <v>0</v>
      </c>
      <c r="F245" s="321"/>
      <c r="G245" s="303"/>
      <c r="H245" s="321"/>
      <c r="I245" s="318">
        <f>SUM(I246)</f>
        <v>0</v>
      </c>
    </row>
    <row r="246" spans="1:9" s="326" customFormat="1" ht="12.75" customHeight="1" hidden="1">
      <c r="A246" s="299"/>
      <c r="B246" s="320" t="s">
        <v>383</v>
      </c>
      <c r="C246" s="301">
        <f>D246+E246</f>
        <v>0</v>
      </c>
      <c r="D246" s="302"/>
      <c r="E246" s="514">
        <f>I246+G246</f>
        <v>0</v>
      </c>
      <c r="F246" s="321"/>
      <c r="G246" s="303"/>
      <c r="H246" s="321"/>
      <c r="I246" s="325"/>
    </row>
    <row r="247" spans="1:9" s="326" customFormat="1" ht="24">
      <c r="A247" s="395">
        <v>75113</v>
      </c>
      <c r="B247" s="396" t="s">
        <v>772</v>
      </c>
      <c r="C247" s="465">
        <f>C248</f>
        <v>116350</v>
      </c>
      <c r="D247" s="466"/>
      <c r="E247" s="466">
        <f>SUM(E248)</f>
        <v>116350</v>
      </c>
      <c r="F247" s="468"/>
      <c r="G247" s="467">
        <f>SUM(G248)</f>
        <v>116350</v>
      </c>
      <c r="H247" s="466"/>
      <c r="I247" s="469"/>
    </row>
    <row r="248" spans="1:9" s="326" customFormat="1" ht="12.75" customHeight="1">
      <c r="A248" s="299"/>
      <c r="B248" s="480" t="s">
        <v>421</v>
      </c>
      <c r="C248" s="301">
        <f>SUM(C249:C251)</f>
        <v>116350</v>
      </c>
      <c r="D248" s="302"/>
      <c r="E248" s="514">
        <f>SUM(E249:E251)</f>
        <v>116350</v>
      </c>
      <c r="F248" s="348"/>
      <c r="G248" s="303">
        <f>SUM(G249:G251)</f>
        <v>116350</v>
      </c>
      <c r="H248" s="321"/>
      <c r="I248" s="325"/>
    </row>
    <row r="249" spans="1:9" s="326" customFormat="1" ht="12.75" customHeight="1">
      <c r="A249" s="299"/>
      <c r="B249" s="300" t="s">
        <v>407</v>
      </c>
      <c r="C249" s="301">
        <f>SUM(D249:E249)</f>
        <v>30045</v>
      </c>
      <c r="D249" s="302"/>
      <c r="E249" s="303">
        <f>G249+I249</f>
        <v>30045</v>
      </c>
      <c r="F249" s="348"/>
      <c r="G249" s="303">
        <v>30045</v>
      </c>
      <c r="H249" s="321"/>
      <c r="I249" s="325"/>
    </row>
    <row r="250" spans="1:9" s="326" customFormat="1" ht="12.75" customHeight="1">
      <c r="A250" s="299"/>
      <c r="B250" s="300" t="s">
        <v>408</v>
      </c>
      <c r="C250" s="301"/>
      <c r="D250" s="302"/>
      <c r="E250" s="514"/>
      <c r="F250" s="348"/>
      <c r="G250" s="303"/>
      <c r="H250" s="321"/>
      <c r="I250" s="325"/>
    </row>
    <row r="251" spans="1:9" s="326" customFormat="1" ht="12.75" customHeight="1" thickBot="1">
      <c r="A251" s="1928"/>
      <c r="B251" s="457" t="s">
        <v>383</v>
      </c>
      <c r="C251" s="388">
        <f>SUM(D251:E251)</f>
        <v>86305</v>
      </c>
      <c r="D251" s="389"/>
      <c r="E251" s="392">
        <f>G251+I251</f>
        <v>86305</v>
      </c>
      <c r="F251" s="391"/>
      <c r="G251" s="392">
        <v>86305</v>
      </c>
      <c r="H251" s="393"/>
      <c r="I251" s="1929"/>
    </row>
    <row r="252" spans="1:9" s="538" customFormat="1" ht="49.5" customHeight="1" thickBot="1" thickTop="1">
      <c r="A252" s="557">
        <v>754</v>
      </c>
      <c r="B252" s="1926" t="s">
        <v>263</v>
      </c>
      <c r="C252" s="524">
        <f>C265+C274+C285+C288+C301+C297</f>
        <v>9062956</v>
      </c>
      <c r="D252" s="525">
        <f>D265+D274+D285+D288+D301+D297</f>
        <v>1034500</v>
      </c>
      <c r="E252" s="526">
        <f>E265+E274+E285+E288+E297+E301</f>
        <v>8028456</v>
      </c>
      <c r="F252" s="1927">
        <f>F265+F274+F285+F288+F301+F297</f>
        <v>179500</v>
      </c>
      <c r="G252" s="526">
        <f>G265+G274+G285+G288</f>
        <v>10000</v>
      </c>
      <c r="H252" s="527">
        <f>H265+H274+H285+H288</f>
        <v>855000</v>
      </c>
      <c r="I252" s="528">
        <f>I265+I274+I285+I288+I301</f>
        <v>8018456</v>
      </c>
    </row>
    <row r="253" spans="1:9" s="290" customFormat="1" ht="15" customHeight="1" thickTop="1">
      <c r="A253" s="351"/>
      <c r="B253" s="370" t="s">
        <v>382</v>
      </c>
      <c r="C253" s="353">
        <f>D253+E253</f>
        <v>8547856</v>
      </c>
      <c r="D253" s="502">
        <f>F253+H253</f>
        <v>569400</v>
      </c>
      <c r="E253" s="354">
        <f>G253+I253</f>
        <v>7978456</v>
      </c>
      <c r="F253" s="356">
        <f>F275+F286+F289+F302+F298</f>
        <v>79500</v>
      </c>
      <c r="G253" s="355">
        <f>G275+G286+G289</f>
        <v>10000</v>
      </c>
      <c r="H253" s="358">
        <f>H275+H266</f>
        <v>489900</v>
      </c>
      <c r="I253" s="359">
        <f>I275+I286+I289+I302</f>
        <v>7968456</v>
      </c>
    </row>
    <row r="254" spans="1:9" s="451" customFormat="1" ht="11.25" customHeight="1">
      <c r="A254" s="448"/>
      <c r="B254" s="300" t="s">
        <v>407</v>
      </c>
      <c r="C254" s="361">
        <f>D254+E254</f>
        <v>6039883</v>
      </c>
      <c r="D254" s="362"/>
      <c r="E254" s="362">
        <f>G254+I254</f>
        <v>6039883</v>
      </c>
      <c r="F254" s="363"/>
      <c r="G254" s="305"/>
      <c r="H254" s="304"/>
      <c r="I254" s="306">
        <f>I276+I303</f>
        <v>6039883</v>
      </c>
    </row>
    <row r="255" spans="1:9" s="451" customFormat="1" ht="12" customHeight="1">
      <c r="A255" s="448"/>
      <c r="B255" s="300" t="s">
        <v>408</v>
      </c>
      <c r="C255" s="361"/>
      <c r="D255" s="362"/>
      <c r="E255" s="362"/>
      <c r="F255" s="363"/>
      <c r="G255" s="305"/>
      <c r="H255" s="304"/>
      <c r="I255" s="306"/>
    </row>
    <row r="256" spans="1:9" s="451" customFormat="1" ht="12" customHeight="1">
      <c r="A256" s="448"/>
      <c r="B256" s="496" t="s">
        <v>420</v>
      </c>
      <c r="C256" s="378">
        <f aca="true" t="shared" si="7" ref="C256:C262">D256+E256</f>
        <v>35800</v>
      </c>
      <c r="D256" s="379"/>
      <c r="E256" s="379">
        <f>G256+I256</f>
        <v>35800</v>
      </c>
      <c r="F256" s="2070"/>
      <c r="G256" s="380"/>
      <c r="H256" s="381"/>
      <c r="I256" s="497">
        <f>I305</f>
        <v>35800</v>
      </c>
    </row>
    <row r="257" spans="1:9" s="451" customFormat="1" ht="13.5" customHeight="1">
      <c r="A257" s="448"/>
      <c r="B257" s="320" t="s">
        <v>394</v>
      </c>
      <c r="C257" s="361">
        <f t="shared" si="7"/>
        <v>22000</v>
      </c>
      <c r="D257" s="362">
        <f aca="true" t="shared" si="8" ref="D257:D263">F257+H257</f>
        <v>22000</v>
      </c>
      <c r="E257" s="362"/>
      <c r="F257" s="363">
        <f>F287</f>
        <v>22000</v>
      </c>
      <c r="G257" s="305"/>
      <c r="H257" s="304"/>
      <c r="I257" s="306"/>
    </row>
    <row r="258" spans="1:9" s="451" customFormat="1" ht="13.5" customHeight="1">
      <c r="A258" s="448"/>
      <c r="B258" s="300" t="s">
        <v>383</v>
      </c>
      <c r="C258" s="361">
        <f t="shared" si="7"/>
        <v>2485973</v>
      </c>
      <c r="D258" s="362">
        <f t="shared" si="8"/>
        <v>547400</v>
      </c>
      <c r="E258" s="362">
        <f>G258+I258</f>
        <v>1938573</v>
      </c>
      <c r="F258" s="363">
        <f>F279+F292+F306+F299</f>
        <v>57500</v>
      </c>
      <c r="G258" s="305">
        <f>G279+G292</f>
        <v>10000</v>
      </c>
      <c r="H258" s="304">
        <f>H279+H269</f>
        <v>489900</v>
      </c>
      <c r="I258" s="306">
        <f>I279+I292+I306</f>
        <v>1928573</v>
      </c>
    </row>
    <row r="259" spans="1:9" s="315" customFormat="1" ht="12.75" customHeight="1">
      <c r="A259" s="366"/>
      <c r="B259" s="300" t="s">
        <v>410</v>
      </c>
      <c r="C259" s="293">
        <f t="shared" si="7"/>
        <v>50000</v>
      </c>
      <c r="D259" s="362">
        <f t="shared" si="8"/>
        <v>10000</v>
      </c>
      <c r="E259" s="294">
        <f>G259+I259</f>
        <v>40000</v>
      </c>
      <c r="F259" s="369">
        <f>F300</f>
        <v>10000</v>
      </c>
      <c r="G259" s="507"/>
      <c r="H259" s="317"/>
      <c r="I259" s="318">
        <f>I280</f>
        <v>40000</v>
      </c>
    </row>
    <row r="260" spans="1:9" s="315" customFormat="1" ht="12.75" customHeight="1">
      <c r="A260" s="366"/>
      <c r="B260" s="496" t="s">
        <v>420</v>
      </c>
      <c r="C260" s="378">
        <f t="shared" si="7"/>
        <v>15336</v>
      </c>
      <c r="D260" s="379"/>
      <c r="E260" s="379">
        <f>G260+I260</f>
        <v>15336</v>
      </c>
      <c r="F260" s="2070"/>
      <c r="G260" s="2071"/>
      <c r="H260" s="381"/>
      <c r="I260" s="497">
        <f>I307</f>
        <v>15336</v>
      </c>
    </row>
    <row r="261" spans="1:9" s="290" customFormat="1" ht="17.25" customHeight="1">
      <c r="A261" s="351"/>
      <c r="B261" s="370" t="s">
        <v>378</v>
      </c>
      <c r="C261" s="353">
        <f t="shared" si="7"/>
        <v>150000</v>
      </c>
      <c r="D261" s="354">
        <f t="shared" si="8"/>
        <v>100000</v>
      </c>
      <c r="E261" s="354">
        <f>G261+I261</f>
        <v>50000</v>
      </c>
      <c r="F261" s="371">
        <f>F271+F281+F308+F294</f>
        <v>100000</v>
      </c>
      <c r="G261" s="355"/>
      <c r="H261" s="371"/>
      <c r="I261" s="372">
        <f>I271+I281</f>
        <v>50000</v>
      </c>
    </row>
    <row r="262" spans="1:9" s="451" customFormat="1" ht="13.5" customHeight="1">
      <c r="A262" s="563"/>
      <c r="B262" s="349" t="s">
        <v>391</v>
      </c>
      <c r="C262" s="417">
        <f t="shared" si="7"/>
        <v>150000</v>
      </c>
      <c r="D262" s="418">
        <f t="shared" si="8"/>
        <v>100000</v>
      </c>
      <c r="E262" s="418">
        <f>G262+I262</f>
        <v>50000</v>
      </c>
      <c r="F262" s="420">
        <f>F272+F282+F309</f>
        <v>100000</v>
      </c>
      <c r="G262" s="419"/>
      <c r="H262" s="420"/>
      <c r="I262" s="428">
        <f>I272+I282</f>
        <v>50000</v>
      </c>
    </row>
    <row r="263" spans="1:9" ht="13.5" customHeight="1">
      <c r="A263" s="291"/>
      <c r="B263" s="300" t="s">
        <v>379</v>
      </c>
      <c r="C263" s="301">
        <f>SUM(D263:E263)</f>
        <v>365100</v>
      </c>
      <c r="D263" s="302">
        <f t="shared" si="8"/>
        <v>365100</v>
      </c>
      <c r="E263" s="303"/>
      <c r="F263" s="321">
        <f>F296</f>
        <v>0</v>
      </c>
      <c r="G263" s="297"/>
      <c r="H263" s="321">
        <f>H283+H273</f>
        <v>365100</v>
      </c>
      <c r="I263" s="298"/>
    </row>
    <row r="264" spans="1:9" ht="13.5" customHeight="1" thickBot="1">
      <c r="A264" s="488"/>
      <c r="B264" s="539" t="s">
        <v>395</v>
      </c>
      <c r="C264" s="388">
        <f>C284</f>
        <v>220000</v>
      </c>
      <c r="D264" s="389">
        <f>D284</f>
        <v>220000</v>
      </c>
      <c r="E264" s="392"/>
      <c r="F264" s="393"/>
      <c r="G264" s="540"/>
      <c r="H264" s="393">
        <f>H284</f>
        <v>220000</v>
      </c>
      <c r="I264" s="541"/>
    </row>
    <row r="265" spans="1:9" s="315" customFormat="1" ht="24.75" customHeight="1" thickTop="1">
      <c r="A265" s="395">
        <v>75405</v>
      </c>
      <c r="B265" s="464" t="s">
        <v>434</v>
      </c>
      <c r="C265" s="465">
        <f>C266+C271</f>
        <v>450000</v>
      </c>
      <c r="D265" s="466">
        <f>D266+D271</f>
        <v>450000</v>
      </c>
      <c r="E265" s="467"/>
      <c r="F265" s="468"/>
      <c r="G265" s="467"/>
      <c r="H265" s="468">
        <f>H266+H271</f>
        <v>450000</v>
      </c>
      <c r="I265" s="469"/>
    </row>
    <row r="266" spans="1:9" s="315" customFormat="1" ht="13.5" customHeight="1">
      <c r="A266" s="291"/>
      <c r="B266" s="292" t="s">
        <v>382</v>
      </c>
      <c r="C266" s="293">
        <f>SUM(C267:C269)</f>
        <v>350000</v>
      </c>
      <c r="D266" s="294">
        <f>F266+H266</f>
        <v>350000</v>
      </c>
      <c r="E266" s="295">
        <f>SUM(E267:E269)</f>
        <v>0</v>
      </c>
      <c r="F266" s="542"/>
      <c r="G266" s="368"/>
      <c r="H266" s="317">
        <f>SUM(H267:H269)</f>
        <v>350000</v>
      </c>
      <c r="I266" s="318">
        <f>SUM(I267:I269)</f>
        <v>0</v>
      </c>
    </row>
    <row r="267" spans="1:9" s="307" customFormat="1" ht="15" customHeight="1" hidden="1">
      <c r="A267" s="299"/>
      <c r="B267" s="300" t="s">
        <v>407</v>
      </c>
      <c r="C267" s="301">
        <f>SUM(D267:E267)</f>
        <v>0</v>
      </c>
      <c r="D267" s="302">
        <f>F267+H267</f>
        <v>0</v>
      </c>
      <c r="E267" s="303">
        <f>G267+I267</f>
        <v>0</v>
      </c>
      <c r="F267" s="321"/>
      <c r="G267" s="303"/>
      <c r="H267" s="321"/>
      <c r="I267" s="325"/>
    </row>
    <row r="268" spans="1:9" s="307" customFormat="1" ht="13.5" customHeight="1" hidden="1">
      <c r="A268" s="299"/>
      <c r="B268" s="300" t="s">
        <v>408</v>
      </c>
      <c r="C268" s="301"/>
      <c r="D268" s="302"/>
      <c r="E268" s="303"/>
      <c r="F268" s="321"/>
      <c r="G268" s="303"/>
      <c r="H268" s="321"/>
      <c r="I268" s="325"/>
    </row>
    <row r="269" spans="1:9" s="307" customFormat="1" ht="14.25" customHeight="1">
      <c r="A269" s="299"/>
      <c r="B269" s="300" t="s">
        <v>383</v>
      </c>
      <c r="C269" s="301">
        <f>SUM(D269:E269)</f>
        <v>350000</v>
      </c>
      <c r="D269" s="302">
        <f>F269+H269</f>
        <v>350000</v>
      </c>
      <c r="E269" s="303">
        <f>G269+I269</f>
        <v>0</v>
      </c>
      <c r="F269" s="321"/>
      <c r="G269" s="303"/>
      <c r="H269" s="321">
        <v>350000</v>
      </c>
      <c r="I269" s="325"/>
    </row>
    <row r="270" spans="1:9" s="307" customFormat="1" ht="13.5" customHeight="1" hidden="1">
      <c r="A270" s="432"/>
      <c r="B270" s="349" t="s">
        <v>410</v>
      </c>
      <c r="C270" s="417">
        <f>SUM(D270:E270)</f>
        <v>0</v>
      </c>
      <c r="D270" s="418">
        <f>F270+H270</f>
        <v>0</v>
      </c>
      <c r="E270" s="419"/>
      <c r="F270" s="420"/>
      <c r="G270" s="419"/>
      <c r="H270" s="420"/>
      <c r="I270" s="428"/>
    </row>
    <row r="271" spans="1:9" ht="13.5" customHeight="1">
      <c r="A271" s="479"/>
      <c r="B271" s="543" t="s">
        <v>378</v>
      </c>
      <c r="C271" s="447">
        <f>SUM(C272:C273)</f>
        <v>100000</v>
      </c>
      <c r="D271" s="481">
        <f>F271+H271</f>
        <v>100000</v>
      </c>
      <c r="E271" s="482"/>
      <c r="F271" s="544"/>
      <c r="G271" s="482"/>
      <c r="H271" s="544">
        <f>SUM(H272:H273)</f>
        <v>100000</v>
      </c>
      <c r="I271" s="211"/>
    </row>
    <row r="272" spans="1:9" ht="13.5" customHeight="1" hidden="1">
      <c r="A272" s="291"/>
      <c r="B272" s="300" t="s">
        <v>391</v>
      </c>
      <c r="C272" s="301">
        <f>SUM(D272:E272)</f>
        <v>0</v>
      </c>
      <c r="D272" s="302">
        <f>F272+H272</f>
        <v>0</v>
      </c>
      <c r="E272" s="303"/>
      <c r="F272" s="321"/>
      <c r="G272" s="295"/>
      <c r="H272" s="321">
        <v>0</v>
      </c>
      <c r="I272" s="325"/>
    </row>
    <row r="273" spans="1:9" ht="13.5" customHeight="1">
      <c r="A273" s="416"/>
      <c r="B273" s="300" t="s">
        <v>379</v>
      </c>
      <c r="C273" s="301">
        <f>SUM(D273:E273)</f>
        <v>100000</v>
      </c>
      <c r="D273" s="302">
        <f>F273+H273</f>
        <v>100000</v>
      </c>
      <c r="E273" s="419"/>
      <c r="F273" s="418"/>
      <c r="G273" s="489"/>
      <c r="H273" s="420">
        <v>100000</v>
      </c>
      <c r="I273" s="428"/>
    </row>
    <row r="274" spans="1:9" s="315" customFormat="1" ht="36" customHeight="1">
      <c r="A274" s="346">
        <v>75411</v>
      </c>
      <c r="B274" s="470" t="s">
        <v>435</v>
      </c>
      <c r="C274" s="322">
        <f>C275+C281</f>
        <v>8372320</v>
      </c>
      <c r="D274" s="225">
        <f>D275+D281</f>
        <v>405000</v>
      </c>
      <c r="E274" s="323">
        <f>SUM(E275+E281)</f>
        <v>7967320</v>
      </c>
      <c r="F274" s="225"/>
      <c r="G274" s="323"/>
      <c r="H274" s="324">
        <f>H275+H281</f>
        <v>405000</v>
      </c>
      <c r="I274" s="227">
        <f>SUM(I275+I281)</f>
        <v>7967320</v>
      </c>
    </row>
    <row r="275" spans="1:9" s="315" customFormat="1" ht="15" customHeight="1">
      <c r="A275" s="291"/>
      <c r="B275" s="292" t="s">
        <v>382</v>
      </c>
      <c r="C275" s="293">
        <f>SUM(C276:C279)</f>
        <v>8057220</v>
      </c>
      <c r="D275" s="294">
        <f>F275+H275</f>
        <v>139900</v>
      </c>
      <c r="E275" s="295">
        <f>SUM(E276:E279)</f>
        <v>7917320</v>
      </c>
      <c r="F275" s="542"/>
      <c r="G275" s="368"/>
      <c r="H275" s="317">
        <f>H276+H279</f>
        <v>139900</v>
      </c>
      <c r="I275" s="318">
        <f>SUM(I276:I279)</f>
        <v>7917320</v>
      </c>
    </row>
    <row r="276" spans="1:9" s="307" customFormat="1" ht="12" customHeight="1">
      <c r="A276" s="299"/>
      <c r="B276" s="300" t="s">
        <v>407</v>
      </c>
      <c r="C276" s="301">
        <f>SUM(D276:E276)</f>
        <v>6004083</v>
      </c>
      <c r="D276" s="302"/>
      <c r="E276" s="303">
        <f>G276+I276</f>
        <v>6004083</v>
      </c>
      <c r="F276" s="321"/>
      <c r="G276" s="303"/>
      <c r="H276" s="304"/>
      <c r="I276" s="325">
        <v>6004083</v>
      </c>
    </row>
    <row r="277" spans="1:9" s="307" customFormat="1" ht="12" customHeight="1">
      <c r="A277" s="299"/>
      <c r="B277" s="300" t="s">
        <v>408</v>
      </c>
      <c r="C277" s="301"/>
      <c r="D277" s="302"/>
      <c r="E277" s="303"/>
      <c r="F277" s="321"/>
      <c r="G277" s="303"/>
      <c r="H277" s="304"/>
      <c r="I277" s="325"/>
    </row>
    <row r="278" spans="1:9" s="307" customFormat="1" ht="10.5" customHeight="1" hidden="1">
      <c r="A278" s="299"/>
      <c r="B278" s="320" t="s">
        <v>394</v>
      </c>
      <c r="C278" s="301"/>
      <c r="D278" s="302"/>
      <c r="E278" s="303"/>
      <c r="F278" s="321"/>
      <c r="G278" s="303"/>
      <c r="H278" s="304"/>
      <c r="I278" s="325"/>
    </row>
    <row r="279" spans="1:9" s="307" customFormat="1" ht="11.25" customHeight="1">
      <c r="A279" s="299"/>
      <c r="B279" s="300" t="s">
        <v>383</v>
      </c>
      <c r="C279" s="301">
        <f>D279+E279</f>
        <v>2053137</v>
      </c>
      <c r="D279" s="302">
        <f>F279+H279</f>
        <v>139900</v>
      </c>
      <c r="E279" s="303">
        <f>G279+I279</f>
        <v>1913237</v>
      </c>
      <c r="F279" s="321"/>
      <c r="G279" s="303"/>
      <c r="H279" s="321">
        <v>139900</v>
      </c>
      <c r="I279" s="325">
        <v>1913237</v>
      </c>
    </row>
    <row r="280" spans="1:9" s="307" customFormat="1" ht="15" customHeight="1">
      <c r="A280" s="299"/>
      <c r="B280" s="300" t="s">
        <v>410</v>
      </c>
      <c r="C280" s="301">
        <f>SUM(D280:E280)</f>
        <v>160000</v>
      </c>
      <c r="D280" s="302">
        <f>F280+H280</f>
        <v>120000</v>
      </c>
      <c r="E280" s="303">
        <f>G280+I280</f>
        <v>40000</v>
      </c>
      <c r="F280" s="321"/>
      <c r="G280" s="303"/>
      <c r="H280" s="321">
        <v>120000</v>
      </c>
      <c r="I280" s="325">
        <v>40000</v>
      </c>
    </row>
    <row r="281" spans="1:9" ht="13.5" customHeight="1">
      <c r="A281" s="291"/>
      <c r="B281" s="292" t="s">
        <v>378</v>
      </c>
      <c r="C281" s="293">
        <f>SUM(C282:C283)</f>
        <v>315100</v>
      </c>
      <c r="D281" s="302">
        <f>F281+H281</f>
        <v>265100</v>
      </c>
      <c r="E281" s="295">
        <f>SUM(E282:E283)</f>
        <v>50000</v>
      </c>
      <c r="F281" s="294"/>
      <c r="G281" s="295"/>
      <c r="H281" s="317">
        <f>SUM(H282:H283)</f>
        <v>265100</v>
      </c>
      <c r="I281" s="318">
        <f>SUM(I282:I283)</f>
        <v>50000</v>
      </c>
    </row>
    <row r="282" spans="1:9" ht="12" customHeight="1">
      <c r="A282" s="291"/>
      <c r="B282" s="300" t="s">
        <v>391</v>
      </c>
      <c r="C282" s="301">
        <f>SUM(D282:E282)</f>
        <v>50000</v>
      </c>
      <c r="D282" s="302"/>
      <c r="E282" s="303">
        <f>G282+I282</f>
        <v>50000</v>
      </c>
      <c r="F282" s="302"/>
      <c r="G282" s="295"/>
      <c r="H282" s="321"/>
      <c r="I282" s="325">
        <v>50000</v>
      </c>
    </row>
    <row r="283" spans="1:9" ht="14.25" customHeight="1">
      <c r="A283" s="291"/>
      <c r="B283" s="300" t="s">
        <v>379</v>
      </c>
      <c r="C283" s="301">
        <f>SUM(D283:E283)</f>
        <v>265100</v>
      </c>
      <c r="D283" s="302">
        <f>F283+H283</f>
        <v>265100</v>
      </c>
      <c r="E283" s="303">
        <f>G283+I283</f>
        <v>0</v>
      </c>
      <c r="F283" s="321"/>
      <c r="G283" s="297"/>
      <c r="H283" s="321">
        <v>265100</v>
      </c>
      <c r="I283" s="325"/>
    </row>
    <row r="284" spans="1:9" ht="13.5" customHeight="1">
      <c r="A284" s="416"/>
      <c r="B284" s="545" t="s">
        <v>395</v>
      </c>
      <c r="C284" s="546">
        <f>SUM(D284:E284)</f>
        <v>220000</v>
      </c>
      <c r="D284" s="302">
        <f>F284+H284</f>
        <v>220000</v>
      </c>
      <c r="E284" s="303">
        <f>G284+I284</f>
        <v>0</v>
      </c>
      <c r="F284" s="547"/>
      <c r="G284" s="548"/>
      <c r="H284" s="420">
        <v>220000</v>
      </c>
      <c r="I284" s="428"/>
    </row>
    <row r="285" spans="1:9" ht="16.5" customHeight="1">
      <c r="A285" s="346">
        <v>75412</v>
      </c>
      <c r="B285" s="470" t="s">
        <v>436</v>
      </c>
      <c r="C285" s="322">
        <f>SUM(C287)</f>
        <v>22000</v>
      </c>
      <c r="D285" s="225">
        <f>SUM(D287)</f>
        <v>22000</v>
      </c>
      <c r="E285" s="323"/>
      <c r="F285" s="324">
        <f>SUM(F287)</f>
        <v>22000</v>
      </c>
      <c r="G285" s="323"/>
      <c r="H285" s="324"/>
      <c r="I285" s="227"/>
    </row>
    <row r="286" spans="1:9" ht="12.75">
      <c r="A286" s="291"/>
      <c r="B286" s="316" t="s">
        <v>382</v>
      </c>
      <c r="C286" s="293">
        <f>SUM(C287)</f>
        <v>22000</v>
      </c>
      <c r="D286" s="294">
        <f>SUM(D287)</f>
        <v>22000</v>
      </c>
      <c r="E286" s="295"/>
      <c r="F286" s="296">
        <f>SUM(F287)</f>
        <v>22000</v>
      </c>
      <c r="G286" s="429"/>
      <c r="H286" s="430"/>
      <c r="I286" s="431"/>
    </row>
    <row r="287" spans="1:9" ht="11.25" customHeight="1">
      <c r="A287" s="291"/>
      <c r="B287" s="320" t="s">
        <v>394</v>
      </c>
      <c r="C287" s="301">
        <f>SUM(D287:E287)</f>
        <v>22000</v>
      </c>
      <c r="D287" s="302">
        <f>F287+H287</f>
        <v>22000</v>
      </c>
      <c r="E287" s="303"/>
      <c r="F287" s="321">
        <v>22000</v>
      </c>
      <c r="G287" s="297"/>
      <c r="H287" s="296"/>
      <c r="I287" s="298"/>
    </row>
    <row r="288" spans="1:9" ht="15.75" customHeight="1">
      <c r="A288" s="346">
        <v>75414</v>
      </c>
      <c r="B288" s="470" t="s">
        <v>437</v>
      </c>
      <c r="C288" s="322">
        <f>SUM(C289+C294)</f>
        <v>52500</v>
      </c>
      <c r="D288" s="491">
        <f>SUM(D289+D294)</f>
        <v>42500</v>
      </c>
      <c r="E288" s="323">
        <f>SUM(E289+E294)</f>
        <v>10000</v>
      </c>
      <c r="F288" s="549">
        <f>F289+F294</f>
        <v>42500</v>
      </c>
      <c r="G288" s="323">
        <f>G289+G294</f>
        <v>10000</v>
      </c>
      <c r="H288" s="324"/>
      <c r="I288" s="227"/>
    </row>
    <row r="289" spans="1:9" ht="12.75">
      <c r="A289" s="479"/>
      <c r="B289" s="480" t="s">
        <v>421</v>
      </c>
      <c r="C289" s="550">
        <f>SUM(C290:C292)</f>
        <v>52500</v>
      </c>
      <c r="D289" s="551">
        <f>F289+H289</f>
        <v>42500</v>
      </c>
      <c r="E289" s="482">
        <f>G289+I289</f>
        <v>10000</v>
      </c>
      <c r="F289" s="552">
        <f>SUM(F290:F292)</f>
        <v>42500</v>
      </c>
      <c r="G289" s="484">
        <f>SUM(G290:G292)</f>
        <v>10000</v>
      </c>
      <c r="H289" s="485"/>
      <c r="I289" s="520"/>
    </row>
    <row r="290" spans="1:9" s="307" customFormat="1" ht="12.75" hidden="1">
      <c r="A290" s="299" t="s">
        <v>438</v>
      </c>
      <c r="B290" s="300" t="s">
        <v>407</v>
      </c>
      <c r="C290" s="301">
        <f>D290+E290</f>
        <v>0</v>
      </c>
      <c r="D290" s="347">
        <f>F290+H290</f>
        <v>0</v>
      </c>
      <c r="E290" s="303">
        <f>G290+I290</f>
        <v>0</v>
      </c>
      <c r="F290" s="363"/>
      <c r="G290" s="305"/>
      <c r="H290" s="304"/>
      <c r="I290" s="306"/>
    </row>
    <row r="291" spans="1:9" s="307" customFormat="1" ht="12.75" hidden="1">
      <c r="A291" s="299"/>
      <c r="B291" s="300" t="s">
        <v>408</v>
      </c>
      <c r="C291" s="301"/>
      <c r="D291" s="347"/>
      <c r="E291" s="303"/>
      <c r="F291" s="363"/>
      <c r="G291" s="305"/>
      <c r="H291" s="304"/>
      <c r="I291" s="306"/>
    </row>
    <row r="292" spans="1:9" s="307" customFormat="1" ht="15" customHeight="1">
      <c r="A292" s="299"/>
      <c r="B292" s="300" t="s">
        <v>383</v>
      </c>
      <c r="C292" s="301">
        <f>D292+E292</f>
        <v>52500</v>
      </c>
      <c r="D292" s="347">
        <f>F292+H292</f>
        <v>42500</v>
      </c>
      <c r="E292" s="303">
        <f>G292+I292</f>
        <v>10000</v>
      </c>
      <c r="F292" s="348">
        <v>42500</v>
      </c>
      <c r="G292" s="303">
        <v>10000</v>
      </c>
      <c r="H292" s="304"/>
      <c r="I292" s="325"/>
    </row>
    <row r="293" spans="1:9" s="307" customFormat="1" ht="9.75" customHeight="1" hidden="1">
      <c r="A293" s="299"/>
      <c r="B293" s="320" t="s">
        <v>390</v>
      </c>
      <c r="C293" s="301">
        <f aca="true" t="shared" si="9" ref="C293:C300">D293+E293</f>
        <v>0</v>
      </c>
      <c r="D293" s="347">
        <f aca="true" t="shared" si="10" ref="D293:D300">F293+H293</f>
        <v>0</v>
      </c>
      <c r="E293" s="303">
        <f aca="true" t="shared" si="11" ref="E293:E300">G293+I293</f>
        <v>0</v>
      </c>
      <c r="F293" s="321"/>
      <c r="G293" s="303"/>
      <c r="H293" s="321"/>
      <c r="I293" s="325"/>
    </row>
    <row r="294" spans="1:9" ht="13.5" customHeight="1" hidden="1">
      <c r="A294" s="291"/>
      <c r="B294" s="292" t="s">
        <v>378</v>
      </c>
      <c r="C294" s="301">
        <f t="shared" si="9"/>
        <v>0</v>
      </c>
      <c r="D294" s="347">
        <f t="shared" si="10"/>
        <v>0</v>
      </c>
      <c r="E294" s="303">
        <f t="shared" si="11"/>
        <v>0</v>
      </c>
      <c r="F294" s="296">
        <f>F295+F296</f>
        <v>0</v>
      </c>
      <c r="G294" s="297"/>
      <c r="H294" s="427"/>
      <c r="I294" s="298">
        <f>SUM(I295:I296)</f>
        <v>0</v>
      </c>
    </row>
    <row r="295" spans="1:9" s="307" customFormat="1" ht="11.25" customHeight="1" hidden="1">
      <c r="A295" s="299"/>
      <c r="B295" s="300" t="s">
        <v>391</v>
      </c>
      <c r="C295" s="301">
        <f t="shared" si="9"/>
        <v>0</v>
      </c>
      <c r="D295" s="347">
        <f t="shared" si="10"/>
        <v>0</v>
      </c>
      <c r="E295" s="303">
        <f t="shared" si="11"/>
        <v>0</v>
      </c>
      <c r="F295" s="321"/>
      <c r="G295" s="303"/>
      <c r="H295" s="321"/>
      <c r="I295" s="325"/>
    </row>
    <row r="296" spans="1:9" ht="14.25" customHeight="1" hidden="1">
      <c r="A296" s="416"/>
      <c r="B296" s="349" t="s">
        <v>379</v>
      </c>
      <c r="C296" s="301">
        <f t="shared" si="9"/>
        <v>0</v>
      </c>
      <c r="D296" s="347">
        <f t="shared" si="10"/>
        <v>0</v>
      </c>
      <c r="E296" s="303">
        <f t="shared" si="11"/>
        <v>0</v>
      </c>
      <c r="F296" s="420"/>
      <c r="G296" s="489"/>
      <c r="H296" s="490"/>
      <c r="I296" s="428">
        <v>0</v>
      </c>
    </row>
    <row r="297" spans="1:9" ht="14.25" customHeight="1" hidden="1">
      <c r="A297" s="395">
        <v>75421</v>
      </c>
      <c r="B297" s="464" t="s">
        <v>439</v>
      </c>
      <c r="C297" s="301">
        <f t="shared" si="9"/>
        <v>0</v>
      </c>
      <c r="D297" s="347">
        <f t="shared" si="10"/>
        <v>0</v>
      </c>
      <c r="E297" s="303">
        <f t="shared" si="11"/>
        <v>0</v>
      </c>
      <c r="F297" s="468">
        <f>SUM(F299)</f>
        <v>0</v>
      </c>
      <c r="G297" s="467"/>
      <c r="H297" s="468"/>
      <c r="I297" s="469"/>
    </row>
    <row r="298" spans="1:9" ht="12.75" hidden="1">
      <c r="A298" s="291"/>
      <c r="B298" s="316" t="s">
        <v>382</v>
      </c>
      <c r="C298" s="301">
        <f t="shared" si="9"/>
        <v>0</v>
      </c>
      <c r="D298" s="347">
        <f t="shared" si="10"/>
        <v>0</v>
      </c>
      <c r="E298" s="303">
        <f t="shared" si="11"/>
        <v>0</v>
      </c>
      <c r="F298" s="296">
        <f>SUM(F299)</f>
        <v>0</v>
      </c>
      <c r="G298" s="429"/>
      <c r="H298" s="430"/>
      <c r="I298" s="431"/>
    </row>
    <row r="299" spans="1:9" ht="11.25" customHeight="1" hidden="1">
      <c r="A299" s="291"/>
      <c r="B299" s="320" t="s">
        <v>383</v>
      </c>
      <c r="C299" s="301">
        <f t="shared" si="9"/>
        <v>0</v>
      </c>
      <c r="D299" s="347">
        <f t="shared" si="10"/>
        <v>0</v>
      </c>
      <c r="E299" s="303">
        <f t="shared" si="11"/>
        <v>0</v>
      </c>
      <c r="F299" s="321"/>
      <c r="G299" s="297"/>
      <c r="H299" s="296"/>
      <c r="I299" s="298"/>
    </row>
    <row r="300" spans="1:9" ht="11.25" customHeight="1">
      <c r="A300" s="291"/>
      <c r="B300" s="300" t="s">
        <v>410</v>
      </c>
      <c r="C300" s="301">
        <f t="shared" si="9"/>
        <v>12500</v>
      </c>
      <c r="D300" s="347">
        <f t="shared" si="10"/>
        <v>10000</v>
      </c>
      <c r="E300" s="303">
        <f t="shared" si="11"/>
        <v>2500</v>
      </c>
      <c r="F300" s="321">
        <v>10000</v>
      </c>
      <c r="G300" s="297">
        <v>2500</v>
      </c>
      <c r="H300" s="296"/>
      <c r="I300" s="298"/>
    </row>
    <row r="301" spans="1:9" ht="15.75" customHeight="1">
      <c r="A301" s="346">
        <v>75495</v>
      </c>
      <c r="B301" s="470" t="s">
        <v>389</v>
      </c>
      <c r="C301" s="322">
        <f>C302+C308</f>
        <v>166136</v>
      </c>
      <c r="D301" s="225">
        <f>SUM(D306+D308)</f>
        <v>115000</v>
      </c>
      <c r="E301" s="323">
        <f>E302+E308</f>
        <v>51136</v>
      </c>
      <c r="F301" s="324">
        <f>SUM(F306+F308)</f>
        <v>115000</v>
      </c>
      <c r="G301" s="323"/>
      <c r="H301" s="324"/>
      <c r="I301" s="227">
        <f>I302</f>
        <v>51136</v>
      </c>
    </row>
    <row r="302" spans="1:9" ht="11.25" customHeight="1">
      <c r="A302" s="291"/>
      <c r="B302" s="316" t="s">
        <v>382</v>
      </c>
      <c r="C302" s="293">
        <f>C306+C303</f>
        <v>66136</v>
      </c>
      <c r="D302" s="294">
        <f>SUM(D306)</f>
        <v>15000</v>
      </c>
      <c r="E302" s="295">
        <f>E306+E303</f>
        <v>51136</v>
      </c>
      <c r="F302" s="296">
        <f>SUM(F306)</f>
        <v>15000</v>
      </c>
      <c r="G302" s="429"/>
      <c r="H302" s="430"/>
      <c r="I302" s="431">
        <f>I306+I303</f>
        <v>51136</v>
      </c>
    </row>
    <row r="303" spans="1:9" ht="11.25" customHeight="1">
      <c r="A303" s="291"/>
      <c r="B303" s="300" t="s">
        <v>407</v>
      </c>
      <c r="C303" s="301">
        <f>SUM(D303:E303)</f>
        <v>35800</v>
      </c>
      <c r="D303" s="294"/>
      <c r="E303" s="295">
        <f>G303+I303</f>
        <v>35800</v>
      </c>
      <c r="F303" s="296"/>
      <c r="G303" s="429"/>
      <c r="H303" s="430"/>
      <c r="I303" s="431">
        <v>35800</v>
      </c>
    </row>
    <row r="304" spans="1:9" ht="11.25" customHeight="1">
      <c r="A304" s="291"/>
      <c r="B304" s="300" t="s">
        <v>408</v>
      </c>
      <c r="C304" s="301"/>
      <c r="D304" s="294"/>
      <c r="E304" s="295"/>
      <c r="F304" s="296"/>
      <c r="G304" s="429"/>
      <c r="H304" s="430"/>
      <c r="I304" s="431"/>
    </row>
    <row r="305" spans="1:9" ht="11.25" customHeight="1">
      <c r="A305" s="291"/>
      <c r="B305" s="496" t="s">
        <v>420</v>
      </c>
      <c r="C305" s="378">
        <f>SUM(D305:E305)</f>
        <v>35800</v>
      </c>
      <c r="D305" s="379"/>
      <c r="E305" s="380">
        <f>G305+I305</f>
        <v>35800</v>
      </c>
      <c r="F305" s="381"/>
      <c r="G305" s="2069"/>
      <c r="H305" s="1930"/>
      <c r="I305" s="1932">
        <v>35800</v>
      </c>
    </row>
    <row r="306" spans="1:9" ht="12.75" customHeight="1">
      <c r="A306" s="291"/>
      <c r="B306" s="300" t="s">
        <v>383</v>
      </c>
      <c r="C306" s="301">
        <f>SUM(D306:E306)</f>
        <v>30336</v>
      </c>
      <c r="D306" s="302">
        <f>F306+H306</f>
        <v>15000</v>
      </c>
      <c r="E306" s="295">
        <f>G306+I306</f>
        <v>15336</v>
      </c>
      <c r="F306" s="321">
        <v>15000</v>
      </c>
      <c r="G306" s="297"/>
      <c r="H306" s="296"/>
      <c r="I306" s="298">
        <v>15336</v>
      </c>
    </row>
    <row r="307" spans="1:9" ht="12.75" customHeight="1">
      <c r="A307" s="291"/>
      <c r="B307" s="496" t="s">
        <v>420</v>
      </c>
      <c r="C307" s="378">
        <f>SUM(D307:E307)</f>
        <v>15336</v>
      </c>
      <c r="D307" s="379"/>
      <c r="E307" s="380">
        <f>G307+I307</f>
        <v>15336</v>
      </c>
      <c r="F307" s="381"/>
      <c r="G307" s="380"/>
      <c r="H307" s="381"/>
      <c r="I307" s="497">
        <v>15336</v>
      </c>
    </row>
    <row r="308" spans="1:9" ht="13.5" customHeight="1">
      <c r="A308" s="291"/>
      <c r="B308" s="292" t="s">
        <v>378</v>
      </c>
      <c r="C308" s="293">
        <f>SUM(C309)</f>
        <v>100000</v>
      </c>
      <c r="D308" s="294">
        <f>F308+H308</f>
        <v>100000</v>
      </c>
      <c r="E308" s="295"/>
      <c r="F308" s="317">
        <f>SUM(F309)</f>
        <v>100000</v>
      </c>
      <c r="G308" s="295"/>
      <c r="H308" s="317"/>
      <c r="I308" s="318"/>
    </row>
    <row r="309" spans="1:9" ht="17.25" customHeight="1" thickBot="1">
      <c r="A309" s="291"/>
      <c r="B309" s="300" t="s">
        <v>391</v>
      </c>
      <c r="C309" s="301">
        <f>SUM(D309:E309)</f>
        <v>100000</v>
      </c>
      <c r="D309" s="302">
        <f>F309+H309</f>
        <v>100000</v>
      </c>
      <c r="E309" s="303"/>
      <c r="F309" s="302">
        <v>100000</v>
      </c>
      <c r="G309" s="295"/>
      <c r="H309" s="321"/>
      <c r="I309" s="325"/>
    </row>
    <row r="310" spans="1:9" s="290" customFormat="1" ht="118.5" customHeight="1" thickBot="1" thickTop="1">
      <c r="A310" s="345">
        <v>756</v>
      </c>
      <c r="B310" s="555" t="s">
        <v>265</v>
      </c>
      <c r="C310" s="286">
        <f aca="true" t="shared" si="12" ref="C310:F311">SUM(C311)</f>
        <v>624700</v>
      </c>
      <c r="D310" s="287">
        <f t="shared" si="12"/>
        <v>624700</v>
      </c>
      <c r="E310" s="288"/>
      <c r="F310" s="289">
        <f t="shared" si="12"/>
        <v>624700</v>
      </c>
      <c r="G310" s="288"/>
      <c r="H310" s="289"/>
      <c r="I310" s="234"/>
    </row>
    <row r="311" spans="1:9" ht="39" customHeight="1" thickTop="1">
      <c r="A311" s="395">
        <v>75647</v>
      </c>
      <c r="B311" s="464" t="s">
        <v>440</v>
      </c>
      <c r="C311" s="465">
        <f t="shared" si="12"/>
        <v>624700</v>
      </c>
      <c r="D311" s="466">
        <f t="shared" si="12"/>
        <v>624700</v>
      </c>
      <c r="E311" s="467"/>
      <c r="F311" s="468">
        <f t="shared" si="12"/>
        <v>624700</v>
      </c>
      <c r="G311" s="467"/>
      <c r="H311" s="468"/>
      <c r="I311" s="469"/>
    </row>
    <row r="312" spans="1:9" s="315" customFormat="1" ht="15" customHeight="1">
      <c r="A312" s="479"/>
      <c r="B312" s="543" t="s">
        <v>382</v>
      </c>
      <c r="C312" s="447">
        <f>SUM(C313:C315)</f>
        <v>624700</v>
      </c>
      <c r="D312" s="481">
        <f>SUM(D313:D315)</f>
        <v>624700</v>
      </c>
      <c r="E312" s="482"/>
      <c r="F312" s="544">
        <f>SUM(F313:F315)</f>
        <v>624700</v>
      </c>
      <c r="G312" s="556"/>
      <c r="H312" s="544"/>
      <c r="I312" s="211"/>
    </row>
    <row r="313" spans="1:9" s="307" customFormat="1" ht="15" customHeight="1">
      <c r="A313" s="299"/>
      <c r="B313" s="300" t="s">
        <v>407</v>
      </c>
      <c r="C313" s="301">
        <f>SUM(D313:E313)</f>
        <v>248700</v>
      </c>
      <c r="D313" s="302">
        <f>F313+H313</f>
        <v>248700</v>
      </c>
      <c r="E313" s="303"/>
      <c r="F313" s="321">
        <v>248700</v>
      </c>
      <c r="G313" s="303"/>
      <c r="H313" s="304"/>
      <c r="I313" s="325"/>
    </row>
    <row r="314" spans="1:9" s="307" customFormat="1" ht="12.75">
      <c r="A314" s="299"/>
      <c r="B314" s="300" t="s">
        <v>408</v>
      </c>
      <c r="C314" s="301"/>
      <c r="D314" s="302"/>
      <c r="E314" s="303"/>
      <c r="F314" s="321"/>
      <c r="G314" s="303"/>
      <c r="H314" s="304"/>
      <c r="I314" s="325"/>
    </row>
    <row r="315" spans="1:9" s="307" customFormat="1" ht="18" customHeight="1">
      <c r="A315" s="432"/>
      <c r="B315" s="349" t="s">
        <v>383</v>
      </c>
      <c r="C315" s="417">
        <f>SUM(D315:E315)</f>
        <v>376000</v>
      </c>
      <c r="D315" s="418">
        <f>F315+H315</f>
        <v>376000</v>
      </c>
      <c r="E315" s="419"/>
      <c r="F315" s="420">
        <v>376000</v>
      </c>
      <c r="G315" s="419"/>
      <c r="H315" s="435"/>
      <c r="I315" s="428"/>
    </row>
    <row r="316" spans="1:9" s="290" customFormat="1" ht="26.25" customHeight="1" thickBot="1">
      <c r="A316" s="557">
        <v>757</v>
      </c>
      <c r="B316" s="558" t="s">
        <v>267</v>
      </c>
      <c r="C316" s="524">
        <f aca="true" t="shared" si="13" ref="C316:F317">SUM(C317)</f>
        <v>3200000</v>
      </c>
      <c r="D316" s="525">
        <f t="shared" si="13"/>
        <v>3200000</v>
      </c>
      <c r="E316" s="526"/>
      <c r="F316" s="527">
        <f t="shared" si="13"/>
        <v>3200000</v>
      </c>
      <c r="G316" s="526"/>
      <c r="H316" s="527"/>
      <c r="I316" s="528"/>
    </row>
    <row r="317" spans="1:9" ht="45" customHeight="1" thickTop="1">
      <c r="A317" s="346">
        <v>75702</v>
      </c>
      <c r="B317" s="470" t="s">
        <v>441</v>
      </c>
      <c r="C317" s="322">
        <f t="shared" si="13"/>
        <v>3200000</v>
      </c>
      <c r="D317" s="225">
        <f t="shared" si="13"/>
        <v>3200000</v>
      </c>
      <c r="E317" s="323"/>
      <c r="F317" s="324">
        <f t="shared" si="13"/>
        <v>3200000</v>
      </c>
      <c r="G317" s="323"/>
      <c r="H317" s="324"/>
      <c r="I317" s="227"/>
    </row>
    <row r="318" spans="1:9" ht="14.25" customHeight="1">
      <c r="A318" s="291"/>
      <c r="B318" s="316" t="s">
        <v>382</v>
      </c>
      <c r="C318" s="293">
        <f>SUM(C319)</f>
        <v>3200000</v>
      </c>
      <c r="D318" s="294">
        <f>SUM(D319)</f>
        <v>3200000</v>
      </c>
      <c r="E318" s="295"/>
      <c r="F318" s="296">
        <f>SUM(F319)</f>
        <v>3200000</v>
      </c>
      <c r="G318" s="429"/>
      <c r="H318" s="430"/>
      <c r="I318" s="431"/>
    </row>
    <row r="319" spans="1:9" ht="12.75" customHeight="1" thickBot="1">
      <c r="A319" s="291"/>
      <c r="B319" s="320" t="s">
        <v>442</v>
      </c>
      <c r="C319" s="301">
        <f>SUM(D319:E319)</f>
        <v>3200000</v>
      </c>
      <c r="D319" s="302">
        <f>F319+H319</f>
        <v>3200000</v>
      </c>
      <c r="E319" s="303"/>
      <c r="F319" s="321">
        <v>3200000</v>
      </c>
      <c r="G319" s="297"/>
      <c r="H319" s="296"/>
      <c r="I319" s="298"/>
    </row>
    <row r="320" spans="1:9" s="471" customFormat="1" ht="24" customHeight="1" thickBot="1" thickTop="1">
      <c r="A320" s="345">
        <v>758</v>
      </c>
      <c r="B320" s="285" t="s">
        <v>269</v>
      </c>
      <c r="C320" s="286">
        <f>SUM(C326+C321)</f>
        <v>7937164</v>
      </c>
      <c r="D320" s="287">
        <f>SUM(D326+D321)</f>
        <v>7937164</v>
      </c>
      <c r="E320" s="288"/>
      <c r="F320" s="289">
        <f>SUM(F326+F321)</f>
        <v>3538718</v>
      </c>
      <c r="G320" s="288"/>
      <c r="H320" s="289">
        <f>H321+H326</f>
        <v>4398446</v>
      </c>
      <c r="I320" s="234"/>
    </row>
    <row r="321" spans="1:9" ht="12.75" customHeight="1" thickTop="1">
      <c r="A321" s="346">
        <v>75818</v>
      </c>
      <c r="B321" s="470" t="s">
        <v>443</v>
      </c>
      <c r="C321" s="322">
        <f>SUM(C323+C324)</f>
        <v>3538718</v>
      </c>
      <c r="D321" s="225">
        <f>SUM(D323+D324)</f>
        <v>3538718</v>
      </c>
      <c r="E321" s="323"/>
      <c r="F321" s="324">
        <f>SUM(F323+F324)</f>
        <v>3538718</v>
      </c>
      <c r="G321" s="323"/>
      <c r="H321" s="324"/>
      <c r="I321" s="227"/>
    </row>
    <row r="322" spans="1:9" ht="10.5" customHeight="1">
      <c r="A322" s="291"/>
      <c r="B322" s="316" t="s">
        <v>382</v>
      </c>
      <c r="C322" s="293">
        <f>SUM(C323)</f>
        <v>3392622</v>
      </c>
      <c r="D322" s="294">
        <f>SUM(D323)</f>
        <v>3392622</v>
      </c>
      <c r="E322" s="295"/>
      <c r="F322" s="296">
        <f>SUM(F323)</f>
        <v>3392622</v>
      </c>
      <c r="G322" s="429"/>
      <c r="H322" s="296"/>
      <c r="I322" s="431"/>
    </row>
    <row r="323" spans="1:9" ht="9.75" customHeight="1">
      <c r="A323" s="291"/>
      <c r="B323" s="320" t="s">
        <v>383</v>
      </c>
      <c r="C323" s="301">
        <f>SUM(D323:E323)</f>
        <v>3392622</v>
      </c>
      <c r="D323" s="302">
        <f>F323+H323</f>
        <v>3392622</v>
      </c>
      <c r="E323" s="303"/>
      <c r="F323" s="321">
        <f>5000000-150000+210000-210000-768038-179340-10000-500000</f>
        <v>3392622</v>
      </c>
      <c r="G323" s="297"/>
      <c r="H323" s="321"/>
      <c r="I323" s="298"/>
    </row>
    <row r="324" spans="1:9" ht="10.5" customHeight="1">
      <c r="A324" s="291"/>
      <c r="B324" s="292" t="s">
        <v>378</v>
      </c>
      <c r="C324" s="293">
        <f>SUM(C325)</f>
        <v>146096</v>
      </c>
      <c r="D324" s="294">
        <f>F324+H324</f>
        <v>146096</v>
      </c>
      <c r="E324" s="295"/>
      <c r="F324" s="317">
        <f>SUM(F325:F326)</f>
        <v>146096</v>
      </c>
      <c r="G324" s="295"/>
      <c r="H324" s="317"/>
      <c r="I324" s="318"/>
    </row>
    <row r="325" spans="1:9" ht="12" customHeight="1">
      <c r="A325" s="416"/>
      <c r="B325" s="349" t="s">
        <v>391</v>
      </c>
      <c r="C325" s="417">
        <f>SUM(D325:E325)</f>
        <v>146096</v>
      </c>
      <c r="D325" s="418">
        <f>F325+H325</f>
        <v>146096</v>
      </c>
      <c r="E325" s="419"/>
      <c r="F325" s="418">
        <v>146096</v>
      </c>
      <c r="G325" s="489"/>
      <c r="H325" s="420"/>
      <c r="I325" s="428"/>
    </row>
    <row r="326" spans="1:9" ht="34.5" customHeight="1">
      <c r="A326" s="346">
        <v>75832</v>
      </c>
      <c r="B326" s="470" t="s">
        <v>444</v>
      </c>
      <c r="C326" s="322">
        <f>SUM(C328:C328)</f>
        <v>4398446</v>
      </c>
      <c r="D326" s="225">
        <f>SUM(D328:D328)</f>
        <v>4398446</v>
      </c>
      <c r="E326" s="323"/>
      <c r="F326" s="324"/>
      <c r="G326" s="323"/>
      <c r="H326" s="324">
        <f>SUM(H328:H328)</f>
        <v>4398446</v>
      </c>
      <c r="I326" s="227"/>
    </row>
    <row r="327" spans="1:9" ht="12.75">
      <c r="A327" s="291"/>
      <c r="B327" s="316" t="s">
        <v>382</v>
      </c>
      <c r="C327" s="293">
        <f>SUM(C328)</f>
        <v>4398446</v>
      </c>
      <c r="D327" s="294">
        <f>SUM(D328)</f>
        <v>4398446</v>
      </c>
      <c r="E327" s="295"/>
      <c r="F327" s="296"/>
      <c r="G327" s="429"/>
      <c r="H327" s="296">
        <f>SUM(H328)</f>
        <v>4398446</v>
      </c>
      <c r="I327" s="431"/>
    </row>
    <row r="328" spans="1:9" ht="14.25" customHeight="1" thickBot="1">
      <c r="A328" s="291"/>
      <c r="B328" s="320" t="s">
        <v>383</v>
      </c>
      <c r="C328" s="301">
        <f>SUM(D328:E328)</f>
        <v>4398446</v>
      </c>
      <c r="D328" s="302">
        <f>F328+H328</f>
        <v>4398446</v>
      </c>
      <c r="E328" s="303"/>
      <c r="F328" s="321"/>
      <c r="G328" s="297"/>
      <c r="H328" s="321">
        <v>4398446</v>
      </c>
      <c r="I328" s="298"/>
    </row>
    <row r="329" spans="1:9" s="290" customFormat="1" ht="25.5" customHeight="1" thickBot="1" thickTop="1">
      <c r="A329" s="345">
        <v>801</v>
      </c>
      <c r="B329" s="285" t="s">
        <v>271</v>
      </c>
      <c r="C329" s="286">
        <f>C341+C351+C363+C380+C390+C407+C423+C433+C439+C448+C456+C474+C445+C417+C465+C468+C374+C357+C396</f>
        <v>136794906</v>
      </c>
      <c r="D329" s="287">
        <f>D341+D351+D363+D380+D390+D407+D423+D433+D439+D448+D456+D474+D445+D417+D465+D468+D374+D357+D396</f>
        <v>136794906</v>
      </c>
      <c r="E329" s="288"/>
      <c r="F329" s="289">
        <f>F341+F351+F363+F380+F390+F407+F423+F433+F439+F448+F456+F474+F445+F417+F465+F468+F374+F357+F396</f>
        <v>80663749</v>
      </c>
      <c r="G329" s="288"/>
      <c r="H329" s="289">
        <f>H341+H351+H363+H380+H390+H407+H423+H433+H439+H448+H456+H474+H445+H417+H465+H468+H374+H357+H396</f>
        <v>56131157</v>
      </c>
      <c r="I329" s="234"/>
    </row>
    <row r="330" spans="1:9" s="290" customFormat="1" ht="13.5" thickTop="1">
      <c r="A330" s="351"/>
      <c r="B330" s="352" t="s">
        <v>382</v>
      </c>
      <c r="C330" s="353">
        <f>D330+E330</f>
        <v>122257606</v>
      </c>
      <c r="D330" s="354">
        <f>F330+H330</f>
        <v>122257606</v>
      </c>
      <c r="E330" s="355"/>
      <c r="F330" s="356">
        <f>F342+F352+F358+F364+F375+F381+F391+F408+F418+F424+F440+F449+F457+F466+F469+F475+F397</f>
        <v>72633649</v>
      </c>
      <c r="G330" s="357"/>
      <c r="H330" s="356">
        <f>H342+H352+H358+H364+H375+H381+H391+H408+H418+H424+H440+H449+H457+H466+H469+H475+H397</f>
        <v>49623957</v>
      </c>
      <c r="I330" s="359"/>
    </row>
    <row r="331" spans="1:9" s="451" customFormat="1" ht="12.75">
      <c r="A331" s="448"/>
      <c r="B331" s="300" t="s">
        <v>407</v>
      </c>
      <c r="C331" s="361">
        <f>D331+E331</f>
        <v>81922338</v>
      </c>
      <c r="D331" s="362">
        <f>F331+H331</f>
        <v>81922338</v>
      </c>
      <c r="E331" s="305"/>
      <c r="F331" s="363">
        <f>F343+F353+F359+F376+F382+F392+F409+F419+F425+F441+F450+F458+F470+F476+F398</f>
        <v>46274322</v>
      </c>
      <c r="G331" s="305"/>
      <c r="H331" s="363">
        <f>H343+H353+H359+H376+H382+H392+H409+H419+H425+H441+H450+H458+H470+H476+H398</f>
        <v>35648016</v>
      </c>
      <c r="I331" s="306"/>
    </row>
    <row r="332" spans="1:9" s="451" customFormat="1" ht="9.75" customHeight="1">
      <c r="A332" s="448"/>
      <c r="B332" s="300" t="s">
        <v>408</v>
      </c>
      <c r="C332" s="361"/>
      <c r="D332" s="362"/>
      <c r="E332" s="305"/>
      <c r="F332" s="363"/>
      <c r="G332" s="305"/>
      <c r="H332" s="363"/>
      <c r="I332" s="306"/>
    </row>
    <row r="333" spans="1:9" s="451" customFormat="1" ht="12.75">
      <c r="A333" s="448"/>
      <c r="B333" s="320" t="s">
        <v>394</v>
      </c>
      <c r="C333" s="361">
        <f>D333+E333</f>
        <v>22260915</v>
      </c>
      <c r="D333" s="362">
        <f>F333+H333</f>
        <v>22260915</v>
      </c>
      <c r="E333" s="305"/>
      <c r="F333" s="363">
        <f>F345+F361+F367+F384+F411+F427+F472+F478+F400</f>
        <v>15870428</v>
      </c>
      <c r="G333" s="305"/>
      <c r="H333" s="363">
        <f>H345+H361+H367+H384+H411+H427+H472+H478+H400</f>
        <v>6390487</v>
      </c>
      <c r="I333" s="306"/>
    </row>
    <row r="334" spans="1:9" s="451" customFormat="1" ht="12.75">
      <c r="A334" s="448"/>
      <c r="B334" s="320" t="s">
        <v>383</v>
      </c>
      <c r="C334" s="361">
        <f>D334+E334</f>
        <v>18074353</v>
      </c>
      <c r="D334" s="362">
        <f>F334+H334</f>
        <v>18074353</v>
      </c>
      <c r="E334" s="305"/>
      <c r="F334" s="363">
        <f>F346+F355+F362+F378+F385+F394+F412+F421+F428+F443+F452+F460+F467+F473+F479+F401</f>
        <v>10488899</v>
      </c>
      <c r="G334" s="305"/>
      <c r="H334" s="363">
        <f>H346+H355+H362+H378+H385+H394+H412+H421+H428+H443+H452+H460+H467+H473+H479+H401</f>
        <v>7585454</v>
      </c>
      <c r="I334" s="306"/>
    </row>
    <row r="335" spans="1:9" s="315" customFormat="1" ht="12">
      <c r="A335" s="366"/>
      <c r="B335" s="292" t="s">
        <v>410</v>
      </c>
      <c r="C335" s="293">
        <f>D335+E335</f>
        <v>492700</v>
      </c>
      <c r="D335" s="294">
        <f>F335+H335</f>
        <v>492700</v>
      </c>
      <c r="E335" s="295"/>
      <c r="F335" s="369">
        <f>F347+F356+F379+F386+F395+F413+F422+F429+F453+F461+F480+F444+F402</f>
        <v>380800</v>
      </c>
      <c r="G335" s="295"/>
      <c r="H335" s="369">
        <f>H347+H356+H379+H386+H395+H413+H422+H429+H453+H461+H480+H444+H402</f>
        <v>111900</v>
      </c>
      <c r="I335" s="318"/>
    </row>
    <row r="336" spans="1:9" s="290" customFormat="1" ht="12.75">
      <c r="A336" s="351"/>
      <c r="B336" s="370" t="s">
        <v>445</v>
      </c>
      <c r="C336" s="353">
        <f>C348+C387+C481+C430+C462+C414+C403+C369</f>
        <v>14526300</v>
      </c>
      <c r="D336" s="235">
        <f>D348+D387+D481+D430+D462+D414+D403+D369</f>
        <v>14526300</v>
      </c>
      <c r="E336" s="355"/>
      <c r="F336" s="356">
        <f>F348+F387+F481+F430+F462+F414+F403+F369</f>
        <v>8030100</v>
      </c>
      <c r="G336" s="355"/>
      <c r="H336" s="356">
        <f>H348+H387+H481+H430+H462+H414+H403+H454</f>
        <v>6507200</v>
      </c>
      <c r="I336" s="372"/>
    </row>
    <row r="337" spans="1:9" s="451" customFormat="1" ht="12.75">
      <c r="A337" s="448"/>
      <c r="B337" s="559" t="s">
        <v>391</v>
      </c>
      <c r="C337" s="361">
        <f>C349+C388+C482+C431+C415+C463+C404+C370</f>
        <v>14442562</v>
      </c>
      <c r="D337" s="473">
        <f>D349+D388+D482+D431+D415+D463+D404+D370</f>
        <v>14442562</v>
      </c>
      <c r="E337" s="305"/>
      <c r="F337" s="363">
        <f>F349+F388+F482+F431+F415+F404+F463+F370</f>
        <v>8002362</v>
      </c>
      <c r="G337" s="305"/>
      <c r="H337" s="363">
        <f>H349+H388+H482+H431+H415+H404+H463</f>
        <v>6440200</v>
      </c>
      <c r="I337" s="306"/>
    </row>
    <row r="338" spans="1:9" s="451" customFormat="1" ht="11.25" customHeight="1">
      <c r="A338" s="448"/>
      <c r="B338" s="292" t="s">
        <v>395</v>
      </c>
      <c r="C338" s="361">
        <f>C371</f>
        <v>360000</v>
      </c>
      <c r="D338" s="473">
        <f>D371</f>
        <v>360000</v>
      </c>
      <c r="E338" s="305"/>
      <c r="F338" s="363">
        <f>F371</f>
        <v>360000</v>
      </c>
      <c r="G338" s="305"/>
      <c r="H338" s="363"/>
      <c r="I338" s="306"/>
    </row>
    <row r="339" spans="1:9" s="451" customFormat="1" ht="12.75">
      <c r="A339" s="448"/>
      <c r="B339" s="300" t="s">
        <v>379</v>
      </c>
      <c r="C339" s="361">
        <f>C483+C350+C389+C416+C432+C464+C455+C372</f>
        <v>94738</v>
      </c>
      <c r="D339" s="473">
        <f>D483+D350+D389+D416+D432+D464+D455+D372</f>
        <v>94738</v>
      </c>
      <c r="E339" s="305"/>
      <c r="F339" s="363">
        <f>F483+F350+F389+F416+F432+F464+F405+F372</f>
        <v>27738</v>
      </c>
      <c r="G339" s="305"/>
      <c r="H339" s="363">
        <f>H483+H350+H389+H416+H432+H464+H405+H455</f>
        <v>67000</v>
      </c>
      <c r="I339" s="306"/>
    </row>
    <row r="340" spans="1:9" s="451" customFormat="1" ht="13.5" thickBot="1">
      <c r="A340" s="560"/>
      <c r="B340" s="539" t="s">
        <v>395</v>
      </c>
      <c r="C340" s="458">
        <f>C373</f>
        <v>7000</v>
      </c>
      <c r="D340" s="561">
        <f>D373</f>
        <v>7000</v>
      </c>
      <c r="E340" s="476"/>
      <c r="F340" s="562">
        <f>F373</f>
        <v>7000</v>
      </c>
      <c r="G340" s="476"/>
      <c r="H340" s="562"/>
      <c r="I340" s="394"/>
    </row>
    <row r="341" spans="1:9" ht="13.5" customHeight="1" thickTop="1">
      <c r="A341" s="395">
        <v>80101</v>
      </c>
      <c r="B341" s="464" t="s">
        <v>446</v>
      </c>
      <c r="C341" s="465">
        <f>C342+C348</f>
        <v>36067608</v>
      </c>
      <c r="D341" s="466">
        <f>D342+D348</f>
        <v>36067608</v>
      </c>
      <c r="E341" s="467"/>
      <c r="F341" s="468">
        <f>F342+F348</f>
        <v>36067608</v>
      </c>
      <c r="G341" s="467"/>
      <c r="H341" s="468"/>
      <c r="I341" s="469"/>
    </row>
    <row r="342" spans="1:9" ht="11.25" customHeight="1">
      <c r="A342" s="291"/>
      <c r="B342" s="316" t="s">
        <v>382</v>
      </c>
      <c r="C342" s="293">
        <f>SUM(C343:C346)</f>
        <v>31669008</v>
      </c>
      <c r="D342" s="294">
        <f>SUM(D343:D346)</f>
        <v>31669008</v>
      </c>
      <c r="E342" s="295"/>
      <c r="F342" s="296">
        <f>SUM(F343:F346)</f>
        <v>31669008</v>
      </c>
      <c r="G342" s="429"/>
      <c r="H342" s="296"/>
      <c r="I342" s="431"/>
    </row>
    <row r="343" spans="1:9" ht="12" customHeight="1">
      <c r="A343" s="291"/>
      <c r="B343" s="300" t="s">
        <v>407</v>
      </c>
      <c r="C343" s="301">
        <f>SUM(D343:E343)</f>
        <v>25971724</v>
      </c>
      <c r="D343" s="302">
        <f>F343+H343</f>
        <v>25971724</v>
      </c>
      <c r="E343" s="303"/>
      <c r="F343" s="321">
        <v>25971724</v>
      </c>
      <c r="G343" s="297"/>
      <c r="H343" s="304"/>
      <c r="I343" s="298"/>
    </row>
    <row r="344" spans="1:9" ht="12" customHeight="1">
      <c r="A344" s="291"/>
      <c r="B344" s="300" t="s">
        <v>408</v>
      </c>
      <c r="C344" s="301"/>
      <c r="D344" s="302"/>
      <c r="E344" s="303"/>
      <c r="F344" s="321"/>
      <c r="G344" s="297"/>
      <c r="H344" s="304"/>
      <c r="I344" s="298"/>
    </row>
    <row r="345" spans="1:9" ht="10.5" customHeight="1">
      <c r="A345" s="291"/>
      <c r="B345" s="320" t="s">
        <v>394</v>
      </c>
      <c r="C345" s="301">
        <f>SUM(D345:E345)</f>
        <v>850000</v>
      </c>
      <c r="D345" s="302">
        <f aca="true" t="shared" si="14" ref="D345:D350">F345+H345</f>
        <v>850000</v>
      </c>
      <c r="E345" s="303"/>
      <c r="F345" s="321">
        <v>850000</v>
      </c>
      <c r="G345" s="297"/>
      <c r="H345" s="304"/>
      <c r="I345" s="298"/>
    </row>
    <row r="346" spans="1:9" ht="11.25" customHeight="1">
      <c r="A346" s="291"/>
      <c r="B346" s="320" t="s">
        <v>383</v>
      </c>
      <c r="C346" s="301">
        <f>SUM(D346:E346)</f>
        <v>4847284</v>
      </c>
      <c r="D346" s="302">
        <f t="shared" si="14"/>
        <v>4847284</v>
      </c>
      <c r="E346" s="303"/>
      <c r="F346" s="321">
        <v>4847284</v>
      </c>
      <c r="G346" s="297"/>
      <c r="H346" s="304"/>
      <c r="I346" s="298"/>
    </row>
    <row r="347" spans="1:9" ht="11.25" customHeight="1">
      <c r="A347" s="291"/>
      <c r="B347" s="300" t="s">
        <v>410</v>
      </c>
      <c r="C347" s="301">
        <f>SUM(D347:E347)</f>
        <v>93400</v>
      </c>
      <c r="D347" s="302">
        <f t="shared" si="14"/>
        <v>93400</v>
      </c>
      <c r="E347" s="303"/>
      <c r="F347" s="321">
        <v>93400</v>
      </c>
      <c r="G347" s="297"/>
      <c r="H347" s="304"/>
      <c r="I347" s="298"/>
    </row>
    <row r="348" spans="1:9" ht="12.75" customHeight="1">
      <c r="A348" s="291"/>
      <c r="B348" s="292" t="s">
        <v>445</v>
      </c>
      <c r="C348" s="293">
        <f>SUM(C349:C350)</f>
        <v>4398600</v>
      </c>
      <c r="D348" s="294">
        <f t="shared" si="14"/>
        <v>4398600</v>
      </c>
      <c r="E348" s="295"/>
      <c r="F348" s="296">
        <f>SUM(F349:F350)</f>
        <v>4398600</v>
      </c>
      <c r="G348" s="297"/>
      <c r="H348" s="296"/>
      <c r="I348" s="298"/>
    </row>
    <row r="349" spans="1:9" s="307" customFormat="1" ht="12" customHeight="1">
      <c r="A349" s="299"/>
      <c r="B349" s="300" t="s">
        <v>391</v>
      </c>
      <c r="C349" s="301">
        <f>SUM(D349:E349)</f>
        <v>4377862</v>
      </c>
      <c r="D349" s="302">
        <f t="shared" si="14"/>
        <v>4377862</v>
      </c>
      <c r="E349" s="303"/>
      <c r="F349" s="321">
        <v>4377862</v>
      </c>
      <c r="G349" s="305"/>
      <c r="H349" s="321"/>
      <c r="I349" s="306"/>
    </row>
    <row r="350" spans="1:9" s="451" customFormat="1" ht="12">
      <c r="A350" s="563"/>
      <c r="B350" s="349" t="s">
        <v>379</v>
      </c>
      <c r="C350" s="417">
        <f>D350+E350</f>
        <v>20738</v>
      </c>
      <c r="D350" s="418">
        <f t="shared" si="14"/>
        <v>20738</v>
      </c>
      <c r="E350" s="419"/>
      <c r="F350" s="420">
        <v>20738</v>
      </c>
      <c r="G350" s="419"/>
      <c r="H350" s="420"/>
      <c r="I350" s="428"/>
    </row>
    <row r="351" spans="1:9" s="315" customFormat="1" ht="23.25" customHeight="1">
      <c r="A351" s="395">
        <v>80102</v>
      </c>
      <c r="B351" s="464" t="s">
        <v>447</v>
      </c>
      <c r="C351" s="564">
        <f>SUM(C352)</f>
        <v>2507421</v>
      </c>
      <c r="D351" s="565">
        <f>SUM(D352)</f>
        <v>2507421</v>
      </c>
      <c r="E351" s="566"/>
      <c r="F351" s="567"/>
      <c r="G351" s="566"/>
      <c r="H351" s="567">
        <f>SUM(H352)</f>
        <v>2507421</v>
      </c>
      <c r="I351" s="568"/>
    </row>
    <row r="352" spans="1:9" ht="13.5" customHeight="1">
      <c r="A352" s="291"/>
      <c r="B352" s="316" t="s">
        <v>382</v>
      </c>
      <c r="C352" s="293">
        <f>SUM(C353:C355)</f>
        <v>2507421</v>
      </c>
      <c r="D352" s="294">
        <f>SUM(D353:D355)</f>
        <v>2507421</v>
      </c>
      <c r="E352" s="295"/>
      <c r="F352" s="296"/>
      <c r="G352" s="429"/>
      <c r="H352" s="296">
        <f>SUM(H353:H355)</f>
        <v>2507421</v>
      </c>
      <c r="I352" s="431"/>
    </row>
    <row r="353" spans="1:9" ht="10.5" customHeight="1">
      <c r="A353" s="291"/>
      <c r="B353" s="300" t="s">
        <v>407</v>
      </c>
      <c r="C353" s="301">
        <f>SUM(D353:E353)</f>
        <v>2180320</v>
      </c>
      <c r="D353" s="302">
        <f>F353+H353</f>
        <v>2180320</v>
      </c>
      <c r="E353" s="303"/>
      <c r="F353" s="321"/>
      <c r="G353" s="295"/>
      <c r="H353" s="321">
        <v>2180320</v>
      </c>
      <c r="I353" s="318"/>
    </row>
    <row r="354" spans="1:9" ht="12">
      <c r="A354" s="291"/>
      <c r="B354" s="300" t="s">
        <v>408</v>
      </c>
      <c r="C354" s="301"/>
      <c r="D354" s="302"/>
      <c r="E354" s="303"/>
      <c r="F354" s="321"/>
      <c r="G354" s="295"/>
      <c r="H354" s="321"/>
      <c r="I354" s="318"/>
    </row>
    <row r="355" spans="1:9" ht="12">
      <c r="A355" s="291"/>
      <c r="B355" s="320" t="s">
        <v>383</v>
      </c>
      <c r="C355" s="301">
        <f>SUM(D355:E355)</f>
        <v>327101</v>
      </c>
      <c r="D355" s="302">
        <f>F355+H355</f>
        <v>327101</v>
      </c>
      <c r="E355" s="303"/>
      <c r="F355" s="321"/>
      <c r="G355" s="295"/>
      <c r="H355" s="321">
        <v>327101</v>
      </c>
      <c r="I355" s="318"/>
    </row>
    <row r="356" spans="1:9" ht="12.75" customHeight="1">
      <c r="A356" s="416"/>
      <c r="B356" s="349" t="s">
        <v>410</v>
      </c>
      <c r="C356" s="417">
        <f>SUM(D356:E356)</f>
        <v>3800</v>
      </c>
      <c r="D356" s="418">
        <f>F356+H356</f>
        <v>3800</v>
      </c>
      <c r="E356" s="419"/>
      <c r="F356" s="420"/>
      <c r="G356" s="489"/>
      <c r="H356" s="420">
        <v>3800</v>
      </c>
      <c r="I356" s="569"/>
    </row>
    <row r="357" spans="1:9" s="315" customFormat="1" ht="30.75" customHeight="1">
      <c r="A357" s="346">
        <v>80103</v>
      </c>
      <c r="B357" s="470" t="s">
        <v>448</v>
      </c>
      <c r="C357" s="570">
        <f>SUM(C358)</f>
        <v>1000210</v>
      </c>
      <c r="D357" s="571">
        <f>SUM(D358)</f>
        <v>1000210</v>
      </c>
      <c r="E357" s="572"/>
      <c r="F357" s="573">
        <f>SUM(F358)</f>
        <v>1000210</v>
      </c>
      <c r="G357" s="572"/>
      <c r="H357" s="573"/>
      <c r="I357" s="574"/>
    </row>
    <row r="358" spans="1:9" ht="12.75">
      <c r="A358" s="291"/>
      <c r="B358" s="316" t="s">
        <v>382</v>
      </c>
      <c r="C358" s="293">
        <f>SUM(C359:C362)</f>
        <v>1000210</v>
      </c>
      <c r="D358" s="294">
        <f>SUM(D359:D362)</f>
        <v>1000210</v>
      </c>
      <c r="E358" s="295"/>
      <c r="F358" s="296">
        <f>SUM(F359:F362)</f>
        <v>1000210</v>
      </c>
      <c r="G358" s="429"/>
      <c r="H358" s="296"/>
      <c r="I358" s="431"/>
    </row>
    <row r="359" spans="1:9" ht="12">
      <c r="A359" s="291"/>
      <c r="B359" s="300" t="s">
        <v>407</v>
      </c>
      <c r="C359" s="301">
        <f>SUM(D359:E359)</f>
        <v>844290</v>
      </c>
      <c r="D359" s="302">
        <f>F359+H359</f>
        <v>844290</v>
      </c>
      <c r="E359" s="303"/>
      <c r="F359" s="321">
        <v>844290</v>
      </c>
      <c r="G359" s="295"/>
      <c r="H359" s="321"/>
      <c r="I359" s="318"/>
    </row>
    <row r="360" spans="1:9" ht="12">
      <c r="A360" s="291"/>
      <c r="B360" s="300" t="s">
        <v>408</v>
      </c>
      <c r="C360" s="301"/>
      <c r="D360" s="302"/>
      <c r="E360" s="303"/>
      <c r="F360" s="321"/>
      <c r="G360" s="295"/>
      <c r="H360" s="321"/>
      <c r="I360" s="318"/>
    </row>
    <row r="361" spans="1:9" ht="11.25" customHeight="1">
      <c r="A361" s="291"/>
      <c r="B361" s="320" t="s">
        <v>394</v>
      </c>
      <c r="C361" s="301">
        <f>SUM(D361:E361)</f>
        <v>85128</v>
      </c>
      <c r="D361" s="302">
        <f>F361+H361</f>
        <v>85128</v>
      </c>
      <c r="E361" s="303"/>
      <c r="F361" s="321">
        <v>85128</v>
      </c>
      <c r="G361" s="295"/>
      <c r="H361" s="321"/>
      <c r="I361" s="318"/>
    </row>
    <row r="362" spans="1:9" ht="13.5" customHeight="1">
      <c r="A362" s="416"/>
      <c r="B362" s="433" t="s">
        <v>383</v>
      </c>
      <c r="C362" s="417">
        <f>SUM(D362:E362)</f>
        <v>70792</v>
      </c>
      <c r="D362" s="418">
        <f>F362+H362</f>
        <v>70792</v>
      </c>
      <c r="E362" s="419"/>
      <c r="F362" s="420">
        <v>70792</v>
      </c>
      <c r="G362" s="489"/>
      <c r="H362" s="420"/>
      <c r="I362" s="569"/>
    </row>
    <row r="363" spans="1:9" ht="12" customHeight="1">
      <c r="A363" s="575">
        <v>80104</v>
      </c>
      <c r="B363" s="470" t="s">
        <v>449</v>
      </c>
      <c r="C363" s="322">
        <f>C364+C369</f>
        <v>14648300</v>
      </c>
      <c r="D363" s="225">
        <f>D364+D369</f>
        <v>14648300</v>
      </c>
      <c r="E363" s="323"/>
      <c r="F363" s="324">
        <f>F364+F369</f>
        <v>14648300</v>
      </c>
      <c r="G363" s="323"/>
      <c r="H363" s="324"/>
      <c r="I363" s="227"/>
    </row>
    <row r="364" spans="1:9" ht="11.25" customHeight="1">
      <c r="A364" s="479"/>
      <c r="B364" s="316" t="s">
        <v>382</v>
      </c>
      <c r="C364" s="293">
        <f>SUM(C365:C368)</f>
        <v>14281300</v>
      </c>
      <c r="D364" s="294">
        <f>SUM(D365:D368)</f>
        <v>14281300</v>
      </c>
      <c r="E364" s="295"/>
      <c r="F364" s="296">
        <f>SUM(F365:F368)</f>
        <v>14281300</v>
      </c>
      <c r="G364" s="429"/>
      <c r="H364" s="296"/>
      <c r="I364" s="431"/>
    </row>
    <row r="365" spans="1:9" ht="12" hidden="1">
      <c r="A365" s="291"/>
      <c r="B365" s="300" t="s">
        <v>407</v>
      </c>
      <c r="C365" s="301">
        <f>SUM(D365:E365)</f>
        <v>0</v>
      </c>
      <c r="D365" s="302">
        <f>F365+H365</f>
        <v>0</v>
      </c>
      <c r="E365" s="303"/>
      <c r="F365" s="321"/>
      <c r="G365" s="295"/>
      <c r="H365" s="321"/>
      <c r="I365" s="318"/>
    </row>
    <row r="366" spans="1:9" ht="10.5" customHeight="1" hidden="1">
      <c r="A366" s="291"/>
      <c r="B366" s="300" t="s">
        <v>408</v>
      </c>
      <c r="C366" s="301"/>
      <c r="D366" s="302"/>
      <c r="E366" s="303"/>
      <c r="F366" s="321"/>
      <c r="G366" s="295"/>
      <c r="H366" s="321"/>
      <c r="I366" s="318"/>
    </row>
    <row r="367" spans="1:9" ht="12">
      <c r="A367" s="291"/>
      <c r="B367" s="576" t="s">
        <v>394</v>
      </c>
      <c r="C367" s="301">
        <f>SUM(D367:E367)</f>
        <v>14281300</v>
      </c>
      <c r="D367" s="302">
        <f>F367+H367</f>
        <v>14281300</v>
      </c>
      <c r="E367" s="303"/>
      <c r="F367" s="302">
        <v>14281300</v>
      </c>
      <c r="G367" s="295"/>
      <c r="H367" s="302"/>
      <c r="I367" s="318"/>
    </row>
    <row r="368" spans="1:9" ht="12" customHeight="1" hidden="1">
      <c r="A368" s="416"/>
      <c r="B368" s="433" t="s">
        <v>383</v>
      </c>
      <c r="C368" s="417">
        <f>SUM(D368:E368)</f>
        <v>0</v>
      </c>
      <c r="D368" s="418">
        <f>F368+H368</f>
        <v>0</v>
      </c>
      <c r="E368" s="419"/>
      <c r="F368" s="420"/>
      <c r="G368" s="489"/>
      <c r="H368" s="420"/>
      <c r="I368" s="569"/>
    </row>
    <row r="369" spans="1:9" ht="12.75" customHeight="1">
      <c r="A369" s="479"/>
      <c r="B369" s="543" t="s">
        <v>378</v>
      </c>
      <c r="C369" s="447">
        <f>C370+C372</f>
        <v>367000</v>
      </c>
      <c r="D369" s="481">
        <f>D370+D372</f>
        <v>367000</v>
      </c>
      <c r="E369" s="577"/>
      <c r="F369" s="544">
        <f>F370+F372</f>
        <v>367000</v>
      </c>
      <c r="G369" s="482"/>
      <c r="H369" s="578"/>
      <c r="I369" s="211"/>
    </row>
    <row r="370" spans="1:9" ht="12.75" customHeight="1">
      <c r="A370" s="291"/>
      <c r="B370" s="300" t="s">
        <v>391</v>
      </c>
      <c r="C370" s="301">
        <f>SUM(D370:E370)</f>
        <v>360000</v>
      </c>
      <c r="D370" s="302">
        <f>F370+H370</f>
        <v>360000</v>
      </c>
      <c r="E370" s="303"/>
      <c r="F370" s="321">
        <v>360000</v>
      </c>
      <c r="G370" s="295"/>
      <c r="H370" s="321"/>
      <c r="I370" s="318"/>
    </row>
    <row r="371" spans="1:9" ht="12.75" customHeight="1">
      <c r="A371" s="291"/>
      <c r="B371" s="292" t="s">
        <v>395</v>
      </c>
      <c r="C371" s="301">
        <f>SUM(D371:E371)</f>
        <v>360000</v>
      </c>
      <c r="D371" s="302">
        <f>F371+H371</f>
        <v>360000</v>
      </c>
      <c r="E371" s="303"/>
      <c r="F371" s="321">
        <v>360000</v>
      </c>
      <c r="G371" s="295"/>
      <c r="H371" s="321"/>
      <c r="I371" s="318"/>
    </row>
    <row r="372" spans="1:9" ht="12.75" customHeight="1">
      <c r="A372" s="291"/>
      <c r="B372" s="300" t="s">
        <v>379</v>
      </c>
      <c r="C372" s="301">
        <f>SUM(D372:E372)</f>
        <v>7000</v>
      </c>
      <c r="D372" s="302">
        <f>F372+H372</f>
        <v>7000</v>
      </c>
      <c r="E372" s="303"/>
      <c r="F372" s="321">
        <v>7000</v>
      </c>
      <c r="G372" s="295"/>
      <c r="H372" s="321"/>
      <c r="I372" s="318"/>
    </row>
    <row r="373" spans="1:9" ht="12.75" customHeight="1">
      <c r="A373" s="416"/>
      <c r="B373" s="292" t="s">
        <v>395</v>
      </c>
      <c r="C373" s="301">
        <f>SUM(D373:E373)</f>
        <v>7000</v>
      </c>
      <c r="D373" s="302">
        <f>F373+H373</f>
        <v>7000</v>
      </c>
      <c r="E373" s="419"/>
      <c r="F373" s="420">
        <v>7000</v>
      </c>
      <c r="G373" s="489"/>
      <c r="H373" s="420"/>
      <c r="I373" s="569"/>
    </row>
    <row r="374" spans="1:9" s="315" customFormat="1" ht="12.75">
      <c r="A374" s="346">
        <v>80105</v>
      </c>
      <c r="B374" s="470" t="s">
        <v>450</v>
      </c>
      <c r="C374" s="570">
        <f>SUM(C375)</f>
        <v>600283</v>
      </c>
      <c r="D374" s="571">
        <f>SUM(D375)</f>
        <v>600283</v>
      </c>
      <c r="E374" s="572"/>
      <c r="F374" s="573"/>
      <c r="G374" s="572"/>
      <c r="H374" s="573">
        <f>SUM(H375)</f>
        <v>600283</v>
      </c>
      <c r="I374" s="574"/>
    </row>
    <row r="375" spans="1:9" ht="11.25" customHeight="1">
      <c r="A375" s="291"/>
      <c r="B375" s="316" t="s">
        <v>382</v>
      </c>
      <c r="C375" s="293">
        <f>SUM(C376:C378)</f>
        <v>600283</v>
      </c>
      <c r="D375" s="294">
        <f>SUM(D376:D378)</f>
        <v>600283</v>
      </c>
      <c r="E375" s="295"/>
      <c r="F375" s="296"/>
      <c r="G375" s="429"/>
      <c r="H375" s="296">
        <f>SUM(H376:H378)</f>
        <v>600283</v>
      </c>
      <c r="I375" s="431"/>
    </row>
    <row r="376" spans="1:9" ht="12">
      <c r="A376" s="291"/>
      <c r="B376" s="300" t="s">
        <v>407</v>
      </c>
      <c r="C376" s="301">
        <f>SUM(D376:E376)</f>
        <v>541400</v>
      </c>
      <c r="D376" s="302">
        <f>F376+H376</f>
        <v>541400</v>
      </c>
      <c r="E376" s="303"/>
      <c r="F376" s="321"/>
      <c r="G376" s="295"/>
      <c r="H376" s="321">
        <v>541400</v>
      </c>
      <c r="I376" s="318"/>
    </row>
    <row r="377" spans="1:9" ht="12">
      <c r="A377" s="291"/>
      <c r="B377" s="300" t="s">
        <v>408</v>
      </c>
      <c r="C377" s="301"/>
      <c r="D377" s="302"/>
      <c r="E377" s="303"/>
      <c r="F377" s="321"/>
      <c r="G377" s="295"/>
      <c r="H377" s="321"/>
      <c r="I377" s="318"/>
    </row>
    <row r="378" spans="1:9" ht="14.25" customHeight="1">
      <c r="A378" s="291"/>
      <c r="B378" s="320" t="s">
        <v>383</v>
      </c>
      <c r="C378" s="301">
        <f>SUM(D378:E378)</f>
        <v>58883</v>
      </c>
      <c r="D378" s="302">
        <f>F378+H378</f>
        <v>58883</v>
      </c>
      <c r="E378" s="303"/>
      <c r="F378" s="321"/>
      <c r="G378" s="295"/>
      <c r="H378" s="321">
        <v>58883</v>
      </c>
      <c r="I378" s="318"/>
    </row>
    <row r="379" spans="1:9" ht="12">
      <c r="A379" s="416"/>
      <c r="B379" s="349" t="s">
        <v>410</v>
      </c>
      <c r="C379" s="417">
        <f>SUM(D379:E379)</f>
        <v>2000</v>
      </c>
      <c r="D379" s="418">
        <f>F379+H379</f>
        <v>2000</v>
      </c>
      <c r="E379" s="419"/>
      <c r="F379" s="420"/>
      <c r="G379" s="489"/>
      <c r="H379" s="420">
        <v>2000</v>
      </c>
      <c r="I379" s="569"/>
    </row>
    <row r="380" spans="1:9" ht="14.25" customHeight="1">
      <c r="A380" s="346">
        <v>80110</v>
      </c>
      <c r="B380" s="470" t="s">
        <v>451</v>
      </c>
      <c r="C380" s="322">
        <f>SUM(C381)+C387</f>
        <v>21985533</v>
      </c>
      <c r="D380" s="225">
        <f>SUM(D381)+D387</f>
        <v>21985533</v>
      </c>
      <c r="E380" s="323"/>
      <c r="F380" s="324">
        <f>SUM(F381)+F387</f>
        <v>21985533</v>
      </c>
      <c r="G380" s="323"/>
      <c r="H380" s="225"/>
      <c r="I380" s="227"/>
    </row>
    <row r="381" spans="1:9" ht="12" customHeight="1">
      <c r="A381" s="291"/>
      <c r="B381" s="316" t="s">
        <v>382</v>
      </c>
      <c r="C381" s="293">
        <f>SUM(C382:C385)</f>
        <v>21408633</v>
      </c>
      <c r="D381" s="294">
        <f>SUM(D382:D385)</f>
        <v>21408633</v>
      </c>
      <c r="E381" s="295"/>
      <c r="F381" s="296">
        <f>SUM(F382:F385)</f>
        <v>21408633</v>
      </c>
      <c r="G381" s="429"/>
      <c r="H381" s="294"/>
      <c r="I381" s="431"/>
    </row>
    <row r="382" spans="1:9" ht="12">
      <c r="A382" s="291"/>
      <c r="B382" s="300" t="s">
        <v>407</v>
      </c>
      <c r="C382" s="301">
        <f>SUM(D382:E382)</f>
        <v>17757905</v>
      </c>
      <c r="D382" s="302">
        <f>F382+H382</f>
        <v>17757905</v>
      </c>
      <c r="E382" s="303"/>
      <c r="F382" s="321">
        <v>17757905</v>
      </c>
      <c r="G382" s="295"/>
      <c r="H382" s="321"/>
      <c r="I382" s="318"/>
    </row>
    <row r="383" spans="1:9" ht="11.25" customHeight="1">
      <c r="A383" s="291"/>
      <c r="B383" s="300" t="s">
        <v>408</v>
      </c>
      <c r="C383" s="301"/>
      <c r="D383" s="302"/>
      <c r="E383" s="303"/>
      <c r="F383" s="321"/>
      <c r="G383" s="295"/>
      <c r="H383" s="321"/>
      <c r="I383" s="318"/>
    </row>
    <row r="384" spans="1:9" ht="14.25" customHeight="1">
      <c r="A384" s="291"/>
      <c r="B384" s="320" t="s">
        <v>394</v>
      </c>
      <c r="C384" s="301">
        <f>SUM(D384:E384)</f>
        <v>600000</v>
      </c>
      <c r="D384" s="302">
        <f aca="true" t="shared" si="15" ref="D384:D389">F384+H384</f>
        <v>600000</v>
      </c>
      <c r="E384" s="303"/>
      <c r="F384" s="321">
        <v>600000</v>
      </c>
      <c r="G384" s="295"/>
      <c r="H384" s="321"/>
      <c r="I384" s="318"/>
    </row>
    <row r="385" spans="1:9" ht="11.25" customHeight="1">
      <c r="A385" s="291"/>
      <c r="B385" s="320" t="s">
        <v>383</v>
      </c>
      <c r="C385" s="301">
        <f>SUM(D385:E385)</f>
        <v>3050728</v>
      </c>
      <c r="D385" s="302">
        <f t="shared" si="15"/>
        <v>3050728</v>
      </c>
      <c r="E385" s="303"/>
      <c r="F385" s="321">
        <v>3050728</v>
      </c>
      <c r="G385" s="295"/>
      <c r="H385" s="321"/>
      <c r="I385" s="318"/>
    </row>
    <row r="386" spans="1:9" ht="12">
      <c r="A386" s="291"/>
      <c r="B386" s="300" t="s">
        <v>410</v>
      </c>
      <c r="C386" s="301">
        <f>SUM(D386:E386)</f>
        <v>61400</v>
      </c>
      <c r="D386" s="302">
        <f t="shared" si="15"/>
        <v>61400</v>
      </c>
      <c r="E386" s="303"/>
      <c r="F386" s="321">
        <v>61400</v>
      </c>
      <c r="G386" s="295"/>
      <c r="H386" s="321"/>
      <c r="I386" s="318"/>
    </row>
    <row r="387" spans="1:9" ht="13.5" customHeight="1">
      <c r="A387" s="291"/>
      <c r="B387" s="292" t="s">
        <v>378</v>
      </c>
      <c r="C387" s="293">
        <f>SUM(C388:C389)</f>
        <v>576900</v>
      </c>
      <c r="D387" s="294">
        <f t="shared" si="15"/>
        <v>576900</v>
      </c>
      <c r="E387" s="295"/>
      <c r="F387" s="317">
        <f>SUM(F388:F389)</f>
        <v>576900</v>
      </c>
      <c r="G387" s="295"/>
      <c r="H387" s="317"/>
      <c r="I387" s="318"/>
    </row>
    <row r="388" spans="1:9" ht="13.5" customHeight="1">
      <c r="A388" s="291"/>
      <c r="B388" s="300" t="s">
        <v>391</v>
      </c>
      <c r="C388" s="301">
        <f>SUM(D388:E388)</f>
        <v>576900</v>
      </c>
      <c r="D388" s="302">
        <f t="shared" si="15"/>
        <v>576900</v>
      </c>
      <c r="E388" s="303"/>
      <c r="F388" s="302">
        <v>576900</v>
      </c>
      <c r="G388" s="295"/>
      <c r="H388" s="321"/>
      <c r="I388" s="325"/>
    </row>
    <row r="389" spans="1:9" s="451" customFormat="1" ht="12.75" customHeight="1" hidden="1">
      <c r="A389" s="563"/>
      <c r="B389" s="349" t="s">
        <v>379</v>
      </c>
      <c r="C389" s="417">
        <f>D389+E389</f>
        <v>0</v>
      </c>
      <c r="D389" s="418">
        <f t="shared" si="15"/>
        <v>0</v>
      </c>
      <c r="E389" s="419"/>
      <c r="F389" s="420">
        <v>0</v>
      </c>
      <c r="G389" s="419"/>
      <c r="H389" s="554"/>
      <c r="I389" s="428"/>
    </row>
    <row r="390" spans="1:9" s="307" customFormat="1" ht="12">
      <c r="A390" s="346">
        <v>80111</v>
      </c>
      <c r="B390" s="470" t="s">
        <v>452</v>
      </c>
      <c r="C390" s="322">
        <f>SUM(C391)</f>
        <v>2592767</v>
      </c>
      <c r="D390" s="225">
        <f>SUM(D391)</f>
        <v>2592767</v>
      </c>
      <c r="E390" s="323"/>
      <c r="F390" s="511"/>
      <c r="G390" s="512"/>
      <c r="H390" s="324">
        <f>SUM(H391)</f>
        <v>2592767</v>
      </c>
      <c r="I390" s="227"/>
    </row>
    <row r="391" spans="1:9" ht="12.75">
      <c r="A391" s="291"/>
      <c r="B391" s="316" t="s">
        <v>382</v>
      </c>
      <c r="C391" s="293">
        <f>SUM(C392:C394)</f>
        <v>2592767</v>
      </c>
      <c r="D391" s="294">
        <f>SUM(D392:D394)</f>
        <v>2592767</v>
      </c>
      <c r="E391" s="295"/>
      <c r="F391" s="296"/>
      <c r="G391" s="429"/>
      <c r="H391" s="296">
        <f>SUM(H392:H394)</f>
        <v>2592767</v>
      </c>
      <c r="I391" s="431"/>
    </row>
    <row r="392" spans="1:9" ht="10.5" customHeight="1">
      <c r="A392" s="291"/>
      <c r="B392" s="300" t="s">
        <v>407</v>
      </c>
      <c r="C392" s="301">
        <f>SUM(D392:E392)</f>
        <v>2278880</v>
      </c>
      <c r="D392" s="302">
        <f>F392+H392</f>
        <v>2278880</v>
      </c>
      <c r="E392" s="303"/>
      <c r="F392" s="321"/>
      <c r="G392" s="295"/>
      <c r="H392" s="321">
        <v>2278880</v>
      </c>
      <c r="I392" s="318"/>
    </row>
    <row r="393" spans="1:9" ht="10.5" customHeight="1">
      <c r="A393" s="291"/>
      <c r="B393" s="300" t="s">
        <v>408</v>
      </c>
      <c r="C393" s="301"/>
      <c r="D393" s="302"/>
      <c r="E393" s="303"/>
      <c r="F393" s="321"/>
      <c r="G393" s="295"/>
      <c r="H393" s="321"/>
      <c r="I393" s="318"/>
    </row>
    <row r="394" spans="1:9" ht="10.5" customHeight="1">
      <c r="A394" s="291"/>
      <c r="B394" s="320" t="s">
        <v>383</v>
      </c>
      <c r="C394" s="301">
        <f>SUM(D394:E394)</f>
        <v>313887</v>
      </c>
      <c r="D394" s="302">
        <f>F394+H394</f>
        <v>313887</v>
      </c>
      <c r="E394" s="303"/>
      <c r="F394" s="321"/>
      <c r="G394" s="295"/>
      <c r="H394" s="321">
        <v>313887</v>
      </c>
      <c r="I394" s="318"/>
    </row>
    <row r="395" spans="1:9" ht="10.5" customHeight="1">
      <c r="A395" s="291"/>
      <c r="B395" s="300" t="s">
        <v>410</v>
      </c>
      <c r="C395" s="301">
        <f>SUM(D395:E395)</f>
        <v>4200</v>
      </c>
      <c r="D395" s="302">
        <f>F395+H395</f>
        <v>4200</v>
      </c>
      <c r="E395" s="303"/>
      <c r="F395" s="321"/>
      <c r="G395" s="295"/>
      <c r="H395" s="321">
        <v>4200</v>
      </c>
      <c r="I395" s="318"/>
    </row>
    <row r="396" spans="1:9" ht="39" customHeight="1">
      <c r="A396" s="346">
        <v>80114</v>
      </c>
      <c r="B396" s="470" t="s">
        <v>453</v>
      </c>
      <c r="C396" s="322">
        <f>SUM(C397)+C403</f>
        <v>1596264</v>
      </c>
      <c r="D396" s="225">
        <f>SUM(D397)+D403</f>
        <v>1596264</v>
      </c>
      <c r="E396" s="323"/>
      <c r="F396" s="324">
        <f>SUM(F397)+F403</f>
        <v>1596264</v>
      </c>
      <c r="G396" s="323"/>
      <c r="H396" s="225"/>
      <c r="I396" s="227"/>
    </row>
    <row r="397" spans="1:9" ht="12" customHeight="1">
      <c r="A397" s="291"/>
      <c r="B397" s="316" t="s">
        <v>382</v>
      </c>
      <c r="C397" s="293">
        <f>SUM(C398:C401)</f>
        <v>1211264</v>
      </c>
      <c r="D397" s="294">
        <f>SUM(D398:D401)</f>
        <v>1211264</v>
      </c>
      <c r="E397" s="295"/>
      <c r="F397" s="296">
        <f>SUM(F398:F401)</f>
        <v>1211264</v>
      </c>
      <c r="G397" s="429"/>
      <c r="H397" s="294"/>
      <c r="I397" s="431"/>
    </row>
    <row r="398" spans="1:9" ht="11.25" customHeight="1">
      <c r="A398" s="291"/>
      <c r="B398" s="300" t="s">
        <v>407</v>
      </c>
      <c r="C398" s="301">
        <f>SUM(D398:E398)</f>
        <v>853750</v>
      </c>
      <c r="D398" s="302">
        <f>F398+H398</f>
        <v>853750</v>
      </c>
      <c r="E398" s="303"/>
      <c r="F398" s="321">
        <v>853750</v>
      </c>
      <c r="G398" s="295"/>
      <c r="H398" s="321"/>
      <c r="I398" s="318"/>
    </row>
    <row r="399" spans="1:9" ht="11.25" customHeight="1">
      <c r="A399" s="291"/>
      <c r="B399" s="300" t="s">
        <v>408</v>
      </c>
      <c r="C399" s="301"/>
      <c r="D399" s="302"/>
      <c r="E399" s="303"/>
      <c r="F399" s="321"/>
      <c r="G399" s="295"/>
      <c r="H399" s="321"/>
      <c r="I399" s="318"/>
    </row>
    <row r="400" spans="1:9" ht="11.25" customHeight="1" hidden="1">
      <c r="A400" s="291"/>
      <c r="B400" s="320" t="s">
        <v>394</v>
      </c>
      <c r="C400" s="301">
        <f>SUM(D400:E400)</f>
        <v>0</v>
      </c>
      <c r="D400" s="302">
        <f aca="true" t="shared" si="16" ref="D400:D405">F400+H400</f>
        <v>0</v>
      </c>
      <c r="E400" s="303"/>
      <c r="F400" s="321"/>
      <c r="G400" s="295"/>
      <c r="H400" s="321"/>
      <c r="I400" s="318"/>
    </row>
    <row r="401" spans="1:9" ht="11.25" customHeight="1">
      <c r="A401" s="291"/>
      <c r="B401" s="320" t="s">
        <v>383</v>
      </c>
      <c r="C401" s="301">
        <f>SUM(D401:E401)</f>
        <v>357514</v>
      </c>
      <c r="D401" s="302">
        <f t="shared" si="16"/>
        <v>357514</v>
      </c>
      <c r="E401" s="303"/>
      <c r="F401" s="321">
        <v>357514</v>
      </c>
      <c r="G401" s="295"/>
      <c r="H401" s="321"/>
      <c r="I401" s="318"/>
    </row>
    <row r="402" spans="1:9" ht="12">
      <c r="A402" s="291"/>
      <c r="B402" s="300" t="s">
        <v>410</v>
      </c>
      <c r="C402" s="301">
        <f>SUM(D402:E402)</f>
        <v>200000</v>
      </c>
      <c r="D402" s="302">
        <f t="shared" si="16"/>
        <v>200000</v>
      </c>
      <c r="E402" s="303"/>
      <c r="F402" s="321">
        <v>200000</v>
      </c>
      <c r="G402" s="295"/>
      <c r="H402" s="321"/>
      <c r="I402" s="318"/>
    </row>
    <row r="403" spans="1:9" ht="13.5" customHeight="1">
      <c r="A403" s="291"/>
      <c r="B403" s="292" t="s">
        <v>378</v>
      </c>
      <c r="C403" s="293">
        <f>SUM(C404:C405)</f>
        <v>385000</v>
      </c>
      <c r="D403" s="294">
        <f t="shared" si="16"/>
        <v>385000</v>
      </c>
      <c r="E403" s="295"/>
      <c r="F403" s="317">
        <f>SUM(F404:F405)</f>
        <v>385000</v>
      </c>
      <c r="G403" s="295"/>
      <c r="H403" s="317"/>
      <c r="I403" s="318"/>
    </row>
    <row r="404" spans="1:9" ht="13.5" customHeight="1">
      <c r="A404" s="291"/>
      <c r="B404" s="300" t="s">
        <v>391</v>
      </c>
      <c r="C404" s="301">
        <f>SUM(D404:E404)</f>
        <v>385000</v>
      </c>
      <c r="D404" s="302">
        <f t="shared" si="16"/>
        <v>385000</v>
      </c>
      <c r="E404" s="303"/>
      <c r="F404" s="302">
        <v>385000</v>
      </c>
      <c r="G404" s="295"/>
      <c r="H404" s="321"/>
      <c r="I404" s="325"/>
    </row>
    <row r="405" spans="1:9" s="451" customFormat="1" ht="12" hidden="1">
      <c r="A405" s="563"/>
      <c r="B405" s="349" t="s">
        <v>379</v>
      </c>
      <c r="C405" s="417">
        <f>D405+E405</f>
        <v>0</v>
      </c>
      <c r="D405" s="418">
        <f t="shared" si="16"/>
        <v>0</v>
      </c>
      <c r="E405" s="419"/>
      <c r="F405" s="420"/>
      <c r="G405" s="419"/>
      <c r="H405" s="554"/>
      <c r="I405" s="428"/>
    </row>
    <row r="406" spans="1:9" ht="10.5" customHeight="1" hidden="1">
      <c r="A406" s="291"/>
      <c r="B406" s="300"/>
      <c r="C406" s="301"/>
      <c r="D406" s="302"/>
      <c r="E406" s="303"/>
      <c r="F406" s="321"/>
      <c r="G406" s="295"/>
      <c r="H406" s="321"/>
      <c r="I406" s="318"/>
    </row>
    <row r="407" spans="1:9" s="307" customFormat="1" ht="14.25" customHeight="1">
      <c r="A407" s="346">
        <v>80120</v>
      </c>
      <c r="B407" s="470" t="s">
        <v>454</v>
      </c>
      <c r="C407" s="322">
        <f>C408+C414</f>
        <v>16643331</v>
      </c>
      <c r="D407" s="225">
        <f>D408+D414</f>
        <v>16643331</v>
      </c>
      <c r="E407" s="323"/>
      <c r="F407" s="511"/>
      <c r="G407" s="512"/>
      <c r="H407" s="324">
        <f>H408+H414</f>
        <v>16643331</v>
      </c>
      <c r="I407" s="227"/>
    </row>
    <row r="408" spans="1:9" ht="12.75">
      <c r="A408" s="291"/>
      <c r="B408" s="316" t="s">
        <v>382</v>
      </c>
      <c r="C408" s="293">
        <f>SUM(C409:C412)</f>
        <v>14883031</v>
      </c>
      <c r="D408" s="294">
        <f>SUM(D409:D412)</f>
        <v>14883031</v>
      </c>
      <c r="E408" s="295"/>
      <c r="F408" s="296"/>
      <c r="G408" s="429"/>
      <c r="H408" s="296">
        <f>SUM(H409:H412)</f>
        <v>14883031</v>
      </c>
      <c r="I408" s="431"/>
    </row>
    <row r="409" spans="1:9" ht="10.5" customHeight="1">
      <c r="A409" s="291"/>
      <c r="B409" s="300" t="s">
        <v>407</v>
      </c>
      <c r="C409" s="301">
        <f>SUM(D409:E409)</f>
        <v>11376266</v>
      </c>
      <c r="D409" s="302">
        <f>F409+H409</f>
        <v>11376266</v>
      </c>
      <c r="E409" s="303"/>
      <c r="F409" s="321"/>
      <c r="G409" s="295"/>
      <c r="H409" s="321">
        <v>11376266</v>
      </c>
      <c r="I409" s="318"/>
    </row>
    <row r="410" spans="1:9" ht="11.25" customHeight="1">
      <c r="A410" s="291"/>
      <c r="B410" s="300" t="s">
        <v>408</v>
      </c>
      <c r="C410" s="301"/>
      <c r="D410" s="302"/>
      <c r="E410" s="303"/>
      <c r="F410" s="321"/>
      <c r="G410" s="295"/>
      <c r="H410" s="321"/>
      <c r="I410" s="318"/>
    </row>
    <row r="411" spans="1:9" ht="11.25" customHeight="1">
      <c r="A411" s="291"/>
      <c r="B411" s="320" t="s">
        <v>394</v>
      </c>
      <c r="C411" s="301">
        <f>SUM(D411:E411)</f>
        <v>1670985</v>
      </c>
      <c r="D411" s="302">
        <f aca="true" t="shared" si="17" ref="D411:D416">F411+H411</f>
        <v>1670985</v>
      </c>
      <c r="E411" s="303"/>
      <c r="F411" s="321"/>
      <c r="G411" s="295"/>
      <c r="H411" s="321">
        <v>1670985</v>
      </c>
      <c r="I411" s="318"/>
    </row>
    <row r="412" spans="1:9" ht="14.25" customHeight="1">
      <c r="A412" s="291"/>
      <c r="B412" s="320" t="s">
        <v>383</v>
      </c>
      <c r="C412" s="301">
        <f>SUM(D412:E412)</f>
        <v>1835780</v>
      </c>
      <c r="D412" s="302">
        <f t="shared" si="17"/>
        <v>1835780</v>
      </c>
      <c r="E412" s="303"/>
      <c r="F412" s="321"/>
      <c r="G412" s="295"/>
      <c r="H412" s="321">
        <v>1835780</v>
      </c>
      <c r="I412" s="318"/>
    </row>
    <row r="413" spans="1:9" ht="12">
      <c r="A413" s="291"/>
      <c r="B413" s="300" t="s">
        <v>410</v>
      </c>
      <c r="C413" s="301">
        <f>SUM(D413:E413)</f>
        <v>36000</v>
      </c>
      <c r="D413" s="302">
        <f t="shared" si="17"/>
        <v>36000</v>
      </c>
      <c r="E413" s="303"/>
      <c r="F413" s="321"/>
      <c r="G413" s="295"/>
      <c r="H413" s="321">
        <v>36000</v>
      </c>
      <c r="I413" s="318"/>
    </row>
    <row r="414" spans="1:9" ht="12.75">
      <c r="A414" s="291"/>
      <c r="B414" s="292" t="s">
        <v>445</v>
      </c>
      <c r="C414" s="293">
        <f>SUM(C415:C416)</f>
        <v>1760300</v>
      </c>
      <c r="D414" s="294">
        <f t="shared" si="17"/>
        <v>1760300</v>
      </c>
      <c r="E414" s="295"/>
      <c r="F414" s="296"/>
      <c r="G414" s="297"/>
      <c r="H414" s="296">
        <f>SUM(H415:H416)</f>
        <v>1760300</v>
      </c>
      <c r="I414" s="298"/>
    </row>
    <row r="415" spans="1:9" s="307" customFormat="1" ht="12">
      <c r="A415" s="299"/>
      <c r="B415" s="300" t="s">
        <v>391</v>
      </c>
      <c r="C415" s="301">
        <f>SUM(D415:E415)</f>
        <v>1736900</v>
      </c>
      <c r="D415" s="302">
        <f t="shared" si="17"/>
        <v>1736900</v>
      </c>
      <c r="E415" s="303"/>
      <c r="F415" s="321"/>
      <c r="G415" s="303"/>
      <c r="H415" s="321">
        <v>1736900</v>
      </c>
      <c r="I415" s="325"/>
    </row>
    <row r="416" spans="1:9" s="451" customFormat="1" ht="12" customHeight="1">
      <c r="A416" s="563"/>
      <c r="B416" s="349" t="s">
        <v>379</v>
      </c>
      <c r="C416" s="417">
        <f>D416+E416</f>
        <v>23400</v>
      </c>
      <c r="D416" s="418">
        <f t="shared" si="17"/>
        <v>23400</v>
      </c>
      <c r="E416" s="419"/>
      <c r="F416" s="420"/>
      <c r="G416" s="419"/>
      <c r="H416" s="554">
        <v>23400</v>
      </c>
      <c r="I416" s="428"/>
    </row>
    <row r="417" spans="1:9" s="307" customFormat="1" ht="15" customHeight="1">
      <c r="A417" s="346">
        <v>80123</v>
      </c>
      <c r="B417" s="470" t="s">
        <v>455</v>
      </c>
      <c r="C417" s="322">
        <f>SUM(C418)</f>
        <v>2022257</v>
      </c>
      <c r="D417" s="225">
        <f>SUM(D418)</f>
        <v>2022257</v>
      </c>
      <c r="E417" s="323"/>
      <c r="F417" s="511"/>
      <c r="G417" s="512"/>
      <c r="H417" s="324">
        <f>SUM(H418)</f>
        <v>2022257</v>
      </c>
      <c r="I417" s="227"/>
    </row>
    <row r="418" spans="1:9" ht="13.5" customHeight="1">
      <c r="A418" s="291"/>
      <c r="B418" s="316" t="s">
        <v>382</v>
      </c>
      <c r="C418" s="293">
        <f>SUM(C419:C421)</f>
        <v>2022257</v>
      </c>
      <c r="D418" s="294">
        <f>SUM(D419:D421)</f>
        <v>2022257</v>
      </c>
      <c r="E418" s="295"/>
      <c r="F418" s="296"/>
      <c r="G418" s="429"/>
      <c r="H418" s="296">
        <f>SUM(H419:H421)</f>
        <v>2022257</v>
      </c>
      <c r="I418" s="431"/>
    </row>
    <row r="419" spans="1:9" ht="11.25" customHeight="1">
      <c r="A419" s="291"/>
      <c r="B419" s="300" t="s">
        <v>407</v>
      </c>
      <c r="C419" s="301">
        <f>SUM(D419:E419)</f>
        <v>1756335</v>
      </c>
      <c r="D419" s="302">
        <f>F419+H419</f>
        <v>1756335</v>
      </c>
      <c r="E419" s="303"/>
      <c r="F419" s="321"/>
      <c r="G419" s="295"/>
      <c r="H419" s="321">
        <v>1756335</v>
      </c>
      <c r="I419" s="318"/>
    </row>
    <row r="420" spans="1:9" ht="12" customHeight="1">
      <c r="A420" s="291"/>
      <c r="B420" s="300" t="s">
        <v>408</v>
      </c>
      <c r="C420" s="301"/>
      <c r="D420" s="302"/>
      <c r="E420" s="303"/>
      <c r="F420" s="321"/>
      <c r="G420" s="295"/>
      <c r="H420" s="321"/>
      <c r="I420" s="318"/>
    </row>
    <row r="421" spans="1:9" ht="10.5" customHeight="1">
      <c r="A421" s="291"/>
      <c r="B421" s="320" t="s">
        <v>383</v>
      </c>
      <c r="C421" s="301">
        <f>SUM(D421:E421)</f>
        <v>265922</v>
      </c>
      <c r="D421" s="302">
        <f>F421+H421</f>
        <v>265922</v>
      </c>
      <c r="E421" s="303"/>
      <c r="F421" s="321"/>
      <c r="G421" s="295"/>
      <c r="H421" s="321">
        <v>265922</v>
      </c>
      <c r="I421" s="318"/>
    </row>
    <row r="422" spans="1:9" ht="12.75" customHeight="1">
      <c r="A422" s="291"/>
      <c r="B422" s="300" t="s">
        <v>410</v>
      </c>
      <c r="C422" s="301">
        <f>SUM(D422:E422)</f>
        <v>4500</v>
      </c>
      <c r="D422" s="302">
        <f>F422+H422</f>
        <v>4500</v>
      </c>
      <c r="E422" s="303"/>
      <c r="F422" s="321"/>
      <c r="G422" s="295"/>
      <c r="H422" s="321">
        <v>4500</v>
      </c>
      <c r="I422" s="318"/>
    </row>
    <row r="423" spans="1:9" s="307" customFormat="1" ht="13.5" customHeight="1">
      <c r="A423" s="346">
        <v>80130</v>
      </c>
      <c r="B423" s="470" t="s">
        <v>456</v>
      </c>
      <c r="C423" s="322">
        <f>SUM(C424+C430)</f>
        <v>21097702</v>
      </c>
      <c r="D423" s="225">
        <f>SUM(D424+D430)</f>
        <v>21097702</v>
      </c>
      <c r="E423" s="323"/>
      <c r="F423" s="511"/>
      <c r="G423" s="512"/>
      <c r="H423" s="324">
        <f>SUM(H424+H430)</f>
        <v>21097702</v>
      </c>
      <c r="I423" s="227"/>
    </row>
    <row r="424" spans="1:9" ht="10.5" customHeight="1">
      <c r="A424" s="579"/>
      <c r="B424" s="580" t="s">
        <v>382</v>
      </c>
      <c r="C424" s="581">
        <f>SUM(C425:C428)</f>
        <v>20936102</v>
      </c>
      <c r="D424" s="582">
        <f>SUM(D425:D428)</f>
        <v>20936102</v>
      </c>
      <c r="E424" s="512"/>
      <c r="F424" s="583"/>
      <c r="G424" s="584"/>
      <c r="H424" s="583">
        <f>SUM(H425:H428)</f>
        <v>20936102</v>
      </c>
      <c r="I424" s="585"/>
    </row>
    <row r="425" spans="1:9" ht="12">
      <c r="A425" s="291"/>
      <c r="B425" s="300" t="s">
        <v>407</v>
      </c>
      <c r="C425" s="301">
        <f>SUM(D425:E425)</f>
        <v>13531843</v>
      </c>
      <c r="D425" s="302">
        <f>F425+H425</f>
        <v>13531843</v>
      </c>
      <c r="E425" s="303"/>
      <c r="F425" s="321"/>
      <c r="G425" s="295"/>
      <c r="H425" s="321">
        <v>13531843</v>
      </c>
      <c r="I425" s="318"/>
    </row>
    <row r="426" spans="1:9" ht="10.5" customHeight="1">
      <c r="A426" s="291"/>
      <c r="B426" s="300" t="s">
        <v>408</v>
      </c>
      <c r="C426" s="301"/>
      <c r="D426" s="302"/>
      <c r="E426" s="303"/>
      <c r="F426" s="321"/>
      <c r="G426" s="295"/>
      <c r="H426" s="321"/>
      <c r="I426" s="318"/>
    </row>
    <row r="427" spans="1:9" ht="11.25" customHeight="1">
      <c r="A427" s="291"/>
      <c r="B427" s="320" t="s">
        <v>394</v>
      </c>
      <c r="C427" s="301">
        <f>SUM(D427:E427)</f>
        <v>4719502</v>
      </c>
      <c r="D427" s="302">
        <f aca="true" t="shared" si="18" ref="D427:D432">F427+H427</f>
        <v>4719502</v>
      </c>
      <c r="E427" s="303"/>
      <c r="F427" s="321"/>
      <c r="G427" s="295"/>
      <c r="H427" s="321">
        <v>4719502</v>
      </c>
      <c r="I427" s="318"/>
    </row>
    <row r="428" spans="1:9" ht="12">
      <c r="A428" s="291"/>
      <c r="B428" s="320" t="s">
        <v>383</v>
      </c>
      <c r="C428" s="301">
        <f>SUM(D428:E428)</f>
        <v>2684757</v>
      </c>
      <c r="D428" s="302">
        <f t="shared" si="18"/>
        <v>2684757</v>
      </c>
      <c r="E428" s="303"/>
      <c r="F428" s="321"/>
      <c r="G428" s="295"/>
      <c r="H428" s="321">
        <v>2684757</v>
      </c>
      <c r="I428" s="318"/>
    </row>
    <row r="429" spans="1:9" ht="12" customHeight="1">
      <c r="A429" s="291"/>
      <c r="B429" s="300" t="s">
        <v>410</v>
      </c>
      <c r="C429" s="301">
        <f>SUM(D429:E429)</f>
        <v>46000</v>
      </c>
      <c r="D429" s="302">
        <f t="shared" si="18"/>
        <v>46000</v>
      </c>
      <c r="E429" s="303"/>
      <c r="F429" s="321"/>
      <c r="G429" s="295"/>
      <c r="H429" s="321">
        <v>46000</v>
      </c>
      <c r="I429" s="318"/>
    </row>
    <row r="430" spans="1:9" ht="12.75">
      <c r="A430" s="291"/>
      <c r="B430" s="292" t="s">
        <v>445</v>
      </c>
      <c r="C430" s="293">
        <f>SUM(C431:C432)</f>
        <v>161600</v>
      </c>
      <c r="D430" s="294">
        <f t="shared" si="18"/>
        <v>161600</v>
      </c>
      <c r="E430" s="295"/>
      <c r="F430" s="296"/>
      <c r="G430" s="297"/>
      <c r="H430" s="296">
        <f>SUM(H431:H432)</f>
        <v>161600</v>
      </c>
      <c r="I430" s="298"/>
    </row>
    <row r="431" spans="1:9" s="307" customFormat="1" ht="13.5" customHeight="1">
      <c r="A431" s="299"/>
      <c r="B431" s="300" t="s">
        <v>391</v>
      </c>
      <c r="C431" s="301">
        <f>SUM(D431:E431)</f>
        <v>129000</v>
      </c>
      <c r="D431" s="302">
        <f t="shared" si="18"/>
        <v>129000</v>
      </c>
      <c r="E431" s="303"/>
      <c r="F431" s="321"/>
      <c r="G431" s="303"/>
      <c r="H431" s="321">
        <v>129000</v>
      </c>
      <c r="I431" s="325"/>
    </row>
    <row r="432" spans="1:9" s="451" customFormat="1" ht="14.25" customHeight="1">
      <c r="A432" s="563"/>
      <c r="B432" s="349" t="s">
        <v>379</v>
      </c>
      <c r="C432" s="417">
        <f>D432+E432</f>
        <v>32600</v>
      </c>
      <c r="D432" s="418">
        <f t="shared" si="18"/>
        <v>32600</v>
      </c>
      <c r="E432" s="419"/>
      <c r="F432" s="420"/>
      <c r="G432" s="419"/>
      <c r="H432" s="554">
        <v>32600</v>
      </c>
      <c r="I432" s="428"/>
    </row>
    <row r="433" spans="1:9" s="307" customFormat="1" ht="11.25" customHeight="1" hidden="1">
      <c r="A433" s="346">
        <v>80131</v>
      </c>
      <c r="B433" s="470" t="s">
        <v>457</v>
      </c>
      <c r="C433" s="322">
        <f>SUM(C434)</f>
        <v>0</v>
      </c>
      <c r="D433" s="225">
        <f>SUM(D434)</f>
        <v>0</v>
      </c>
      <c r="E433" s="323"/>
      <c r="F433" s="511"/>
      <c r="G433" s="512"/>
      <c r="H433" s="324"/>
      <c r="I433" s="227"/>
    </row>
    <row r="434" spans="1:9" ht="13.5" customHeight="1" hidden="1">
      <c r="A434" s="291"/>
      <c r="B434" s="316" t="s">
        <v>382</v>
      </c>
      <c r="C434" s="293">
        <f>SUM(C435:C438)</f>
        <v>0</v>
      </c>
      <c r="D434" s="294">
        <f>SUM(D435:D438)</f>
        <v>0</v>
      </c>
      <c r="E434" s="295"/>
      <c r="F434" s="296"/>
      <c r="G434" s="429"/>
      <c r="H434" s="296"/>
      <c r="I434" s="431"/>
    </row>
    <row r="435" spans="1:9" ht="13.5" customHeight="1" hidden="1">
      <c r="A435" s="291"/>
      <c r="B435" s="300" t="s">
        <v>407</v>
      </c>
      <c r="C435" s="301">
        <f>SUM(D435:E435)</f>
        <v>0</v>
      </c>
      <c r="D435" s="302">
        <f>F435+H435</f>
        <v>0</v>
      </c>
      <c r="E435" s="303"/>
      <c r="F435" s="304"/>
      <c r="G435" s="297"/>
      <c r="H435" s="304"/>
      <c r="I435" s="298"/>
    </row>
    <row r="436" spans="1:9" ht="13.5" customHeight="1" hidden="1">
      <c r="A436" s="291"/>
      <c r="B436" s="300" t="s">
        <v>408</v>
      </c>
      <c r="C436" s="301"/>
      <c r="D436" s="302"/>
      <c r="E436" s="303"/>
      <c r="F436" s="304"/>
      <c r="G436" s="297"/>
      <c r="H436" s="304"/>
      <c r="I436" s="298"/>
    </row>
    <row r="437" spans="1:9" ht="14.25" customHeight="1" hidden="1">
      <c r="A437" s="291"/>
      <c r="B437" s="320" t="s">
        <v>394</v>
      </c>
      <c r="C437" s="301">
        <f>SUM(D437:E437)</f>
        <v>0</v>
      </c>
      <c r="D437" s="302">
        <f>F437+H437</f>
        <v>0</v>
      </c>
      <c r="E437" s="303"/>
      <c r="F437" s="304"/>
      <c r="G437" s="297"/>
      <c r="H437" s="304"/>
      <c r="I437" s="298"/>
    </row>
    <row r="438" spans="1:9" ht="16.5" customHeight="1" hidden="1">
      <c r="A438" s="416"/>
      <c r="B438" s="433" t="s">
        <v>383</v>
      </c>
      <c r="C438" s="417">
        <f>SUM(D438:E438)</f>
        <v>0</v>
      </c>
      <c r="D438" s="418">
        <f>F438+H438</f>
        <v>0</v>
      </c>
      <c r="E438" s="419"/>
      <c r="F438" s="435"/>
      <c r="G438" s="421"/>
      <c r="H438" s="435"/>
      <c r="I438" s="423"/>
    </row>
    <row r="439" spans="1:9" s="307" customFormat="1" ht="12.75" customHeight="1" hidden="1">
      <c r="A439" s="346">
        <v>80132</v>
      </c>
      <c r="B439" s="470" t="s">
        <v>458</v>
      </c>
      <c r="C439" s="322">
        <f>SUM(C440)</f>
        <v>0</v>
      </c>
      <c r="D439" s="225">
        <f>SUM(D440)</f>
        <v>0</v>
      </c>
      <c r="E439" s="323"/>
      <c r="F439" s="511"/>
      <c r="G439" s="512"/>
      <c r="H439" s="324">
        <f>SUM(H440)</f>
        <v>0</v>
      </c>
      <c r="I439" s="227"/>
    </row>
    <row r="440" spans="1:9" ht="12.75" customHeight="1" hidden="1">
      <c r="A440" s="291"/>
      <c r="B440" s="316" t="s">
        <v>382</v>
      </c>
      <c r="C440" s="293">
        <f>SUM(C441:C443)</f>
        <v>0</v>
      </c>
      <c r="D440" s="294">
        <f>SUM(D441:D443)</f>
        <v>0</v>
      </c>
      <c r="E440" s="295"/>
      <c r="F440" s="296"/>
      <c r="G440" s="429"/>
      <c r="H440" s="296">
        <f>SUM(H441:H443)</f>
        <v>0</v>
      </c>
      <c r="I440" s="431"/>
    </row>
    <row r="441" spans="1:9" ht="15" customHeight="1" hidden="1">
      <c r="A441" s="291"/>
      <c r="B441" s="300" t="s">
        <v>407</v>
      </c>
      <c r="C441" s="301">
        <f>SUM(D441:E441)</f>
        <v>0</v>
      </c>
      <c r="D441" s="302">
        <f>F441+H441</f>
        <v>0</v>
      </c>
      <c r="E441" s="303"/>
      <c r="F441" s="321"/>
      <c r="G441" s="295"/>
      <c r="H441" s="321"/>
      <c r="I441" s="318"/>
    </row>
    <row r="442" spans="1:9" ht="12" customHeight="1" hidden="1">
      <c r="A442" s="416"/>
      <c r="B442" s="349" t="s">
        <v>408</v>
      </c>
      <c r="C442" s="417"/>
      <c r="D442" s="418"/>
      <c r="E442" s="419"/>
      <c r="F442" s="420"/>
      <c r="G442" s="489"/>
      <c r="H442" s="420"/>
      <c r="I442" s="569"/>
    </row>
    <row r="443" spans="1:9" ht="12" customHeight="1" hidden="1">
      <c r="A443" s="291"/>
      <c r="B443" s="320" t="s">
        <v>383</v>
      </c>
      <c r="C443" s="301">
        <f>SUM(D443:E443)</f>
        <v>0</v>
      </c>
      <c r="D443" s="302">
        <f>F443+H443</f>
        <v>0</v>
      </c>
      <c r="E443" s="303"/>
      <c r="F443" s="321"/>
      <c r="G443" s="295"/>
      <c r="H443" s="321"/>
      <c r="I443" s="318"/>
    </row>
    <row r="444" spans="1:9" ht="12.75" customHeight="1" hidden="1">
      <c r="A444" s="291"/>
      <c r="B444" s="300" t="s">
        <v>410</v>
      </c>
      <c r="C444" s="301">
        <f>SUM(D444:E444)</f>
        <v>0</v>
      </c>
      <c r="D444" s="302">
        <f>F444+H444</f>
        <v>0</v>
      </c>
      <c r="E444" s="303"/>
      <c r="F444" s="321"/>
      <c r="G444" s="295"/>
      <c r="H444" s="321"/>
      <c r="I444" s="318"/>
    </row>
    <row r="445" spans="1:9" s="307" customFormat="1" ht="11.25" customHeight="1" hidden="1">
      <c r="A445" s="346">
        <v>80133</v>
      </c>
      <c r="B445" s="470" t="s">
        <v>459</v>
      </c>
      <c r="C445" s="322">
        <f>SUM(C446)</f>
        <v>0</v>
      </c>
      <c r="D445" s="225">
        <f>SUM(D446)</f>
        <v>0</v>
      </c>
      <c r="E445" s="323"/>
      <c r="F445" s="511"/>
      <c r="G445" s="512"/>
      <c r="H445" s="324">
        <f>SUM(H446)</f>
        <v>0</v>
      </c>
      <c r="I445" s="227"/>
    </row>
    <row r="446" spans="1:9" ht="11.25" customHeight="1" hidden="1">
      <c r="A446" s="479"/>
      <c r="B446" s="480" t="s">
        <v>382</v>
      </c>
      <c r="C446" s="447">
        <f>SUM(C447)</f>
        <v>0</v>
      </c>
      <c r="D446" s="481">
        <f>SUM(D447)</f>
        <v>0</v>
      </c>
      <c r="E446" s="482"/>
      <c r="F446" s="483"/>
      <c r="G446" s="484"/>
      <c r="H446" s="483">
        <f>SUM(H447)</f>
        <v>0</v>
      </c>
      <c r="I446" s="520"/>
    </row>
    <row r="447" spans="1:9" ht="9.75" customHeight="1" hidden="1">
      <c r="A447" s="416"/>
      <c r="B447" s="433" t="s">
        <v>394</v>
      </c>
      <c r="C447" s="417">
        <f>SUM(D447:E447)</f>
        <v>0</v>
      </c>
      <c r="D447" s="418">
        <f>F447+H447</f>
        <v>0</v>
      </c>
      <c r="E447" s="419"/>
      <c r="F447" s="435"/>
      <c r="G447" s="421"/>
      <c r="H447" s="435"/>
      <c r="I447" s="423"/>
    </row>
    <row r="448" spans="1:9" s="307" customFormat="1" ht="24">
      <c r="A448" s="346">
        <v>80134</v>
      </c>
      <c r="B448" s="470" t="s">
        <v>460</v>
      </c>
      <c r="C448" s="322">
        <f>C449+C454</f>
        <v>1402791</v>
      </c>
      <c r="D448" s="225">
        <f>D449+D454</f>
        <v>1402791</v>
      </c>
      <c r="E448" s="323"/>
      <c r="F448" s="511"/>
      <c r="G448" s="512"/>
      <c r="H448" s="324">
        <f>H449+H454</f>
        <v>1402791</v>
      </c>
      <c r="I448" s="227"/>
    </row>
    <row r="449" spans="1:9" ht="12.75">
      <c r="A449" s="479"/>
      <c r="B449" s="480" t="s">
        <v>382</v>
      </c>
      <c r="C449" s="447">
        <f>SUM(C450:C452)</f>
        <v>1391791</v>
      </c>
      <c r="D449" s="481">
        <f>SUM(D450:D452)</f>
        <v>1391791</v>
      </c>
      <c r="E449" s="482"/>
      <c r="F449" s="483"/>
      <c r="G449" s="484"/>
      <c r="H449" s="483">
        <f>SUM(H450:H452)</f>
        <v>1391791</v>
      </c>
      <c r="I449" s="520"/>
    </row>
    <row r="450" spans="1:9" ht="12">
      <c r="A450" s="291"/>
      <c r="B450" s="300" t="s">
        <v>407</v>
      </c>
      <c r="C450" s="301">
        <f>SUM(D450:E450)</f>
        <v>1227910</v>
      </c>
      <c r="D450" s="302">
        <f>F450+H450</f>
        <v>1227910</v>
      </c>
      <c r="E450" s="303"/>
      <c r="F450" s="321"/>
      <c r="G450" s="295"/>
      <c r="H450" s="321">
        <v>1227910</v>
      </c>
      <c r="I450" s="318"/>
    </row>
    <row r="451" spans="1:9" ht="12">
      <c r="A451" s="291"/>
      <c r="B451" s="300" t="s">
        <v>408</v>
      </c>
      <c r="C451" s="301"/>
      <c r="D451" s="302"/>
      <c r="E451" s="303"/>
      <c r="F451" s="321"/>
      <c r="G451" s="295"/>
      <c r="H451" s="321"/>
      <c r="I451" s="318"/>
    </row>
    <row r="452" spans="1:9" ht="12">
      <c r="A452" s="291"/>
      <c r="B452" s="320" t="s">
        <v>383</v>
      </c>
      <c r="C452" s="301">
        <f>SUM(D452:E452)</f>
        <v>163881</v>
      </c>
      <c r="D452" s="302">
        <f>F452+H452</f>
        <v>163881</v>
      </c>
      <c r="E452" s="303"/>
      <c r="F452" s="321"/>
      <c r="G452" s="295"/>
      <c r="H452" s="321">
        <v>163881</v>
      </c>
      <c r="I452" s="318"/>
    </row>
    <row r="453" spans="1:9" ht="12" customHeight="1">
      <c r="A453" s="291"/>
      <c r="B453" s="300" t="s">
        <v>410</v>
      </c>
      <c r="C453" s="301">
        <f>SUM(D453:E453)</f>
        <v>1400</v>
      </c>
      <c r="D453" s="302">
        <f>F453+H453</f>
        <v>1400</v>
      </c>
      <c r="E453" s="303"/>
      <c r="F453" s="321"/>
      <c r="G453" s="295"/>
      <c r="H453" s="321">
        <v>1400</v>
      </c>
      <c r="I453" s="318"/>
    </row>
    <row r="454" spans="1:9" ht="12.75">
      <c r="A454" s="291"/>
      <c r="B454" s="292" t="s">
        <v>445</v>
      </c>
      <c r="C454" s="293">
        <f>C455</f>
        <v>11000</v>
      </c>
      <c r="D454" s="294">
        <f>F454+H454</f>
        <v>11000</v>
      </c>
      <c r="E454" s="295"/>
      <c r="F454" s="296"/>
      <c r="G454" s="297"/>
      <c r="H454" s="296">
        <f>H455</f>
        <v>11000</v>
      </c>
      <c r="I454" s="298"/>
    </row>
    <row r="455" spans="1:9" s="451" customFormat="1" ht="14.25" customHeight="1">
      <c r="A455" s="563"/>
      <c r="B455" s="349" t="s">
        <v>379</v>
      </c>
      <c r="C455" s="417">
        <f>D455+E455</f>
        <v>11000</v>
      </c>
      <c r="D455" s="418">
        <f>F455+H455</f>
        <v>11000</v>
      </c>
      <c r="E455" s="419"/>
      <c r="F455" s="420"/>
      <c r="G455" s="419"/>
      <c r="H455" s="554">
        <v>11000</v>
      </c>
      <c r="I455" s="428"/>
    </row>
    <row r="456" spans="1:9" s="307" customFormat="1" ht="63" customHeight="1">
      <c r="A456" s="346">
        <v>80140</v>
      </c>
      <c r="B456" s="470" t="s">
        <v>461</v>
      </c>
      <c r="C456" s="322">
        <f>SUM(C457+C462)</f>
        <v>2505640</v>
      </c>
      <c r="D456" s="225">
        <f>SUM(D457+D462)</f>
        <v>2505640</v>
      </c>
      <c r="E456" s="323"/>
      <c r="F456" s="511"/>
      <c r="G456" s="512"/>
      <c r="H456" s="324">
        <f>SUM(H457+H462)</f>
        <v>2505640</v>
      </c>
      <c r="I456" s="227"/>
    </row>
    <row r="457" spans="1:9" ht="12" customHeight="1">
      <c r="A457" s="291"/>
      <c r="B457" s="316" t="s">
        <v>382</v>
      </c>
      <c r="C457" s="293">
        <f>SUM(C458:C460)</f>
        <v>2464040</v>
      </c>
      <c r="D457" s="294">
        <f>SUM(D458:D460)</f>
        <v>2464040</v>
      </c>
      <c r="E457" s="295"/>
      <c r="F457" s="296"/>
      <c r="G457" s="429"/>
      <c r="H457" s="296">
        <f>SUM(H458:H460)</f>
        <v>2464040</v>
      </c>
      <c r="I457" s="431"/>
    </row>
    <row r="458" spans="1:9" ht="12.75" customHeight="1">
      <c r="A458" s="291"/>
      <c r="B458" s="300" t="s">
        <v>407</v>
      </c>
      <c r="C458" s="301">
        <f>SUM(D458:E458)</f>
        <v>2045950</v>
      </c>
      <c r="D458" s="302">
        <f>F458+H458</f>
        <v>2045950</v>
      </c>
      <c r="E458" s="303"/>
      <c r="F458" s="321"/>
      <c r="G458" s="295"/>
      <c r="H458" s="321">
        <v>2045950</v>
      </c>
      <c r="I458" s="318"/>
    </row>
    <row r="459" spans="1:9" ht="12.75" customHeight="1">
      <c r="A459" s="291"/>
      <c r="B459" s="300" t="s">
        <v>408</v>
      </c>
      <c r="C459" s="301"/>
      <c r="D459" s="302"/>
      <c r="E459" s="303"/>
      <c r="F459" s="321"/>
      <c r="G459" s="295"/>
      <c r="H459" s="321"/>
      <c r="I459" s="318"/>
    </row>
    <row r="460" spans="1:9" ht="12.75" customHeight="1">
      <c r="A460" s="291"/>
      <c r="B460" s="320" t="s">
        <v>383</v>
      </c>
      <c r="C460" s="301">
        <f>SUM(D460:E460)</f>
        <v>418090</v>
      </c>
      <c r="D460" s="302">
        <f>F460+H460</f>
        <v>418090</v>
      </c>
      <c r="E460" s="303"/>
      <c r="F460" s="321"/>
      <c r="G460" s="295"/>
      <c r="H460" s="321">
        <v>418090</v>
      </c>
      <c r="I460" s="318"/>
    </row>
    <row r="461" spans="1:9" ht="14.25" customHeight="1">
      <c r="A461" s="291"/>
      <c r="B461" s="300" t="s">
        <v>410</v>
      </c>
      <c r="C461" s="301">
        <f>SUM(D461:E461)</f>
        <v>10000</v>
      </c>
      <c r="D461" s="302">
        <f>F461+H461</f>
        <v>10000</v>
      </c>
      <c r="E461" s="303"/>
      <c r="F461" s="321"/>
      <c r="G461" s="295"/>
      <c r="H461" s="321">
        <v>10000</v>
      </c>
      <c r="I461" s="318"/>
    </row>
    <row r="462" spans="1:9" ht="12" customHeight="1">
      <c r="A462" s="291"/>
      <c r="B462" s="292" t="s">
        <v>378</v>
      </c>
      <c r="C462" s="293">
        <f>SUM(C463:C464)</f>
        <v>41600</v>
      </c>
      <c r="D462" s="294">
        <f>SUM(D463:D464)</f>
        <v>41600</v>
      </c>
      <c r="E462" s="295"/>
      <c r="F462" s="317"/>
      <c r="G462" s="295"/>
      <c r="H462" s="317">
        <f>SUM(H463:H464)</f>
        <v>41600</v>
      </c>
      <c r="I462" s="318"/>
    </row>
    <row r="463" spans="1:9" s="307" customFormat="1" ht="13.5" customHeight="1">
      <c r="A463" s="299"/>
      <c r="B463" s="300" t="s">
        <v>391</v>
      </c>
      <c r="C463" s="301">
        <f>SUM(D463:E463)</f>
        <v>41600</v>
      </c>
      <c r="D463" s="302">
        <f>F463+H463</f>
        <v>41600</v>
      </c>
      <c r="E463" s="303"/>
      <c r="F463" s="321"/>
      <c r="G463" s="303"/>
      <c r="H463" s="321">
        <v>41600</v>
      </c>
      <c r="I463" s="325"/>
    </row>
    <row r="464" spans="1:9" s="307" customFormat="1" ht="12" customHeight="1" hidden="1">
      <c r="A464" s="432"/>
      <c r="B464" s="349" t="s">
        <v>379</v>
      </c>
      <c r="C464" s="417">
        <f>SUM(D464:E464)</f>
        <v>0</v>
      </c>
      <c r="D464" s="418">
        <f>F464+H464</f>
        <v>0</v>
      </c>
      <c r="E464" s="419"/>
      <c r="F464" s="420"/>
      <c r="G464" s="419"/>
      <c r="H464" s="420"/>
      <c r="I464" s="428"/>
    </row>
    <row r="465" spans="1:9" ht="13.5" customHeight="1" hidden="1">
      <c r="A465" s="346">
        <v>80145</v>
      </c>
      <c r="B465" s="470" t="s">
        <v>462</v>
      </c>
      <c r="C465" s="322">
        <f>SUM(C466)</f>
        <v>0</v>
      </c>
      <c r="D465" s="225">
        <f>SUM(D466)</f>
        <v>0</v>
      </c>
      <c r="E465" s="323"/>
      <c r="F465" s="324">
        <f>SUM(F466)</f>
        <v>0</v>
      </c>
      <c r="G465" s="323"/>
      <c r="H465" s="324">
        <f>SUM(H466)</f>
        <v>0</v>
      </c>
      <c r="I465" s="227"/>
    </row>
    <row r="466" spans="1:9" ht="12.75" hidden="1">
      <c r="A466" s="479"/>
      <c r="B466" s="480" t="s">
        <v>382</v>
      </c>
      <c r="C466" s="447">
        <f>SUM(C467)</f>
        <v>0</v>
      </c>
      <c r="D466" s="481">
        <f>SUM(D467)</f>
        <v>0</v>
      </c>
      <c r="E466" s="586"/>
      <c r="F466" s="483">
        <f>SUM(F467)</f>
        <v>0</v>
      </c>
      <c r="G466" s="484"/>
      <c r="H466" s="483">
        <f>SUM(H467)</f>
        <v>0</v>
      </c>
      <c r="I466" s="520"/>
    </row>
    <row r="467" spans="1:9" ht="12" hidden="1">
      <c r="A467" s="291"/>
      <c r="B467" s="320" t="s">
        <v>383</v>
      </c>
      <c r="C467" s="301">
        <f>SUM(D467:E467)</f>
        <v>0</v>
      </c>
      <c r="D467" s="302">
        <f>F467+H467</f>
        <v>0</v>
      </c>
      <c r="E467" s="303"/>
      <c r="F467" s="321">
        <v>0</v>
      </c>
      <c r="G467" s="295"/>
      <c r="H467" s="321">
        <v>0</v>
      </c>
      <c r="I467" s="318"/>
    </row>
    <row r="468" spans="1:9" ht="36" customHeight="1">
      <c r="A468" s="346">
        <v>80146</v>
      </c>
      <c r="B468" s="470" t="s">
        <v>463</v>
      </c>
      <c r="C468" s="322">
        <f>SUM(C469)</f>
        <v>589038</v>
      </c>
      <c r="D468" s="225">
        <f>SUM(D469)</f>
        <v>589038</v>
      </c>
      <c r="E468" s="323"/>
      <c r="F468" s="324">
        <f>SUM(F469)</f>
        <v>302482</v>
      </c>
      <c r="G468" s="323"/>
      <c r="H468" s="324">
        <f>SUM(H469)</f>
        <v>286556</v>
      </c>
      <c r="I468" s="227"/>
    </row>
    <row r="469" spans="1:9" ht="12.75">
      <c r="A469" s="479"/>
      <c r="B469" s="480" t="s">
        <v>382</v>
      </c>
      <c r="C469" s="447">
        <f>SUM(C470:C473)</f>
        <v>589038</v>
      </c>
      <c r="D469" s="481">
        <f>SUM(D470:D473)</f>
        <v>589038</v>
      </c>
      <c r="E469" s="482"/>
      <c r="F469" s="483">
        <f>SUM(F470:F473)</f>
        <v>302482</v>
      </c>
      <c r="G469" s="484"/>
      <c r="H469" s="483">
        <f>SUM(H470:H473)</f>
        <v>286556</v>
      </c>
      <c r="I469" s="520"/>
    </row>
    <row r="470" spans="1:9" ht="12">
      <c r="A470" s="291"/>
      <c r="B470" s="300" t="s">
        <v>407</v>
      </c>
      <c r="C470" s="301">
        <f>SUM(D470:E470)</f>
        <v>172391</v>
      </c>
      <c r="D470" s="302">
        <f>F470+H470</f>
        <v>172391</v>
      </c>
      <c r="E470" s="303"/>
      <c r="F470" s="321">
        <v>68430</v>
      </c>
      <c r="G470" s="295"/>
      <c r="H470" s="321">
        <v>103961</v>
      </c>
      <c r="I470" s="318"/>
    </row>
    <row r="471" spans="1:9" ht="12">
      <c r="A471" s="291"/>
      <c r="B471" s="300" t="s">
        <v>408</v>
      </c>
      <c r="C471" s="301"/>
      <c r="D471" s="302"/>
      <c r="E471" s="303"/>
      <c r="F471" s="321"/>
      <c r="G471" s="295"/>
      <c r="H471" s="321"/>
      <c r="I471" s="318"/>
    </row>
    <row r="472" spans="1:9" ht="12" hidden="1">
      <c r="A472" s="291"/>
      <c r="B472" s="587" t="s">
        <v>394</v>
      </c>
      <c r="C472" s="301">
        <f>SUM(D472:E472)</f>
        <v>0</v>
      </c>
      <c r="D472" s="302">
        <f>F472+H472</f>
        <v>0</v>
      </c>
      <c r="E472" s="303"/>
      <c r="F472" s="321"/>
      <c r="G472" s="295"/>
      <c r="H472" s="321"/>
      <c r="I472" s="318"/>
    </row>
    <row r="473" spans="1:9" ht="12">
      <c r="A473" s="291"/>
      <c r="B473" s="320" t="s">
        <v>383</v>
      </c>
      <c r="C473" s="301">
        <f>SUM(D473:E473)</f>
        <v>416647</v>
      </c>
      <c r="D473" s="302">
        <f>F473+H473</f>
        <v>416647</v>
      </c>
      <c r="E473" s="303"/>
      <c r="F473" s="321">
        <v>234052</v>
      </c>
      <c r="G473" s="295"/>
      <c r="H473" s="321">
        <v>182595</v>
      </c>
      <c r="I473" s="318"/>
    </row>
    <row r="474" spans="1:9" ht="15" customHeight="1">
      <c r="A474" s="346">
        <v>80195</v>
      </c>
      <c r="B474" s="470" t="s">
        <v>389</v>
      </c>
      <c r="C474" s="322">
        <f aca="true" t="shared" si="19" ref="C474:H474">SUM(C475)+C481</f>
        <v>11535761</v>
      </c>
      <c r="D474" s="225">
        <f t="shared" si="19"/>
        <v>11535761</v>
      </c>
      <c r="E474" s="225"/>
      <c r="F474" s="549">
        <f t="shared" si="19"/>
        <v>5063352</v>
      </c>
      <c r="G474" s="323"/>
      <c r="H474" s="324">
        <f t="shared" si="19"/>
        <v>6472409</v>
      </c>
      <c r="I474" s="227"/>
    </row>
    <row r="475" spans="1:9" ht="12">
      <c r="A475" s="479"/>
      <c r="B475" s="480" t="s">
        <v>382</v>
      </c>
      <c r="C475" s="447">
        <f aca="true" t="shared" si="20" ref="C475:H475">SUM(C476:C479)</f>
        <v>4700461</v>
      </c>
      <c r="D475" s="481">
        <f t="shared" si="20"/>
        <v>4700461</v>
      </c>
      <c r="E475" s="481"/>
      <c r="F475" s="588">
        <f t="shared" si="20"/>
        <v>2760752</v>
      </c>
      <c r="G475" s="482"/>
      <c r="H475" s="544">
        <f t="shared" si="20"/>
        <v>1939709</v>
      </c>
      <c r="I475" s="589"/>
    </row>
    <row r="476" spans="1:9" ht="12">
      <c r="A476" s="291"/>
      <c r="B476" s="300" t="s">
        <v>407</v>
      </c>
      <c r="C476" s="301">
        <f>SUM(D476:E476)</f>
        <v>1383374</v>
      </c>
      <c r="D476" s="302">
        <f>F476+H476</f>
        <v>1383374</v>
      </c>
      <c r="E476" s="303"/>
      <c r="F476" s="321">
        <v>778223</v>
      </c>
      <c r="G476" s="295"/>
      <c r="H476" s="321">
        <v>605151</v>
      </c>
      <c r="I476" s="318"/>
    </row>
    <row r="477" spans="1:9" ht="10.5" customHeight="1">
      <c r="A477" s="291"/>
      <c r="B477" s="300" t="s">
        <v>408</v>
      </c>
      <c r="C477" s="301"/>
      <c r="D477" s="302"/>
      <c r="E477" s="303"/>
      <c r="F477" s="321"/>
      <c r="G477" s="295"/>
      <c r="H477" s="321"/>
      <c r="I477" s="318"/>
    </row>
    <row r="478" spans="1:9" ht="12">
      <c r="A478" s="291"/>
      <c r="B478" s="320" t="s">
        <v>394</v>
      </c>
      <c r="C478" s="301">
        <f>SUM(D478:E478)</f>
        <v>54000</v>
      </c>
      <c r="D478" s="302">
        <f>F478+H478</f>
        <v>54000</v>
      </c>
      <c r="E478" s="303"/>
      <c r="F478" s="321">
        <v>54000</v>
      </c>
      <c r="G478" s="303"/>
      <c r="H478" s="321"/>
      <c r="I478" s="318"/>
    </row>
    <row r="479" spans="1:9" ht="12.75" customHeight="1">
      <c r="A479" s="291"/>
      <c r="B479" s="320" t="s">
        <v>383</v>
      </c>
      <c r="C479" s="301">
        <f>SUM(D479:E479)</f>
        <v>3263087</v>
      </c>
      <c r="D479" s="302">
        <f>F479+H479</f>
        <v>3263087</v>
      </c>
      <c r="E479" s="303"/>
      <c r="F479" s="321">
        <v>1928529</v>
      </c>
      <c r="G479" s="295"/>
      <c r="H479" s="321">
        <v>1334558</v>
      </c>
      <c r="I479" s="318"/>
    </row>
    <row r="480" spans="1:9" ht="12" customHeight="1">
      <c r="A480" s="291"/>
      <c r="B480" s="320" t="s">
        <v>410</v>
      </c>
      <c r="C480" s="301">
        <f>SUM(D480:E480)</f>
        <v>30000</v>
      </c>
      <c r="D480" s="302">
        <f>F480+H480</f>
        <v>30000</v>
      </c>
      <c r="E480" s="303"/>
      <c r="F480" s="321">
        <v>26000</v>
      </c>
      <c r="G480" s="295"/>
      <c r="H480" s="321">
        <v>4000</v>
      </c>
      <c r="I480" s="318"/>
    </row>
    <row r="481" spans="1:9" ht="14.25" customHeight="1">
      <c r="A481" s="291"/>
      <c r="B481" s="292" t="s">
        <v>378</v>
      </c>
      <c r="C481" s="293">
        <f>SUM(C482:C483)</f>
        <v>6835300</v>
      </c>
      <c r="D481" s="294">
        <f>SUM(D482:D483)</f>
        <v>6835300</v>
      </c>
      <c r="E481" s="295"/>
      <c r="F481" s="317">
        <f>SUM(F482:F483)</f>
        <v>2302600</v>
      </c>
      <c r="G481" s="295"/>
      <c r="H481" s="317">
        <f>SUM(H482:H483)</f>
        <v>4532700</v>
      </c>
      <c r="I481" s="318"/>
    </row>
    <row r="482" spans="1:9" s="307" customFormat="1" ht="13.5" customHeight="1" thickBot="1">
      <c r="A482" s="299"/>
      <c r="B482" s="300" t="s">
        <v>391</v>
      </c>
      <c r="C482" s="301">
        <f>SUM(D482:E482)</f>
        <v>6835300</v>
      </c>
      <c r="D482" s="302">
        <f>F482+H482</f>
        <v>6835300</v>
      </c>
      <c r="E482" s="303"/>
      <c r="F482" s="321">
        <v>2302600</v>
      </c>
      <c r="G482" s="303"/>
      <c r="H482" s="321">
        <v>4532700</v>
      </c>
      <c r="I482" s="325"/>
    </row>
    <row r="483" spans="1:9" ht="15.75" customHeight="1" hidden="1">
      <c r="A483" s="291"/>
      <c r="B483" s="300" t="s">
        <v>379</v>
      </c>
      <c r="C483" s="301">
        <f>SUM(D483:E483)</f>
        <v>0</v>
      </c>
      <c r="D483" s="302">
        <f>F483+H483</f>
        <v>0</v>
      </c>
      <c r="E483" s="303"/>
      <c r="F483" s="321"/>
      <c r="G483" s="295"/>
      <c r="H483" s="321"/>
      <c r="I483" s="318"/>
    </row>
    <row r="484" spans="1:9" ht="26.25" customHeight="1" thickBot="1" thickTop="1">
      <c r="A484" s="515">
        <v>803</v>
      </c>
      <c r="B484" s="555" t="s">
        <v>464</v>
      </c>
      <c r="C484" s="590">
        <f>SUM(C485+C489)</f>
        <v>523000</v>
      </c>
      <c r="D484" s="591">
        <f>SUM(D485+D489)</f>
        <v>523000</v>
      </c>
      <c r="E484" s="592"/>
      <c r="F484" s="289">
        <f>SUM(F485+F489)</f>
        <v>523000</v>
      </c>
      <c r="G484" s="288"/>
      <c r="H484" s="289"/>
      <c r="I484" s="234"/>
    </row>
    <row r="485" spans="1:9" ht="25.5" customHeight="1" thickTop="1">
      <c r="A485" s="346">
        <v>80309</v>
      </c>
      <c r="B485" s="470" t="s">
        <v>465</v>
      </c>
      <c r="C485" s="322">
        <f>SUM(C486)</f>
        <v>18000</v>
      </c>
      <c r="D485" s="225">
        <f>SUM(D486)</f>
        <v>18000</v>
      </c>
      <c r="E485" s="323"/>
      <c r="F485" s="324">
        <f>SUM(F486)</f>
        <v>18000</v>
      </c>
      <c r="G485" s="323"/>
      <c r="H485" s="324"/>
      <c r="I485" s="227"/>
    </row>
    <row r="486" spans="1:9" ht="12.75">
      <c r="A486" s="291"/>
      <c r="B486" s="316" t="s">
        <v>382</v>
      </c>
      <c r="C486" s="293">
        <f>SUM(C487:C488)</f>
        <v>18000</v>
      </c>
      <c r="D486" s="294">
        <f>F486+H486</f>
        <v>18000</v>
      </c>
      <c r="E486" s="295"/>
      <c r="F486" s="296">
        <f>SUM(F487:F488)</f>
        <v>18000</v>
      </c>
      <c r="G486" s="297"/>
      <c r="H486" s="296"/>
      <c r="I486" s="298"/>
    </row>
    <row r="487" spans="1:9" ht="12" customHeight="1">
      <c r="A487" s="291"/>
      <c r="B487" s="320" t="s">
        <v>394</v>
      </c>
      <c r="C487" s="301">
        <f>SUM(D487:E487)</f>
        <v>18000</v>
      </c>
      <c r="D487" s="302">
        <f>F487+H487</f>
        <v>18000</v>
      </c>
      <c r="E487" s="303"/>
      <c r="F487" s="321">
        <v>18000</v>
      </c>
      <c r="G487" s="297"/>
      <c r="H487" s="296"/>
      <c r="I487" s="298"/>
    </row>
    <row r="488" spans="1:9" ht="13.5" customHeight="1" hidden="1">
      <c r="A488" s="416"/>
      <c r="B488" s="433" t="s">
        <v>383</v>
      </c>
      <c r="C488" s="417">
        <f>SUM(D488:E488)</f>
        <v>0</v>
      </c>
      <c r="D488" s="418">
        <f>F488+H488</f>
        <v>0</v>
      </c>
      <c r="E488" s="419"/>
      <c r="F488" s="420">
        <v>0</v>
      </c>
      <c r="G488" s="489"/>
      <c r="H488" s="420"/>
      <c r="I488" s="569"/>
    </row>
    <row r="489" spans="1:9" ht="12">
      <c r="A489" s="346">
        <v>80395</v>
      </c>
      <c r="B489" s="470" t="s">
        <v>389</v>
      </c>
      <c r="C489" s="322">
        <f>SUM(D489:E489)</f>
        <v>505000</v>
      </c>
      <c r="D489" s="225">
        <f>D490+D493</f>
        <v>505000</v>
      </c>
      <c r="E489" s="323"/>
      <c r="F489" s="324">
        <f>F490+F493</f>
        <v>505000</v>
      </c>
      <c r="G489" s="323"/>
      <c r="H489" s="324"/>
      <c r="I489" s="227"/>
    </row>
    <row r="490" spans="1:9" ht="12.75">
      <c r="A490" s="291"/>
      <c r="B490" s="316" t="s">
        <v>382</v>
      </c>
      <c r="C490" s="293">
        <f>SUM(C491:C492)</f>
        <v>5000</v>
      </c>
      <c r="D490" s="294">
        <f>F490+H490</f>
        <v>5000</v>
      </c>
      <c r="E490" s="295"/>
      <c r="F490" s="296">
        <f>SUM(F491:F492)</f>
        <v>5000</v>
      </c>
      <c r="G490" s="297"/>
      <c r="H490" s="296"/>
      <c r="I490" s="298"/>
    </row>
    <row r="491" spans="1:9" ht="12.75" customHeight="1" hidden="1">
      <c r="A491" s="291"/>
      <c r="B491" s="320" t="s">
        <v>394</v>
      </c>
      <c r="C491" s="301">
        <f>SUM(D491:E491)</f>
        <v>0</v>
      </c>
      <c r="D491" s="302">
        <f>F491+H491</f>
        <v>0</v>
      </c>
      <c r="E491" s="303"/>
      <c r="F491" s="321"/>
      <c r="G491" s="295"/>
      <c r="H491" s="321"/>
      <c r="I491" s="318"/>
    </row>
    <row r="492" spans="1:9" ht="10.5" customHeight="1">
      <c r="A492" s="416"/>
      <c r="B492" s="433" t="s">
        <v>383</v>
      </c>
      <c r="C492" s="417">
        <f>SUM(D492:E492)</f>
        <v>5000</v>
      </c>
      <c r="D492" s="418">
        <f>F492+H492</f>
        <v>5000</v>
      </c>
      <c r="E492" s="419"/>
      <c r="F492" s="420">
        <v>5000</v>
      </c>
      <c r="G492" s="489"/>
      <c r="H492" s="420"/>
      <c r="I492" s="569"/>
    </row>
    <row r="493" spans="1:9" s="407" customFormat="1" ht="10.5" customHeight="1">
      <c r="A493" s="334"/>
      <c r="B493" s="593" t="s">
        <v>378</v>
      </c>
      <c r="C493" s="546">
        <f>C494+C496</f>
        <v>500000</v>
      </c>
      <c r="D493" s="594">
        <f>D494+D496</f>
        <v>500000</v>
      </c>
      <c r="E493" s="595"/>
      <c r="F493" s="340">
        <f>F494+F496</f>
        <v>500000</v>
      </c>
      <c r="G493" s="596"/>
      <c r="H493" s="597"/>
      <c r="I493" s="341"/>
    </row>
    <row r="494" spans="1:9" ht="12" customHeight="1" hidden="1">
      <c r="A494" s="291"/>
      <c r="B494" s="300" t="s">
        <v>391</v>
      </c>
      <c r="C494" s="301">
        <f>SUM(D494:E494)</f>
        <v>0</v>
      </c>
      <c r="D494" s="347">
        <f>F494</f>
        <v>0</v>
      </c>
      <c r="E494" s="303"/>
      <c r="F494" s="321">
        <v>0</v>
      </c>
      <c r="G494" s="598"/>
      <c r="H494" s="348"/>
      <c r="I494" s="318"/>
    </row>
    <row r="495" spans="1:9" s="407" customFormat="1" ht="12" customHeight="1" hidden="1">
      <c r="A495" s="334"/>
      <c r="B495" s="599" t="s">
        <v>395</v>
      </c>
      <c r="C495" s="546">
        <f>SUM(D495:E495)</f>
        <v>0</v>
      </c>
      <c r="D495" s="594">
        <f>F495</f>
        <v>0</v>
      </c>
      <c r="E495" s="595"/>
      <c r="F495" s="340">
        <v>0</v>
      </c>
      <c r="G495" s="596"/>
      <c r="H495" s="597"/>
      <c r="I495" s="341"/>
    </row>
    <row r="496" spans="1:9" s="407" customFormat="1" ht="12" customHeight="1">
      <c r="A496" s="334"/>
      <c r="B496" s="349" t="s">
        <v>396</v>
      </c>
      <c r="C496" s="301">
        <f>SUM(D496:E496)</f>
        <v>500000</v>
      </c>
      <c r="D496" s="347">
        <f>F496</f>
        <v>500000</v>
      </c>
      <c r="E496" s="303"/>
      <c r="F496" s="321">
        <v>500000</v>
      </c>
      <c r="G496" s="596"/>
      <c r="H496" s="597"/>
      <c r="I496" s="341"/>
    </row>
    <row r="497" spans="1:9" s="290" customFormat="1" ht="17.25" customHeight="1" thickBot="1">
      <c r="A497" s="531">
        <v>851</v>
      </c>
      <c r="B497" s="600" t="s">
        <v>275</v>
      </c>
      <c r="C497" s="532">
        <f>SUM(C523+C529+C551+C512+C545+C507)</f>
        <v>4205631</v>
      </c>
      <c r="D497" s="601">
        <f>SUM(D523+D529+D551+D512+D507)</f>
        <v>4190631</v>
      </c>
      <c r="E497" s="534">
        <f>SUM(E523+E529+E551+E512+E545+E507)</f>
        <v>15000</v>
      </c>
      <c r="F497" s="536">
        <f>SUM(F523+F529+F551+F512+F507)</f>
        <v>4190631</v>
      </c>
      <c r="G497" s="602"/>
      <c r="H497" s="535"/>
      <c r="I497" s="537">
        <f>SUM(I523+I529+I538+I551+I545+I512+I516+I542)</f>
        <v>15000</v>
      </c>
    </row>
    <row r="498" spans="1:9" s="290" customFormat="1" ht="13.5" thickTop="1">
      <c r="A498" s="351"/>
      <c r="B498" s="352" t="s">
        <v>382</v>
      </c>
      <c r="C498" s="353">
        <f>D498+E498</f>
        <v>3944131</v>
      </c>
      <c r="D498" s="235">
        <f>F498+H498</f>
        <v>3929131</v>
      </c>
      <c r="E498" s="355">
        <f>G498+I498</f>
        <v>15000</v>
      </c>
      <c r="F498" s="356">
        <f>F508+F513+F524+F530+F546+F552</f>
        <v>3929131</v>
      </c>
      <c r="G498" s="504"/>
      <c r="H498" s="358"/>
      <c r="I498" s="359">
        <f>I508+I513+I524+I530+I546+I552</f>
        <v>15000</v>
      </c>
    </row>
    <row r="499" spans="1:9" ht="12.75">
      <c r="A499" s="291"/>
      <c r="B499" s="300" t="s">
        <v>407</v>
      </c>
      <c r="C499" s="361">
        <f>SUM(D499:E499)</f>
        <v>60000</v>
      </c>
      <c r="D499" s="362">
        <f>F499+H499</f>
        <v>60000</v>
      </c>
      <c r="E499" s="305"/>
      <c r="F499" s="304">
        <f>F531</f>
        <v>60000</v>
      </c>
      <c r="G499" s="295"/>
      <c r="H499" s="321"/>
      <c r="I499" s="318"/>
    </row>
    <row r="500" spans="1:9" ht="10.5" customHeight="1">
      <c r="A500" s="291"/>
      <c r="B500" s="300" t="s">
        <v>408</v>
      </c>
      <c r="C500" s="361"/>
      <c r="D500" s="362"/>
      <c r="E500" s="305"/>
      <c r="F500" s="304"/>
      <c r="G500" s="295"/>
      <c r="H500" s="321"/>
      <c r="I500" s="318"/>
    </row>
    <row r="501" spans="1:9" s="451" customFormat="1" ht="12.75">
      <c r="A501" s="448"/>
      <c r="B501" s="320" t="s">
        <v>394</v>
      </c>
      <c r="C501" s="452">
        <f aca="true" t="shared" si="21" ref="C501:C511">D501+E501</f>
        <v>1044000</v>
      </c>
      <c r="D501" s="473">
        <f aca="true" t="shared" si="22" ref="D501:D511">F501+H501</f>
        <v>1044000</v>
      </c>
      <c r="E501" s="305"/>
      <c r="F501" s="363">
        <f>F509+F514+F525+F533+F553</f>
        <v>1044000</v>
      </c>
      <c r="G501" s="603"/>
      <c r="H501" s="321"/>
      <c r="I501" s="325"/>
    </row>
    <row r="502" spans="1:9" s="451" customFormat="1" ht="10.5" customHeight="1">
      <c r="A502" s="448"/>
      <c r="B502" s="576" t="s">
        <v>383</v>
      </c>
      <c r="C502" s="452">
        <f t="shared" si="21"/>
        <v>2840131</v>
      </c>
      <c r="D502" s="473">
        <f t="shared" si="22"/>
        <v>2825131</v>
      </c>
      <c r="E502" s="305">
        <f>G502+I502</f>
        <v>15000</v>
      </c>
      <c r="F502" s="363">
        <f>F515+F526+F534+F549+F554</f>
        <v>2825131</v>
      </c>
      <c r="G502" s="603"/>
      <c r="H502" s="321"/>
      <c r="I502" s="325">
        <f>I515+I526+I534+I549+I554</f>
        <v>15000</v>
      </c>
    </row>
    <row r="503" spans="1:9" s="451" customFormat="1" ht="10.5" customHeight="1">
      <c r="A503" s="448"/>
      <c r="B503" s="559" t="s">
        <v>410</v>
      </c>
      <c r="C503" s="452">
        <f t="shared" si="21"/>
        <v>519428</v>
      </c>
      <c r="D503" s="473">
        <f t="shared" si="22"/>
        <v>519428</v>
      </c>
      <c r="E503" s="305"/>
      <c r="F503" s="363">
        <f>F535+F555</f>
        <v>519428</v>
      </c>
      <c r="G503" s="603"/>
      <c r="H503" s="321"/>
      <c r="I503" s="325"/>
    </row>
    <row r="504" spans="1:9" s="290" customFormat="1" ht="12.75" customHeight="1">
      <c r="A504" s="351"/>
      <c r="B504" s="604" t="s">
        <v>378</v>
      </c>
      <c r="C504" s="353">
        <f t="shared" si="21"/>
        <v>261500</v>
      </c>
      <c r="D504" s="235">
        <f t="shared" si="22"/>
        <v>261500</v>
      </c>
      <c r="E504" s="355"/>
      <c r="F504" s="356">
        <f>F542+F556+F536+F527</f>
        <v>261500</v>
      </c>
      <c r="G504" s="508"/>
      <c r="H504" s="371"/>
      <c r="I504" s="372"/>
    </row>
    <row r="505" spans="1:9" s="451" customFormat="1" ht="12.75" customHeight="1">
      <c r="A505" s="448"/>
      <c r="B505" s="320" t="s">
        <v>391</v>
      </c>
      <c r="C505" s="361">
        <f t="shared" si="21"/>
        <v>241500</v>
      </c>
      <c r="D505" s="473">
        <f t="shared" si="22"/>
        <v>241500</v>
      </c>
      <c r="E505" s="305"/>
      <c r="F505" s="304">
        <f>F543+F557+F537</f>
        <v>241500</v>
      </c>
      <c r="G505" s="603"/>
      <c r="H505" s="321"/>
      <c r="I505" s="325"/>
    </row>
    <row r="506" spans="1:9" s="451" customFormat="1" ht="16.5" customHeight="1" hidden="1">
      <c r="A506" s="563"/>
      <c r="B506" s="349" t="s">
        <v>379</v>
      </c>
      <c r="C506" s="361">
        <f t="shared" si="21"/>
        <v>0</v>
      </c>
      <c r="D506" s="473">
        <f t="shared" si="22"/>
        <v>0</v>
      </c>
      <c r="E506" s="434"/>
      <c r="F506" s="435">
        <f>F528</f>
        <v>0</v>
      </c>
      <c r="G506" s="606"/>
      <c r="H506" s="420"/>
      <c r="I506" s="428"/>
    </row>
    <row r="507" spans="1:9" ht="10.5" customHeight="1" hidden="1">
      <c r="A507" s="395">
        <v>85111</v>
      </c>
      <c r="B507" s="464" t="s">
        <v>466</v>
      </c>
      <c r="C507" s="361">
        <f t="shared" si="21"/>
        <v>0</v>
      </c>
      <c r="D507" s="473">
        <f t="shared" si="22"/>
        <v>0</v>
      </c>
      <c r="E507" s="467"/>
      <c r="F507" s="468">
        <f>SUM(F508)</f>
        <v>0</v>
      </c>
      <c r="G507" s="467"/>
      <c r="H507" s="468"/>
      <c r="I507" s="469"/>
    </row>
    <row r="508" spans="1:9" ht="13.5" customHeight="1" hidden="1">
      <c r="A508" s="291"/>
      <c r="B508" s="316" t="s">
        <v>382</v>
      </c>
      <c r="C508" s="361">
        <f t="shared" si="21"/>
        <v>0</v>
      </c>
      <c r="D508" s="473">
        <f t="shared" si="22"/>
        <v>0</v>
      </c>
      <c r="E508" s="295"/>
      <c r="F508" s="296">
        <f>SUM(F509)</f>
        <v>0</v>
      </c>
      <c r="G508" s="297"/>
      <c r="H508" s="296"/>
      <c r="I508" s="298"/>
    </row>
    <row r="509" spans="1:9" ht="11.25" customHeight="1" hidden="1" thickBot="1">
      <c r="A509" s="291"/>
      <c r="B509" s="320" t="s">
        <v>394</v>
      </c>
      <c r="C509" s="361">
        <f t="shared" si="21"/>
        <v>0</v>
      </c>
      <c r="D509" s="473">
        <f t="shared" si="22"/>
        <v>0</v>
      </c>
      <c r="E509" s="303"/>
      <c r="F509" s="321">
        <v>0</v>
      </c>
      <c r="G509" s="295"/>
      <c r="H509" s="321"/>
      <c r="I509" s="318"/>
    </row>
    <row r="510" spans="1:9" ht="11.25" customHeight="1">
      <c r="A510" s="291"/>
      <c r="B510" s="292" t="s">
        <v>395</v>
      </c>
      <c r="C510" s="361">
        <f t="shared" si="21"/>
        <v>36000</v>
      </c>
      <c r="D510" s="473">
        <f t="shared" si="22"/>
        <v>36000</v>
      </c>
      <c r="E510" s="303"/>
      <c r="F510" s="321">
        <f>F558</f>
        <v>36000</v>
      </c>
      <c r="G510" s="295"/>
      <c r="H510" s="321"/>
      <c r="I510" s="318"/>
    </row>
    <row r="511" spans="1:9" ht="11.25" customHeight="1" thickBot="1">
      <c r="A511" s="291"/>
      <c r="B511" s="349" t="s">
        <v>379</v>
      </c>
      <c r="C511" s="361">
        <f t="shared" si="21"/>
        <v>20000</v>
      </c>
      <c r="D511" s="473">
        <f t="shared" si="22"/>
        <v>20000</v>
      </c>
      <c r="E511" s="303"/>
      <c r="F511" s="321">
        <f>F544+F559</f>
        <v>20000</v>
      </c>
      <c r="G511" s="295"/>
      <c r="H511" s="321"/>
      <c r="I511" s="318"/>
    </row>
    <row r="512" spans="1:9" s="315" customFormat="1" ht="25.5" customHeight="1" thickTop="1">
      <c r="A512" s="607">
        <v>85149</v>
      </c>
      <c r="B512" s="608" t="s">
        <v>467</v>
      </c>
      <c r="C512" s="609">
        <f>SUM(C513)</f>
        <v>652000</v>
      </c>
      <c r="D512" s="610">
        <f>SUM(D513)</f>
        <v>652000</v>
      </c>
      <c r="E512" s="611"/>
      <c r="F512" s="612">
        <f>SUM(F513)</f>
        <v>652000</v>
      </c>
      <c r="G512" s="611"/>
      <c r="H512" s="612"/>
      <c r="I512" s="613"/>
    </row>
    <row r="513" spans="1:9" ht="12" customHeight="1">
      <c r="A513" s="291"/>
      <c r="B513" s="316" t="s">
        <v>382</v>
      </c>
      <c r="C513" s="293">
        <f>SUM(C514:C515)</f>
        <v>652000</v>
      </c>
      <c r="D513" s="294">
        <f>SUM(D514:D515)</f>
        <v>652000</v>
      </c>
      <c r="E513" s="295"/>
      <c r="F513" s="296">
        <f>SUM(F514:F515)</f>
        <v>652000</v>
      </c>
      <c r="G513" s="297"/>
      <c r="H513" s="296"/>
      <c r="I513" s="298"/>
    </row>
    <row r="514" spans="1:9" ht="9.75" customHeight="1" hidden="1">
      <c r="A514" s="291"/>
      <c r="B514" s="320" t="s">
        <v>394</v>
      </c>
      <c r="C514" s="301">
        <f>SUM(D514:E514)</f>
        <v>0</v>
      </c>
      <c r="D514" s="302">
        <f>F514+H514</f>
        <v>0</v>
      </c>
      <c r="E514" s="303"/>
      <c r="F514" s="321"/>
      <c r="G514" s="295"/>
      <c r="H514" s="321"/>
      <c r="I514" s="318"/>
    </row>
    <row r="515" spans="1:9" ht="12" customHeight="1">
      <c r="A515" s="416"/>
      <c r="B515" s="433" t="s">
        <v>383</v>
      </c>
      <c r="C515" s="417">
        <f>SUM(D515:E515)</f>
        <v>652000</v>
      </c>
      <c r="D515" s="418">
        <f>F515+H515</f>
        <v>652000</v>
      </c>
      <c r="E515" s="419"/>
      <c r="F515" s="420">
        <v>652000</v>
      </c>
      <c r="G515" s="489"/>
      <c r="H515" s="420"/>
      <c r="I515" s="569"/>
    </row>
    <row r="516" spans="1:9" ht="12" hidden="1">
      <c r="A516" s="346">
        <v>85132</v>
      </c>
      <c r="B516" s="470" t="s">
        <v>468</v>
      </c>
      <c r="C516" s="322">
        <f>SUM(C517+C521)</f>
        <v>0</v>
      </c>
      <c r="D516" s="225"/>
      <c r="E516" s="323">
        <f>SUM(E517+E521)</f>
        <v>0</v>
      </c>
      <c r="F516" s="324"/>
      <c r="G516" s="323"/>
      <c r="H516" s="324"/>
      <c r="I516" s="227">
        <f>SUM(I517+I521)</f>
        <v>0</v>
      </c>
    </row>
    <row r="517" spans="1:9" ht="12.75" hidden="1">
      <c r="A517" s="291"/>
      <c r="B517" s="316" t="s">
        <v>382</v>
      </c>
      <c r="C517" s="452">
        <f>SUM(C518:C520)</f>
        <v>0</v>
      </c>
      <c r="D517" s="453"/>
      <c r="E517" s="297">
        <f>SUM(E518:E520)</f>
        <v>0</v>
      </c>
      <c r="F517" s="296"/>
      <c r="G517" s="297"/>
      <c r="H517" s="296"/>
      <c r="I517" s="298">
        <f>SUM(I518:I520)</f>
        <v>0</v>
      </c>
    </row>
    <row r="518" spans="1:9" s="307" customFormat="1" ht="12.75" hidden="1">
      <c r="A518" s="299"/>
      <c r="B518" s="300" t="s">
        <v>407</v>
      </c>
      <c r="C518" s="301">
        <f>SUM(D518:E518)</f>
        <v>0</v>
      </c>
      <c r="D518" s="302"/>
      <c r="E518" s="303">
        <f>G518+I518</f>
        <v>0</v>
      </c>
      <c r="F518" s="304"/>
      <c r="G518" s="305"/>
      <c r="H518" s="304"/>
      <c r="I518" s="306">
        <v>0</v>
      </c>
    </row>
    <row r="519" spans="1:9" s="307" customFormat="1" ht="12.75" hidden="1">
      <c r="A519" s="299"/>
      <c r="B519" s="300" t="s">
        <v>408</v>
      </c>
      <c r="C519" s="301"/>
      <c r="D519" s="302"/>
      <c r="E519" s="303"/>
      <c r="F519" s="304"/>
      <c r="G519" s="305"/>
      <c r="H519" s="304"/>
      <c r="I519" s="306"/>
    </row>
    <row r="520" spans="1:9" ht="12.75" hidden="1">
      <c r="A520" s="291"/>
      <c r="B520" s="320" t="s">
        <v>383</v>
      </c>
      <c r="C520" s="301">
        <f>SUM(D520:E520)</f>
        <v>0</v>
      </c>
      <c r="D520" s="302"/>
      <c r="E520" s="303">
        <f>G520+I520</f>
        <v>0</v>
      </c>
      <c r="F520" s="304"/>
      <c r="G520" s="297"/>
      <c r="H520" s="304"/>
      <c r="I520" s="306">
        <v>0</v>
      </c>
    </row>
    <row r="521" spans="1:9" ht="12.75" hidden="1">
      <c r="A521" s="291"/>
      <c r="B521" s="292" t="s">
        <v>445</v>
      </c>
      <c r="C521" s="293">
        <f>SUM(C522)</f>
        <v>0</v>
      </c>
      <c r="D521" s="294"/>
      <c r="E521" s="295">
        <f>G521+I521</f>
        <v>0</v>
      </c>
      <c r="F521" s="296"/>
      <c r="G521" s="297"/>
      <c r="H521" s="296"/>
      <c r="I521" s="298">
        <f>SUM(I522)</f>
        <v>0</v>
      </c>
    </row>
    <row r="522" spans="1:9" s="307" customFormat="1" ht="12.75" hidden="1">
      <c r="A522" s="299"/>
      <c r="B522" s="300" t="s">
        <v>391</v>
      </c>
      <c r="C522" s="301">
        <f>SUM(D522:E522)</f>
        <v>0</v>
      </c>
      <c r="D522" s="302"/>
      <c r="E522" s="303">
        <f>G522+I522</f>
        <v>0</v>
      </c>
      <c r="F522" s="304"/>
      <c r="G522" s="305"/>
      <c r="H522" s="304"/>
      <c r="I522" s="306">
        <v>0</v>
      </c>
    </row>
    <row r="523" spans="1:9" s="315" customFormat="1" ht="15" customHeight="1">
      <c r="A523" s="346">
        <v>85153</v>
      </c>
      <c r="B523" s="470" t="s">
        <v>469</v>
      </c>
      <c r="C523" s="322">
        <f>C524+C527</f>
        <v>150000</v>
      </c>
      <c r="D523" s="225">
        <f>D524+D527</f>
        <v>150000</v>
      </c>
      <c r="E523" s="323"/>
      <c r="F523" s="573">
        <f>F524+F527</f>
        <v>150000</v>
      </c>
      <c r="G523" s="572"/>
      <c r="H523" s="573"/>
      <c r="I523" s="574"/>
    </row>
    <row r="524" spans="1:9" ht="13.5" customHeight="1">
      <c r="A524" s="291"/>
      <c r="B524" s="316" t="s">
        <v>382</v>
      </c>
      <c r="C524" s="452">
        <f>SUM(C525:C526)</f>
        <v>150000</v>
      </c>
      <c r="D524" s="453">
        <f>SUM(D525:D526)</f>
        <v>150000</v>
      </c>
      <c r="E524" s="297"/>
      <c r="F524" s="296">
        <f>SUM(F525:F526)</f>
        <v>150000</v>
      </c>
      <c r="G524" s="297"/>
      <c r="H524" s="296"/>
      <c r="I524" s="298"/>
    </row>
    <row r="525" spans="1:9" s="307" customFormat="1" ht="14.25" customHeight="1">
      <c r="A525" s="299"/>
      <c r="B525" s="320" t="s">
        <v>394</v>
      </c>
      <c r="C525" s="301">
        <f>SUM(D525:E525)</f>
        <v>100000</v>
      </c>
      <c r="D525" s="302">
        <f>F525+H525</f>
        <v>100000</v>
      </c>
      <c r="E525" s="303"/>
      <c r="F525" s="321">
        <v>100000</v>
      </c>
      <c r="G525" s="303"/>
      <c r="H525" s="321"/>
      <c r="I525" s="325"/>
    </row>
    <row r="526" spans="1:9" ht="12.75" customHeight="1">
      <c r="A526" s="291"/>
      <c r="B526" s="320" t="s">
        <v>383</v>
      </c>
      <c r="C526" s="301">
        <f>SUM(D526:E526)</f>
        <v>50000</v>
      </c>
      <c r="D526" s="302">
        <f>F526+H526</f>
        <v>50000</v>
      </c>
      <c r="E526" s="303"/>
      <c r="F526" s="321">
        <v>50000</v>
      </c>
      <c r="G526" s="295"/>
      <c r="H526" s="321"/>
      <c r="I526" s="318"/>
    </row>
    <row r="527" spans="1:9" ht="12.75" customHeight="1" hidden="1">
      <c r="A527" s="291"/>
      <c r="B527" s="292" t="s">
        <v>378</v>
      </c>
      <c r="C527" s="293">
        <f>C528</f>
        <v>0</v>
      </c>
      <c r="D527" s="294">
        <f>D528</f>
        <v>0</v>
      </c>
      <c r="E527" s="295"/>
      <c r="F527" s="317">
        <f>F528</f>
        <v>0</v>
      </c>
      <c r="G527" s="295"/>
      <c r="H527" s="317"/>
      <c r="I527" s="318"/>
    </row>
    <row r="528" spans="1:9" ht="12.75" customHeight="1" hidden="1">
      <c r="A528" s="416"/>
      <c r="B528" s="300" t="s">
        <v>379</v>
      </c>
      <c r="C528" s="301">
        <f>SUM(D528:E528)</f>
        <v>0</v>
      </c>
      <c r="D528" s="302">
        <f>F528+H528</f>
        <v>0</v>
      </c>
      <c r="E528" s="419"/>
      <c r="F528" s="420"/>
      <c r="G528" s="489"/>
      <c r="H528" s="420"/>
      <c r="I528" s="569"/>
    </row>
    <row r="529" spans="1:9" ht="25.5" customHeight="1">
      <c r="A529" s="346">
        <v>85154</v>
      </c>
      <c r="B529" s="470" t="s">
        <v>470</v>
      </c>
      <c r="C529" s="322">
        <f>C530+C536</f>
        <v>2709731</v>
      </c>
      <c r="D529" s="225">
        <f>D530+D536</f>
        <v>2709731</v>
      </c>
      <c r="E529" s="323"/>
      <c r="F529" s="324">
        <f>F530+F536</f>
        <v>2709731</v>
      </c>
      <c r="G529" s="323"/>
      <c r="H529" s="324"/>
      <c r="I529" s="227"/>
    </row>
    <row r="530" spans="1:9" ht="12" customHeight="1">
      <c r="A530" s="291"/>
      <c r="B530" s="316" t="s">
        <v>382</v>
      </c>
      <c r="C530" s="452">
        <f>SUM(C531:C534)</f>
        <v>2497231</v>
      </c>
      <c r="D530" s="453">
        <f>SUM(D531:D534)</f>
        <v>2497231</v>
      </c>
      <c r="E530" s="297"/>
      <c r="F530" s="296">
        <f>F531+F533+F534</f>
        <v>2497231</v>
      </c>
      <c r="G530" s="297"/>
      <c r="H530" s="296"/>
      <c r="I530" s="298"/>
    </row>
    <row r="531" spans="1:9" ht="12">
      <c r="A531" s="291"/>
      <c r="B531" s="300" t="s">
        <v>407</v>
      </c>
      <c r="C531" s="301">
        <f>SUM(D531:E531)</f>
        <v>60000</v>
      </c>
      <c r="D531" s="302">
        <f>F531+H531</f>
        <v>60000</v>
      </c>
      <c r="E531" s="303"/>
      <c r="F531" s="321">
        <v>60000</v>
      </c>
      <c r="G531" s="295"/>
      <c r="H531" s="321"/>
      <c r="I531" s="318"/>
    </row>
    <row r="532" spans="1:9" ht="12" customHeight="1">
      <c r="A532" s="291"/>
      <c r="B532" s="300" t="s">
        <v>408</v>
      </c>
      <c r="C532" s="301"/>
      <c r="D532" s="302"/>
      <c r="E532" s="303"/>
      <c r="F532" s="321"/>
      <c r="G532" s="295"/>
      <c r="H532" s="321"/>
      <c r="I532" s="318"/>
    </row>
    <row r="533" spans="1:9" s="307" customFormat="1" ht="11.25" customHeight="1">
      <c r="A533" s="299"/>
      <c r="B533" s="320" t="s">
        <v>394</v>
      </c>
      <c r="C533" s="301">
        <f>SUM(D533:E533)</f>
        <v>800000</v>
      </c>
      <c r="D533" s="302">
        <f>F533+H533</f>
        <v>800000</v>
      </c>
      <c r="E533" s="303"/>
      <c r="F533" s="321">
        <v>800000</v>
      </c>
      <c r="G533" s="303"/>
      <c r="H533" s="321"/>
      <c r="I533" s="325"/>
    </row>
    <row r="534" spans="1:9" ht="14.25" customHeight="1">
      <c r="A534" s="291"/>
      <c r="B534" s="320" t="s">
        <v>383</v>
      </c>
      <c r="C534" s="301">
        <f>SUM(D534:E534)</f>
        <v>1637231</v>
      </c>
      <c r="D534" s="302">
        <f>F534+H534</f>
        <v>1637231</v>
      </c>
      <c r="E534" s="303"/>
      <c r="F534" s="321">
        <v>1637231</v>
      </c>
      <c r="G534" s="295"/>
      <c r="H534" s="321"/>
      <c r="I534" s="318"/>
    </row>
    <row r="535" spans="1:9" ht="12.75" customHeight="1">
      <c r="A535" s="291"/>
      <c r="B535" s="559" t="s">
        <v>410</v>
      </c>
      <c r="C535" s="301">
        <f>SUM(D535:E535)</f>
        <v>483428</v>
      </c>
      <c r="D535" s="302">
        <f>F535+H535</f>
        <v>483428</v>
      </c>
      <c r="E535" s="303"/>
      <c r="F535" s="321">
        <v>483428</v>
      </c>
      <c r="G535" s="295"/>
      <c r="H535" s="321"/>
      <c r="I535" s="318"/>
    </row>
    <row r="536" spans="1:9" ht="11.25" customHeight="1">
      <c r="A536" s="291"/>
      <c r="B536" s="614" t="s">
        <v>378</v>
      </c>
      <c r="C536" s="301">
        <f>SUM(C537:C544)</f>
        <v>212500</v>
      </c>
      <c r="D536" s="302">
        <f>SUM(D537:D544)</f>
        <v>212500</v>
      </c>
      <c r="E536" s="303"/>
      <c r="F536" s="321">
        <f>SUM(F537:F544)</f>
        <v>212500</v>
      </c>
      <c r="G536" s="295"/>
      <c r="H536" s="321"/>
      <c r="I536" s="318"/>
    </row>
    <row r="537" spans="1:9" ht="12" customHeight="1">
      <c r="A537" s="291"/>
      <c r="B537" s="2398" t="s">
        <v>391</v>
      </c>
      <c r="C537" s="301">
        <f>SUM(D537:E537)</f>
        <v>205500</v>
      </c>
      <c r="D537" s="302">
        <f>F537+H537</f>
        <v>205500</v>
      </c>
      <c r="E537" s="303"/>
      <c r="F537" s="321">
        <v>205500</v>
      </c>
      <c r="G537" s="295"/>
      <c r="H537" s="321"/>
      <c r="I537" s="318"/>
    </row>
    <row r="538" spans="1:9" ht="18" customHeight="1" hidden="1">
      <c r="A538" s="395">
        <v>85149</v>
      </c>
      <c r="B538" s="464" t="s">
        <v>467</v>
      </c>
      <c r="C538" s="301">
        <f aca="true" t="shared" si="23" ref="C538:C544">SUM(D538:E538)</f>
        <v>0</v>
      </c>
      <c r="D538" s="302">
        <f aca="true" t="shared" si="24" ref="D538:D544">F538+H538</f>
        <v>0</v>
      </c>
      <c r="E538" s="467"/>
      <c r="F538" s="468">
        <f>SUM(F539)</f>
        <v>0</v>
      </c>
      <c r="G538" s="399"/>
      <c r="H538" s="400"/>
      <c r="I538" s="401"/>
    </row>
    <row r="539" spans="1:9" ht="12.75" customHeight="1" hidden="1">
      <c r="A539" s="579"/>
      <c r="B539" s="580" t="s">
        <v>382</v>
      </c>
      <c r="C539" s="301">
        <f t="shared" si="23"/>
        <v>0</v>
      </c>
      <c r="D539" s="302">
        <f t="shared" si="24"/>
        <v>0</v>
      </c>
      <c r="E539" s="615"/>
      <c r="F539" s="583">
        <f>SUM(F540:F541)</f>
        <v>0</v>
      </c>
      <c r="G539" s="615"/>
      <c r="H539" s="583"/>
      <c r="I539" s="616"/>
    </row>
    <row r="540" spans="1:9" s="307" customFormat="1" ht="12.75" customHeight="1" hidden="1">
      <c r="A540" s="299"/>
      <c r="B540" s="320" t="s">
        <v>394</v>
      </c>
      <c r="C540" s="301">
        <f t="shared" si="23"/>
        <v>0</v>
      </c>
      <c r="D540" s="302">
        <f t="shared" si="24"/>
        <v>0</v>
      </c>
      <c r="E540" s="303"/>
      <c r="F540" s="304"/>
      <c r="G540" s="305"/>
      <c r="H540" s="304"/>
      <c r="I540" s="306"/>
    </row>
    <row r="541" spans="1:9" ht="13.5" customHeight="1" hidden="1">
      <c r="A541" s="291"/>
      <c r="B541" s="320" t="s">
        <v>383</v>
      </c>
      <c r="C541" s="301">
        <f t="shared" si="23"/>
        <v>0</v>
      </c>
      <c r="D541" s="302">
        <f t="shared" si="24"/>
        <v>0</v>
      </c>
      <c r="E541" s="303"/>
      <c r="F541" s="304"/>
      <c r="G541" s="297"/>
      <c r="H541" s="304"/>
      <c r="I541" s="298"/>
    </row>
    <row r="542" spans="1:9" s="315" customFormat="1" ht="12" customHeight="1" hidden="1">
      <c r="A542" s="291"/>
      <c r="B542" s="614" t="s">
        <v>378</v>
      </c>
      <c r="C542" s="301">
        <f t="shared" si="23"/>
        <v>0</v>
      </c>
      <c r="D542" s="302">
        <f t="shared" si="24"/>
        <v>0</v>
      </c>
      <c r="E542" s="295"/>
      <c r="F542" s="317">
        <f>F543</f>
        <v>0</v>
      </c>
      <c r="G542" s="295"/>
      <c r="H542" s="317"/>
      <c r="I542" s="318"/>
    </row>
    <row r="543" spans="1:9" ht="12" customHeight="1" hidden="1">
      <c r="A543" s="416"/>
      <c r="B543" s="433" t="s">
        <v>391</v>
      </c>
      <c r="C543" s="301">
        <f t="shared" si="23"/>
        <v>0</v>
      </c>
      <c r="D543" s="302">
        <f t="shared" si="24"/>
        <v>0</v>
      </c>
      <c r="E543" s="419"/>
      <c r="F543" s="420"/>
      <c r="G543" s="421"/>
      <c r="H543" s="435"/>
      <c r="I543" s="428"/>
    </row>
    <row r="544" spans="1:9" ht="12" customHeight="1">
      <c r="A544" s="416"/>
      <c r="B544" s="349" t="s">
        <v>379</v>
      </c>
      <c r="C544" s="301">
        <f t="shared" si="23"/>
        <v>7000</v>
      </c>
      <c r="D544" s="302">
        <f t="shared" si="24"/>
        <v>7000</v>
      </c>
      <c r="E544" s="419"/>
      <c r="F544" s="420">
        <v>7000</v>
      </c>
      <c r="G544" s="421"/>
      <c r="H544" s="435"/>
      <c r="I544" s="428"/>
    </row>
    <row r="545" spans="1:9" ht="96">
      <c r="A545" s="346">
        <v>85156</v>
      </c>
      <c r="B545" s="470" t="s">
        <v>471</v>
      </c>
      <c r="C545" s="322">
        <f>SUM(C546)</f>
        <v>15000</v>
      </c>
      <c r="D545" s="225"/>
      <c r="E545" s="323">
        <f>I545</f>
        <v>15000</v>
      </c>
      <c r="F545" s="324"/>
      <c r="G545" s="323"/>
      <c r="H545" s="324"/>
      <c r="I545" s="227">
        <f>I546</f>
        <v>15000</v>
      </c>
    </row>
    <row r="546" spans="1:9" ht="14.25" customHeight="1">
      <c r="A546" s="291"/>
      <c r="B546" s="316" t="s">
        <v>382</v>
      </c>
      <c r="C546" s="452">
        <f>SUM(C547:C549)</f>
        <v>15000</v>
      </c>
      <c r="D546" s="519"/>
      <c r="E546" s="453">
        <f>SUM(E547:E549)</f>
        <v>15000</v>
      </c>
      <c r="F546" s="296"/>
      <c r="G546" s="297"/>
      <c r="H546" s="296"/>
      <c r="I546" s="298">
        <f>I549+I548</f>
        <v>15000</v>
      </c>
    </row>
    <row r="547" spans="1:9" s="307" customFormat="1" ht="13.5" customHeight="1" hidden="1">
      <c r="A547" s="299"/>
      <c r="B547" s="300" t="s">
        <v>407</v>
      </c>
      <c r="C547" s="301"/>
      <c r="D547" s="302"/>
      <c r="E547" s="303"/>
      <c r="F547" s="321"/>
      <c r="G547" s="303"/>
      <c r="H547" s="321"/>
      <c r="I547" s="325"/>
    </row>
    <row r="548" spans="1:9" s="307" customFormat="1" ht="12" customHeight="1" hidden="1">
      <c r="A548" s="299"/>
      <c r="B548" s="300" t="s">
        <v>408</v>
      </c>
      <c r="C548" s="301"/>
      <c r="D548" s="302"/>
      <c r="E548" s="303"/>
      <c r="F548" s="321"/>
      <c r="G548" s="303"/>
      <c r="H548" s="321"/>
      <c r="I548" s="325"/>
    </row>
    <row r="549" spans="1:9" ht="12.75" customHeight="1">
      <c r="A549" s="416"/>
      <c r="B549" s="433" t="s">
        <v>383</v>
      </c>
      <c r="C549" s="417">
        <f>SUM(D549+E549)</f>
        <v>15000</v>
      </c>
      <c r="D549" s="418"/>
      <c r="E549" s="521">
        <f>I549+F549</f>
        <v>15000</v>
      </c>
      <c r="F549" s="420"/>
      <c r="G549" s="489"/>
      <c r="H549" s="420"/>
      <c r="I549" s="428">
        <v>15000</v>
      </c>
    </row>
    <row r="550" spans="1:9" ht="12.75" customHeight="1" hidden="1">
      <c r="A550" s="291"/>
      <c r="B550" s="320" t="s">
        <v>390</v>
      </c>
      <c r="C550" s="301">
        <f>SUM(D550:E550)</f>
        <v>0</v>
      </c>
      <c r="D550" s="302"/>
      <c r="E550" s="303"/>
      <c r="F550" s="321"/>
      <c r="G550" s="295"/>
      <c r="H550" s="321"/>
      <c r="I550" s="318"/>
    </row>
    <row r="551" spans="1:9" s="451" customFormat="1" ht="15" customHeight="1">
      <c r="A551" s="346">
        <v>85195</v>
      </c>
      <c r="B551" s="470" t="s">
        <v>389</v>
      </c>
      <c r="C551" s="322">
        <f>SUM(C552)+C556</f>
        <v>678900</v>
      </c>
      <c r="D551" s="225">
        <f>SUM(D552)+D556</f>
        <v>678900</v>
      </c>
      <c r="E551" s="323"/>
      <c r="F551" s="324">
        <f>SUM(F552)+F556</f>
        <v>678900</v>
      </c>
      <c r="G551" s="323"/>
      <c r="H551" s="324"/>
      <c r="I551" s="227"/>
    </row>
    <row r="552" spans="1:9" ht="13.5" customHeight="1">
      <c r="A552" s="291"/>
      <c r="B552" s="316" t="s">
        <v>382</v>
      </c>
      <c r="C552" s="452">
        <f>SUM(C553:C554)</f>
        <v>629900</v>
      </c>
      <c r="D552" s="453">
        <f>SUM(D553:D554)</f>
        <v>629900</v>
      </c>
      <c r="E552" s="297"/>
      <c r="F552" s="296">
        <f>SUM(F553:F554)</f>
        <v>629900</v>
      </c>
      <c r="G552" s="297"/>
      <c r="H552" s="296"/>
      <c r="I552" s="298"/>
    </row>
    <row r="553" spans="1:9" s="307" customFormat="1" ht="12" customHeight="1">
      <c r="A553" s="299"/>
      <c r="B553" s="320" t="s">
        <v>394</v>
      </c>
      <c r="C553" s="301">
        <f>SUM(D553:E553)</f>
        <v>144000</v>
      </c>
      <c r="D553" s="302">
        <f>F553+H553</f>
        <v>144000</v>
      </c>
      <c r="E553" s="303"/>
      <c r="F553" s="321">
        <v>144000</v>
      </c>
      <c r="G553" s="303"/>
      <c r="H553" s="321"/>
      <c r="I553" s="325"/>
    </row>
    <row r="554" spans="1:9" ht="12" customHeight="1">
      <c r="A554" s="291"/>
      <c r="B554" s="320" t="s">
        <v>383</v>
      </c>
      <c r="C554" s="301">
        <f>SUM(D554:E554)</f>
        <v>485900</v>
      </c>
      <c r="D554" s="302">
        <f>F554+H554</f>
        <v>485900</v>
      </c>
      <c r="E554" s="303"/>
      <c r="F554" s="321">
        <v>485900</v>
      </c>
      <c r="G554" s="295"/>
      <c r="H554" s="321"/>
      <c r="I554" s="318"/>
    </row>
    <row r="555" spans="1:9" ht="12" customHeight="1">
      <c r="A555" s="291"/>
      <c r="B555" s="559" t="s">
        <v>410</v>
      </c>
      <c r="C555" s="301">
        <f>SUM(D555:E555)</f>
        <v>36000</v>
      </c>
      <c r="D555" s="302">
        <f>F555+H555</f>
        <v>36000</v>
      </c>
      <c r="E555" s="303"/>
      <c r="F555" s="321">
        <v>36000</v>
      </c>
      <c r="G555" s="295"/>
      <c r="H555" s="321"/>
      <c r="I555" s="318"/>
    </row>
    <row r="556" spans="1:9" s="315" customFormat="1" ht="10.5" customHeight="1">
      <c r="A556" s="291"/>
      <c r="B556" s="614" t="s">
        <v>378</v>
      </c>
      <c r="C556" s="293">
        <f>C557+C559</f>
        <v>49000</v>
      </c>
      <c r="D556" s="294">
        <f>D557+D559</f>
        <v>49000</v>
      </c>
      <c r="E556" s="295"/>
      <c r="F556" s="317">
        <f>F557+F559</f>
        <v>49000</v>
      </c>
      <c r="G556" s="295"/>
      <c r="H556" s="317">
        <f>H557</f>
        <v>0</v>
      </c>
      <c r="I556" s="318"/>
    </row>
    <row r="557" spans="1:9" ht="11.25" customHeight="1">
      <c r="A557" s="291"/>
      <c r="B557" s="320" t="s">
        <v>391</v>
      </c>
      <c r="C557" s="293">
        <f>SUM(D557:E557)</f>
        <v>36000</v>
      </c>
      <c r="D557" s="294">
        <f>F557+H557</f>
        <v>36000</v>
      </c>
      <c r="E557" s="295"/>
      <c r="F557" s="317">
        <v>36000</v>
      </c>
      <c r="G557" s="297"/>
      <c r="H557" s="304"/>
      <c r="I557" s="325"/>
    </row>
    <row r="558" spans="1:9" ht="13.5" customHeight="1">
      <c r="A558" s="291"/>
      <c r="B558" s="292" t="s">
        <v>395</v>
      </c>
      <c r="C558" s="301">
        <f>SUM(D558:E558)</f>
        <v>36000</v>
      </c>
      <c r="D558" s="302">
        <f>F558+H558</f>
        <v>36000</v>
      </c>
      <c r="E558" s="347"/>
      <c r="F558" s="321">
        <v>36000</v>
      </c>
      <c r="G558" s="628"/>
      <c r="H558" s="362"/>
      <c r="I558" s="325"/>
    </row>
    <row r="559" spans="1:9" ht="13.5" customHeight="1" thickBot="1">
      <c r="A559" s="291"/>
      <c r="B559" s="349" t="s">
        <v>379</v>
      </c>
      <c r="C559" s="301">
        <f>SUM(D559:E559)</f>
        <v>13000</v>
      </c>
      <c r="D559" s="302">
        <f>F559+H559</f>
        <v>13000</v>
      </c>
      <c r="E559" s="347"/>
      <c r="F559" s="321">
        <v>13000</v>
      </c>
      <c r="G559" s="628"/>
      <c r="H559" s="362"/>
      <c r="I559" s="325"/>
    </row>
    <row r="560" spans="1:9" s="290" customFormat="1" ht="27.75" customHeight="1" thickBot="1" thickTop="1">
      <c r="A560" s="345">
        <v>852</v>
      </c>
      <c r="B560" s="285" t="s">
        <v>277</v>
      </c>
      <c r="C560" s="286">
        <f aca="true" t="shared" si="25" ref="C560:I560">C570+C582+C589+C607+C612+C615+C618+C625+C634+C641+C653+C647+C604+C579+C595</f>
        <v>47365878</v>
      </c>
      <c r="D560" s="287">
        <f t="shared" si="25"/>
        <v>24715378</v>
      </c>
      <c r="E560" s="617">
        <f t="shared" si="25"/>
        <v>22650500</v>
      </c>
      <c r="F560" s="289">
        <f t="shared" si="25"/>
        <v>18789340</v>
      </c>
      <c r="G560" s="517">
        <f t="shared" si="25"/>
        <v>22634000</v>
      </c>
      <c r="H560" s="287">
        <f t="shared" si="25"/>
        <v>5926038</v>
      </c>
      <c r="I560" s="234">
        <f t="shared" si="25"/>
        <v>16500</v>
      </c>
    </row>
    <row r="561" spans="1:9" s="290" customFormat="1" ht="13.5" thickTop="1">
      <c r="A561" s="499"/>
      <c r="B561" s="352" t="s">
        <v>382</v>
      </c>
      <c r="C561" s="501">
        <f>D561+E561</f>
        <v>46815878</v>
      </c>
      <c r="D561" s="618">
        <f>F561+H561</f>
        <v>24165378</v>
      </c>
      <c r="E561" s="357">
        <f>G561+I561</f>
        <v>22650500</v>
      </c>
      <c r="F561" s="358">
        <f>F571+F580+F583+F590+F596+F605+F608+F613+F619+F626+F635+F642+F648+F654</f>
        <v>18239340</v>
      </c>
      <c r="G561" s="357">
        <f>G571+G580+G583+G590+G596+G605+G608+G613+G619+G626+G635+G642+G648+G654</f>
        <v>22634000</v>
      </c>
      <c r="H561" s="618">
        <f>H571+H580+H583+H590+H596+H605+H608+H613+H619+H626+H635+H642+H648+H654</f>
        <v>5926038</v>
      </c>
      <c r="I561" s="359">
        <f>I571+I580+I583+I590+I596+I605+I608+I613+I619+I626+I635+I642+I648+I654</f>
        <v>16500</v>
      </c>
    </row>
    <row r="562" spans="1:9" s="451" customFormat="1" ht="12.75">
      <c r="A562" s="299"/>
      <c r="B562" s="300" t="s">
        <v>407</v>
      </c>
      <c r="C562" s="361">
        <f>D562+E562</f>
        <v>9105849</v>
      </c>
      <c r="D562" s="362">
        <f>F562+H562</f>
        <v>7946970</v>
      </c>
      <c r="E562" s="305">
        <f>G562+I562</f>
        <v>1158879</v>
      </c>
      <c r="F562" s="362">
        <f>F572+F584+F591+F597+F620+F627+F636+F643+F649+F655+F609</f>
        <v>6412590</v>
      </c>
      <c r="G562" s="305">
        <f>G572+G584+G591+G597+G620+G627+G636+G643+G649+G655</f>
        <v>1158879</v>
      </c>
      <c r="H562" s="362">
        <f>H572+H584+H591+H597+H620+H627+H636+H643+H649</f>
        <v>1534380</v>
      </c>
      <c r="I562" s="306">
        <f>I655</f>
        <v>0</v>
      </c>
    </row>
    <row r="563" spans="1:9" s="451" customFormat="1" ht="12.75">
      <c r="A563" s="299"/>
      <c r="B563" s="300" t="s">
        <v>408</v>
      </c>
      <c r="C563" s="361"/>
      <c r="D563" s="362"/>
      <c r="E563" s="305"/>
      <c r="F563" s="362"/>
      <c r="G563" s="305"/>
      <c r="H563" s="473"/>
      <c r="I563" s="306"/>
    </row>
    <row r="564" spans="1:9" s="451" customFormat="1" ht="12.75">
      <c r="A564" s="299"/>
      <c r="B564" s="320" t="s">
        <v>394</v>
      </c>
      <c r="C564" s="361">
        <f aca="true" t="shared" si="26" ref="C564:C569">D564+E564</f>
        <v>1434700</v>
      </c>
      <c r="D564" s="473">
        <f>F564+H564</f>
        <v>1215700</v>
      </c>
      <c r="E564" s="305">
        <f>G564+I564</f>
        <v>219000</v>
      </c>
      <c r="F564" s="362">
        <f>F574+F593+F638+F658+F586</f>
        <v>438200</v>
      </c>
      <c r="G564" s="305">
        <f>G574+G593+G638+G658+G586</f>
        <v>219000</v>
      </c>
      <c r="H564" s="304">
        <f>H574+H593+H638+H658+H586</f>
        <v>777500</v>
      </c>
      <c r="I564" s="306"/>
    </row>
    <row r="565" spans="1:9" s="451" customFormat="1" ht="12.75">
      <c r="A565" s="299"/>
      <c r="B565" s="320" t="s">
        <v>383</v>
      </c>
      <c r="C565" s="361">
        <f t="shared" si="26"/>
        <v>36275329</v>
      </c>
      <c r="D565" s="473">
        <f>F565+H565</f>
        <v>15002708</v>
      </c>
      <c r="E565" s="305">
        <f>G565+I565</f>
        <v>21272621</v>
      </c>
      <c r="F565" s="362">
        <f>F575+F581+F587+F600+F606+F611+F614+F622+F629+F639+F645+F652+F659</f>
        <v>11388550</v>
      </c>
      <c r="G565" s="305">
        <f>G575+G581+G587+G600+G606+G611+G614+G622+G629+G639+G645+G652+G659</f>
        <v>21256121</v>
      </c>
      <c r="H565" s="362">
        <f>H575+H581+H587+H594+H600+H606+H611+H614+H622+H629+H639+H645+H652+H659</f>
        <v>3614158</v>
      </c>
      <c r="I565" s="306">
        <f>I575+I581+I587+I594+I600+I606+I611+I614+I622+I629+I639+I645+I652+I659</f>
        <v>16500</v>
      </c>
    </row>
    <row r="566" spans="1:9" s="315" customFormat="1" ht="12">
      <c r="A566" s="291"/>
      <c r="B566" s="559" t="s">
        <v>410</v>
      </c>
      <c r="C566" s="293">
        <f t="shared" si="26"/>
        <v>73600</v>
      </c>
      <c r="D566" s="494">
        <f>F566+H566</f>
        <v>73600</v>
      </c>
      <c r="E566" s="295"/>
      <c r="F566" s="294">
        <f>F576+F588+F630+F640</f>
        <v>69000</v>
      </c>
      <c r="G566" s="295"/>
      <c r="H566" s="494">
        <f>H576+H588+H630+H640+H646</f>
        <v>4600</v>
      </c>
      <c r="I566" s="318"/>
    </row>
    <row r="567" spans="1:9" s="290" customFormat="1" ht="12.75">
      <c r="A567" s="351"/>
      <c r="B567" s="370" t="s">
        <v>378</v>
      </c>
      <c r="C567" s="353">
        <f t="shared" si="26"/>
        <v>550000</v>
      </c>
      <c r="D567" s="354">
        <f>F567+H567</f>
        <v>550000</v>
      </c>
      <c r="E567" s="355"/>
      <c r="F567" s="354">
        <f>F623+F631+F660+F577</f>
        <v>550000</v>
      </c>
      <c r="G567" s="355"/>
      <c r="H567" s="235"/>
      <c r="I567" s="372"/>
    </row>
    <row r="568" spans="1:9" s="451" customFormat="1" ht="12" customHeight="1">
      <c r="A568" s="299"/>
      <c r="B568" s="559" t="s">
        <v>391</v>
      </c>
      <c r="C568" s="361">
        <f t="shared" si="26"/>
        <v>400000</v>
      </c>
      <c r="D568" s="362">
        <f>F568+H568</f>
        <v>400000</v>
      </c>
      <c r="E568" s="305"/>
      <c r="F568" s="362">
        <f>F661+F632</f>
        <v>400000</v>
      </c>
      <c r="G568" s="305"/>
      <c r="H568" s="473"/>
      <c r="I568" s="306"/>
    </row>
    <row r="569" spans="1:9" s="451" customFormat="1" ht="17.25" customHeight="1">
      <c r="A569" s="432"/>
      <c r="B569" s="349" t="s">
        <v>379</v>
      </c>
      <c r="C569" s="509">
        <f t="shared" si="26"/>
        <v>150000</v>
      </c>
      <c r="D569" s="605">
        <f>F569+H569</f>
        <v>150000</v>
      </c>
      <c r="E569" s="434"/>
      <c r="F569" s="510">
        <f>F624+F633+F662+F578</f>
        <v>150000</v>
      </c>
      <c r="G569" s="434"/>
      <c r="H569" s="605"/>
      <c r="I569" s="436"/>
    </row>
    <row r="570" spans="1:9" s="315" customFormat="1" ht="27.75" customHeight="1">
      <c r="A570" s="395">
        <v>85201</v>
      </c>
      <c r="B570" s="464" t="s">
        <v>472</v>
      </c>
      <c r="C570" s="397">
        <f>SUM(C571+C577)</f>
        <v>1251544</v>
      </c>
      <c r="D570" s="619">
        <f>SUM(D571+D577)</f>
        <v>1251544</v>
      </c>
      <c r="E570" s="620"/>
      <c r="F570" s="400">
        <f>SUM(F571+F577)</f>
        <v>161258</v>
      </c>
      <c r="G570" s="399"/>
      <c r="H570" s="621">
        <f>SUM(H571+H577)</f>
        <v>1090286</v>
      </c>
      <c r="I570" s="401"/>
    </row>
    <row r="571" spans="1:9" ht="12.75">
      <c r="A571" s="291"/>
      <c r="B571" s="316" t="s">
        <v>382</v>
      </c>
      <c r="C571" s="452">
        <f>SUM(C572:C575)</f>
        <v>1251544</v>
      </c>
      <c r="D571" s="622">
        <f>SUM(D572:D575)</f>
        <v>1251544</v>
      </c>
      <c r="E571" s="623"/>
      <c r="F571" s="296">
        <f>SUM(F572:F575)</f>
        <v>161258</v>
      </c>
      <c r="G571" s="297"/>
      <c r="H571" s="427">
        <f>SUM(H572:H575)</f>
        <v>1090286</v>
      </c>
      <c r="I571" s="298"/>
    </row>
    <row r="572" spans="1:9" s="307" customFormat="1" ht="12">
      <c r="A572" s="299"/>
      <c r="B572" s="300" t="s">
        <v>407</v>
      </c>
      <c r="C572" s="301">
        <f>SUM(D572:E572)</f>
        <v>289819</v>
      </c>
      <c r="D572" s="347">
        <f>F572+H572</f>
        <v>289819</v>
      </c>
      <c r="E572" s="603"/>
      <c r="F572" s="321">
        <v>116633</v>
      </c>
      <c r="G572" s="303"/>
      <c r="H572" s="348">
        <v>173186</v>
      </c>
      <c r="I572" s="325"/>
    </row>
    <row r="573" spans="1:9" s="307" customFormat="1" ht="12">
      <c r="A573" s="299"/>
      <c r="B573" s="300" t="s">
        <v>408</v>
      </c>
      <c r="C573" s="301"/>
      <c r="D573" s="347"/>
      <c r="E573" s="603"/>
      <c r="F573" s="321"/>
      <c r="G573" s="303"/>
      <c r="H573" s="348"/>
      <c r="I573" s="325"/>
    </row>
    <row r="574" spans="1:9" s="307" customFormat="1" ht="12">
      <c r="A574" s="299"/>
      <c r="B574" s="320" t="s">
        <v>394</v>
      </c>
      <c r="C574" s="301">
        <f>SUM(D574:E574)</f>
        <v>458000</v>
      </c>
      <c r="D574" s="347">
        <f>F574+H574</f>
        <v>458000</v>
      </c>
      <c r="E574" s="603"/>
      <c r="F574" s="321"/>
      <c r="G574" s="303"/>
      <c r="H574" s="348">
        <v>458000</v>
      </c>
      <c r="I574" s="325"/>
    </row>
    <row r="575" spans="1:9" ht="12">
      <c r="A575" s="291"/>
      <c r="B575" s="320" t="s">
        <v>383</v>
      </c>
      <c r="C575" s="301">
        <f>SUM(D575:E575)</f>
        <v>503725</v>
      </c>
      <c r="D575" s="347">
        <f>F575+H575</f>
        <v>503725</v>
      </c>
      <c r="E575" s="603"/>
      <c r="F575" s="321">
        <v>44625</v>
      </c>
      <c r="G575" s="295"/>
      <c r="H575" s="348">
        <v>459100</v>
      </c>
      <c r="I575" s="325"/>
    </row>
    <row r="576" spans="1:9" ht="12" customHeight="1">
      <c r="A576" s="416"/>
      <c r="B576" s="624" t="s">
        <v>410</v>
      </c>
      <c r="C576" s="417">
        <f>SUM(D576:E576)</f>
        <v>3600</v>
      </c>
      <c r="D576" s="553">
        <f>F576+H576</f>
        <v>3600</v>
      </c>
      <c r="E576" s="606"/>
      <c r="F576" s="420"/>
      <c r="G576" s="489"/>
      <c r="H576" s="553">
        <v>3600</v>
      </c>
      <c r="I576" s="428"/>
    </row>
    <row r="577" spans="1:9" ht="12" hidden="1">
      <c r="A577" s="291"/>
      <c r="B577" s="292" t="s">
        <v>378</v>
      </c>
      <c r="C577" s="293">
        <f>SUM(C578)</f>
        <v>0</v>
      </c>
      <c r="D577" s="294">
        <f>SUM(D578)</f>
        <v>0</v>
      </c>
      <c r="E577" s="295"/>
      <c r="F577" s="317">
        <f>SUM(F578)</f>
        <v>0</v>
      </c>
      <c r="G577" s="295"/>
      <c r="H577" s="317"/>
      <c r="I577" s="318"/>
    </row>
    <row r="578" spans="1:9" s="307" customFormat="1" ht="12" hidden="1">
      <c r="A578" s="299"/>
      <c r="B578" s="300" t="s">
        <v>379</v>
      </c>
      <c r="C578" s="293">
        <f>SUM(D578:E578)</f>
        <v>0</v>
      </c>
      <c r="D578" s="302">
        <f>F578+H578</f>
        <v>0</v>
      </c>
      <c r="E578" s="303"/>
      <c r="F578" s="321"/>
      <c r="G578" s="303"/>
      <c r="H578" s="321"/>
      <c r="I578" s="325"/>
    </row>
    <row r="579" spans="1:9" ht="22.5" customHeight="1">
      <c r="A579" s="346">
        <v>85202</v>
      </c>
      <c r="B579" s="470" t="s">
        <v>473</v>
      </c>
      <c r="C579" s="322">
        <f>SUM(C580)</f>
        <v>1060800</v>
      </c>
      <c r="D579" s="225">
        <f>D580</f>
        <v>1060800</v>
      </c>
      <c r="E579" s="323"/>
      <c r="F579" s="324">
        <f>F580</f>
        <v>1060800</v>
      </c>
      <c r="G579" s="323"/>
      <c r="H579" s="324"/>
      <c r="I579" s="227"/>
    </row>
    <row r="580" spans="1:9" s="471" customFormat="1" ht="12.75">
      <c r="A580" s="625"/>
      <c r="B580" s="626" t="s">
        <v>421</v>
      </c>
      <c r="C580" s="452">
        <f>SUM(C581)</f>
        <v>1060800</v>
      </c>
      <c r="D580" s="453">
        <f>SUM(D581)</f>
        <v>1060800</v>
      </c>
      <c r="E580" s="297"/>
      <c r="F580" s="296">
        <f>F581</f>
        <v>1060800</v>
      </c>
      <c r="G580" s="297"/>
      <c r="H580" s="296"/>
      <c r="I580" s="298"/>
    </row>
    <row r="581" spans="1:9" s="307" customFormat="1" ht="12">
      <c r="A581" s="432"/>
      <c r="B581" s="349" t="s">
        <v>383</v>
      </c>
      <c r="C581" s="417">
        <f>SUM(D581:E581)</f>
        <v>1060800</v>
      </c>
      <c r="D581" s="302">
        <f>F581+H581</f>
        <v>1060800</v>
      </c>
      <c r="E581" s="419"/>
      <c r="F581" s="420">
        <v>1060800</v>
      </c>
      <c r="G581" s="419"/>
      <c r="H581" s="420"/>
      <c r="I581" s="428"/>
    </row>
    <row r="582" spans="1:9" ht="15" customHeight="1">
      <c r="A582" s="346">
        <v>85203</v>
      </c>
      <c r="B582" s="470" t="s">
        <v>474</v>
      </c>
      <c r="C582" s="322">
        <f>SUM(C583)</f>
        <v>1216893</v>
      </c>
      <c r="D582" s="225">
        <f>SUM(D583)</f>
        <v>515893</v>
      </c>
      <c r="E582" s="323">
        <f>SUM(E583)</f>
        <v>701000</v>
      </c>
      <c r="F582" s="324">
        <f>SUM(F583)</f>
        <v>515893</v>
      </c>
      <c r="G582" s="323">
        <f>SUM(G583)</f>
        <v>701000</v>
      </c>
      <c r="H582" s="324"/>
      <c r="I582" s="227"/>
    </row>
    <row r="583" spans="1:9" ht="12.75">
      <c r="A583" s="291"/>
      <c r="B583" s="292" t="s">
        <v>421</v>
      </c>
      <c r="C583" s="452">
        <f>SUM(C584:C587)</f>
        <v>1216893</v>
      </c>
      <c r="D583" s="453">
        <f>SUM(D584:D587)</f>
        <v>515893</v>
      </c>
      <c r="E583" s="297">
        <f>SUM(E584:E587)</f>
        <v>701000</v>
      </c>
      <c r="F583" s="296">
        <f>SUM(F584:F587)</f>
        <v>515893</v>
      </c>
      <c r="G583" s="297">
        <f>SUM(G584:G587)</f>
        <v>701000</v>
      </c>
      <c r="H583" s="296"/>
      <c r="I583" s="298"/>
    </row>
    <row r="584" spans="1:9" s="307" customFormat="1" ht="10.5" customHeight="1">
      <c r="A584" s="299"/>
      <c r="B584" s="300" t="s">
        <v>407</v>
      </c>
      <c r="C584" s="301">
        <f>SUM(D584:E584)</f>
        <v>491252</v>
      </c>
      <c r="D584" s="302">
        <f>F584+H584</f>
        <v>138893</v>
      </c>
      <c r="E584" s="303">
        <f>G584+I584</f>
        <v>352359</v>
      </c>
      <c r="F584" s="321">
        <v>138893</v>
      </c>
      <c r="G584" s="303">
        <v>352359</v>
      </c>
      <c r="H584" s="321"/>
      <c r="I584" s="325"/>
    </row>
    <row r="585" spans="1:9" s="307" customFormat="1" ht="10.5" customHeight="1">
      <c r="A585" s="299"/>
      <c r="B585" s="300" t="s">
        <v>408</v>
      </c>
      <c r="C585" s="301"/>
      <c r="D585" s="302"/>
      <c r="E585" s="303"/>
      <c r="F585" s="321"/>
      <c r="G585" s="303"/>
      <c r="H585" s="321"/>
      <c r="I585" s="325"/>
    </row>
    <row r="586" spans="1:9" s="307" customFormat="1" ht="12">
      <c r="A586" s="299"/>
      <c r="B586" s="320" t="s">
        <v>394</v>
      </c>
      <c r="C586" s="301">
        <f>SUM(D586:E586)</f>
        <v>507200</v>
      </c>
      <c r="D586" s="302">
        <f>F586+H586</f>
        <v>288200</v>
      </c>
      <c r="E586" s="303">
        <f>G586+I586</f>
        <v>219000</v>
      </c>
      <c r="F586" s="321">
        <v>288200</v>
      </c>
      <c r="G586" s="303">
        <v>219000</v>
      </c>
      <c r="H586" s="348"/>
      <c r="I586" s="325"/>
    </row>
    <row r="587" spans="1:9" s="307" customFormat="1" ht="10.5" customHeight="1">
      <c r="A587" s="299"/>
      <c r="B587" s="300" t="s">
        <v>383</v>
      </c>
      <c r="C587" s="301">
        <f>SUM(D587:E587)</f>
        <v>218441</v>
      </c>
      <c r="D587" s="302">
        <f>F587+H587</f>
        <v>88800</v>
      </c>
      <c r="E587" s="303">
        <f>G587+I587</f>
        <v>129641</v>
      </c>
      <c r="F587" s="321">
        <v>88800</v>
      </c>
      <c r="G587" s="303">
        <v>129641</v>
      </c>
      <c r="H587" s="321"/>
      <c r="I587" s="325"/>
    </row>
    <row r="588" spans="1:9" s="307" customFormat="1" ht="12" hidden="1">
      <c r="A588" s="432"/>
      <c r="B588" s="349" t="s">
        <v>410</v>
      </c>
      <c r="C588" s="417">
        <f>SUM(D588:E588)</f>
        <v>0</v>
      </c>
      <c r="D588" s="553">
        <f>F588+H588</f>
        <v>0</v>
      </c>
      <c r="E588" s="419"/>
      <c r="F588" s="420"/>
      <c r="G588" s="419"/>
      <c r="H588" s="420"/>
      <c r="I588" s="428"/>
    </row>
    <row r="589" spans="1:9" s="315" customFormat="1" ht="15" customHeight="1">
      <c r="A589" s="346">
        <v>85204</v>
      </c>
      <c r="B589" s="470" t="s">
        <v>475</v>
      </c>
      <c r="C589" s="322">
        <f>SUM(C590)</f>
        <v>3630252</v>
      </c>
      <c r="D589" s="491">
        <f>SUM(D590)</f>
        <v>3630252</v>
      </c>
      <c r="E589" s="323"/>
      <c r="F589" s="324"/>
      <c r="G589" s="323"/>
      <c r="H589" s="549">
        <f>SUM(H590)</f>
        <v>3630252</v>
      </c>
      <c r="I589" s="227"/>
    </row>
    <row r="590" spans="1:9" ht="12" customHeight="1">
      <c r="A590" s="291"/>
      <c r="B590" s="292" t="s">
        <v>421</v>
      </c>
      <c r="C590" s="452">
        <f>SUM(C591:C594)</f>
        <v>3630252</v>
      </c>
      <c r="D590" s="622">
        <f>SUM(D591:D594)</f>
        <v>3630252</v>
      </c>
      <c r="E590" s="297"/>
      <c r="F590" s="296"/>
      <c r="G590" s="297"/>
      <c r="H590" s="427">
        <f>SUM(H591:H594)</f>
        <v>3630252</v>
      </c>
      <c r="I590" s="298"/>
    </row>
    <row r="591" spans="1:9" s="307" customFormat="1" ht="10.5" customHeight="1">
      <c r="A591" s="299"/>
      <c r="B591" s="300" t="s">
        <v>407</v>
      </c>
      <c r="C591" s="301">
        <f>SUM(D591:E591)</f>
        <v>469174</v>
      </c>
      <c r="D591" s="347">
        <f>F591+H591</f>
        <v>469174</v>
      </c>
      <c r="E591" s="303"/>
      <c r="F591" s="321"/>
      <c r="G591" s="303"/>
      <c r="H591" s="348">
        <v>469174</v>
      </c>
      <c r="I591" s="325"/>
    </row>
    <row r="592" spans="1:9" s="307" customFormat="1" ht="11.25" customHeight="1">
      <c r="A592" s="299"/>
      <c r="B592" s="300" t="s">
        <v>408</v>
      </c>
      <c r="C592" s="301"/>
      <c r="D592" s="347"/>
      <c r="E592" s="303"/>
      <c r="F592" s="321"/>
      <c r="G592" s="303"/>
      <c r="H592" s="348"/>
      <c r="I592" s="325"/>
    </row>
    <row r="593" spans="1:9" s="307" customFormat="1" ht="11.25" customHeight="1">
      <c r="A593" s="299"/>
      <c r="B593" s="320" t="s">
        <v>394</v>
      </c>
      <c r="C593" s="301">
        <f>SUM(D593:E593)</f>
        <v>123500</v>
      </c>
      <c r="D593" s="347">
        <f>F593+H593</f>
        <v>123500</v>
      </c>
      <c r="E593" s="303"/>
      <c r="F593" s="321"/>
      <c r="G593" s="303"/>
      <c r="H593" s="348">
        <v>123500</v>
      </c>
      <c r="I593" s="325"/>
    </row>
    <row r="594" spans="1:9" s="307" customFormat="1" ht="15" customHeight="1">
      <c r="A594" s="299"/>
      <c r="B594" s="300" t="s">
        <v>383</v>
      </c>
      <c r="C594" s="301">
        <f>SUM(D594:E594)</f>
        <v>3037578</v>
      </c>
      <c r="D594" s="347">
        <f>F594+H594</f>
        <v>3037578</v>
      </c>
      <c r="E594" s="419"/>
      <c r="F594" s="321"/>
      <c r="G594" s="303"/>
      <c r="H594" s="348">
        <v>3037578</v>
      </c>
      <c r="I594" s="325"/>
    </row>
    <row r="595" spans="1:9" s="307" customFormat="1" ht="73.5" customHeight="1">
      <c r="A595" s="346">
        <v>85212</v>
      </c>
      <c r="B595" s="470" t="s">
        <v>476</v>
      </c>
      <c r="C595" s="322">
        <f>C596+C601</f>
        <v>20236635</v>
      </c>
      <c r="D595" s="491">
        <f>SUM(D596)</f>
        <v>311635</v>
      </c>
      <c r="E595" s="323">
        <f>E596+E601</f>
        <v>19925000</v>
      </c>
      <c r="F595" s="226">
        <f>SUM(F596)</f>
        <v>311635</v>
      </c>
      <c r="G595" s="627">
        <f>G596+G601</f>
        <v>19925000</v>
      </c>
      <c r="H595" s="549"/>
      <c r="I595" s="227"/>
    </row>
    <row r="596" spans="1:9" s="307" customFormat="1" ht="14.25" customHeight="1">
      <c r="A596" s="366"/>
      <c r="B596" s="292" t="s">
        <v>421</v>
      </c>
      <c r="C596" s="452">
        <f>SUM(C597:C600)</f>
        <v>20236635</v>
      </c>
      <c r="D596" s="622">
        <f>SUM(D597:D600)</f>
        <v>311635</v>
      </c>
      <c r="E596" s="297">
        <f>SUM(E597:E600)</f>
        <v>19925000</v>
      </c>
      <c r="F596" s="623">
        <f>SUM(F597:F600)</f>
        <v>311635</v>
      </c>
      <c r="G596" s="628">
        <f>SUM(G597:G600)</f>
        <v>19925000</v>
      </c>
      <c r="H596" s="296"/>
      <c r="I596" s="298"/>
    </row>
    <row r="597" spans="1:9" s="307" customFormat="1" ht="13.5" customHeight="1">
      <c r="A597" s="299"/>
      <c r="B597" s="300" t="s">
        <v>407</v>
      </c>
      <c r="C597" s="301">
        <f>SUM(D597:E597)</f>
        <v>929035</v>
      </c>
      <c r="D597" s="302">
        <f>F597+H597</f>
        <v>245935</v>
      </c>
      <c r="E597" s="303">
        <f>G597+I597</f>
        <v>683100</v>
      </c>
      <c r="F597" s="603">
        <v>245935</v>
      </c>
      <c r="G597" s="514">
        <v>683100</v>
      </c>
      <c r="H597" s="321"/>
      <c r="I597" s="325"/>
    </row>
    <row r="598" spans="1:9" s="307" customFormat="1" ht="13.5" customHeight="1">
      <c r="A598" s="299"/>
      <c r="B598" s="300" t="s">
        <v>408</v>
      </c>
      <c r="C598" s="301"/>
      <c r="D598" s="302"/>
      <c r="E598" s="303"/>
      <c r="F598" s="603"/>
      <c r="G598" s="514"/>
      <c r="H598" s="321"/>
      <c r="I598" s="325"/>
    </row>
    <row r="599" spans="1:9" s="307" customFormat="1" ht="12" customHeight="1" hidden="1">
      <c r="A599" s="299"/>
      <c r="B599" s="320" t="s">
        <v>394</v>
      </c>
      <c r="C599" s="301">
        <f>SUM(D599:E599)</f>
        <v>0</v>
      </c>
      <c r="D599" s="302">
        <f>F599+H599</f>
        <v>0</v>
      </c>
      <c r="E599" s="303">
        <f>G599+I599</f>
        <v>0</v>
      </c>
      <c r="F599" s="603"/>
      <c r="G599" s="514"/>
      <c r="H599" s="321"/>
      <c r="I599" s="325"/>
    </row>
    <row r="600" spans="1:9" s="307" customFormat="1" ht="12">
      <c r="A600" s="299"/>
      <c r="B600" s="300" t="s">
        <v>383</v>
      </c>
      <c r="C600" s="301">
        <f>SUM(D600:E600)</f>
        <v>19307600</v>
      </c>
      <c r="D600" s="302">
        <f>F600+H600</f>
        <v>65700</v>
      </c>
      <c r="E600" s="303">
        <f>G600+I600</f>
        <v>19241900</v>
      </c>
      <c r="F600" s="603">
        <v>65700</v>
      </c>
      <c r="G600" s="514">
        <v>19241900</v>
      </c>
      <c r="H600" s="321"/>
      <c r="I600" s="325"/>
    </row>
    <row r="601" spans="1:9" s="307" customFormat="1" ht="12" hidden="1">
      <c r="A601" s="299"/>
      <c r="B601" s="292" t="s">
        <v>378</v>
      </c>
      <c r="C601" s="293">
        <f>SUM(C602:C603)</f>
        <v>0</v>
      </c>
      <c r="D601" s="302">
        <f>F601+H601</f>
        <v>0</v>
      </c>
      <c r="E601" s="295">
        <f>SUM(E602:E603)</f>
        <v>0</v>
      </c>
      <c r="F601" s="294"/>
      <c r="G601" s="598">
        <f>SUM(G602:G603)</f>
        <v>0</v>
      </c>
      <c r="H601" s="321"/>
      <c r="I601" s="325"/>
    </row>
    <row r="602" spans="1:9" s="307" customFormat="1" ht="12" hidden="1">
      <c r="A602" s="299"/>
      <c r="B602" s="559" t="s">
        <v>391</v>
      </c>
      <c r="C602" s="301">
        <f>SUM(D602:E602)</f>
        <v>0</v>
      </c>
      <c r="D602" s="347"/>
      <c r="E602" s="303">
        <f>G602+I602</f>
        <v>0</v>
      </c>
      <c r="F602" s="302"/>
      <c r="G602" s="514"/>
      <c r="H602" s="321"/>
      <c r="I602" s="325"/>
    </row>
    <row r="603" spans="1:9" s="307" customFormat="1" ht="12" hidden="1">
      <c r="A603" s="432"/>
      <c r="B603" s="300" t="s">
        <v>379</v>
      </c>
      <c r="C603" s="301">
        <f>SUM(D603:E603)</f>
        <v>0</v>
      </c>
      <c r="D603" s="553"/>
      <c r="E603" s="303">
        <f>G603+I603</f>
        <v>0</v>
      </c>
      <c r="F603" s="418"/>
      <c r="G603" s="521"/>
      <c r="H603" s="420"/>
      <c r="I603" s="428"/>
    </row>
    <row r="604" spans="1:9" ht="60" customHeight="1">
      <c r="A604" s="346">
        <v>85213</v>
      </c>
      <c r="B604" s="470" t="s">
        <v>477</v>
      </c>
      <c r="C604" s="322">
        <f aca="true" t="shared" si="27" ref="C604:E605">SUM(C605)</f>
        <v>192000</v>
      </c>
      <c r="D604" s="491"/>
      <c r="E604" s="323">
        <f t="shared" si="27"/>
        <v>192000</v>
      </c>
      <c r="F604" s="324"/>
      <c r="G604" s="627">
        <f>SUM(G605)</f>
        <v>192000</v>
      </c>
      <c r="H604" s="324"/>
      <c r="I604" s="227"/>
    </row>
    <row r="605" spans="1:9" s="471" customFormat="1" ht="14.25" customHeight="1">
      <c r="A605" s="625"/>
      <c r="B605" s="626" t="s">
        <v>421</v>
      </c>
      <c r="C605" s="452">
        <f t="shared" si="27"/>
        <v>192000</v>
      </c>
      <c r="D605" s="453"/>
      <c r="E605" s="297">
        <f t="shared" si="27"/>
        <v>192000</v>
      </c>
      <c r="F605" s="296"/>
      <c r="G605" s="297">
        <f>SUM(G606)</f>
        <v>192000</v>
      </c>
      <c r="H605" s="296"/>
      <c r="I605" s="298"/>
    </row>
    <row r="606" spans="1:9" s="307" customFormat="1" ht="12.75" customHeight="1">
      <c r="A606" s="432"/>
      <c r="B606" s="349" t="s">
        <v>383</v>
      </c>
      <c r="C606" s="417">
        <f>SUM(D606:E606)</f>
        <v>192000</v>
      </c>
      <c r="D606" s="418"/>
      <c r="E606" s="419">
        <f>G606+I606</f>
        <v>192000</v>
      </c>
      <c r="F606" s="420"/>
      <c r="G606" s="419">
        <v>192000</v>
      </c>
      <c r="H606" s="420"/>
      <c r="I606" s="428"/>
    </row>
    <row r="607" spans="1:9" ht="39.75" customHeight="1">
      <c r="A607" s="346">
        <v>85214</v>
      </c>
      <c r="B607" s="470" t="s">
        <v>478</v>
      </c>
      <c r="C607" s="322">
        <f>SUM(C608)</f>
        <v>6247000</v>
      </c>
      <c r="D607" s="225">
        <f>SUM(D608)</f>
        <v>4580000</v>
      </c>
      <c r="E607" s="323">
        <f>SUM(E608)</f>
        <v>1667000</v>
      </c>
      <c r="F607" s="324">
        <f>SUM(F608)</f>
        <v>4580000</v>
      </c>
      <c r="G607" s="323">
        <f>SUM(G608)</f>
        <v>1667000</v>
      </c>
      <c r="H607" s="324"/>
      <c r="I607" s="227"/>
    </row>
    <row r="608" spans="1:9" ht="12.75">
      <c r="A608" s="291"/>
      <c r="B608" s="292" t="s">
        <v>421</v>
      </c>
      <c r="C608" s="293">
        <f>SUM(C609:C611)</f>
        <v>6247000</v>
      </c>
      <c r="D608" s="294">
        <f>SUM(D609:D611)</f>
        <v>4580000</v>
      </c>
      <c r="E608" s="295">
        <f>SUM(E609:E611)</f>
        <v>1667000</v>
      </c>
      <c r="F608" s="296">
        <f>SUM(F609:F611)</f>
        <v>4580000</v>
      </c>
      <c r="G608" s="297">
        <f>SUM(G609:G611)</f>
        <v>1667000</v>
      </c>
      <c r="H608" s="296"/>
      <c r="I608" s="298"/>
    </row>
    <row r="609" spans="1:9" s="307" customFormat="1" ht="12.75" customHeight="1">
      <c r="A609" s="299"/>
      <c r="B609" s="300" t="s">
        <v>407</v>
      </c>
      <c r="C609" s="301">
        <f>SUM(D609:E609)</f>
        <v>950</v>
      </c>
      <c r="D609" s="302">
        <f>F609+H609</f>
        <v>950</v>
      </c>
      <c r="E609" s="303">
        <f>G609+I609</f>
        <v>0</v>
      </c>
      <c r="F609" s="321">
        <v>950</v>
      </c>
      <c r="G609" s="303">
        <v>0</v>
      </c>
      <c r="H609" s="321"/>
      <c r="I609" s="325"/>
    </row>
    <row r="610" spans="1:9" s="307" customFormat="1" ht="12.75" customHeight="1">
      <c r="A610" s="299"/>
      <c r="B610" s="300" t="s">
        <v>408</v>
      </c>
      <c r="C610" s="301"/>
      <c r="D610" s="302"/>
      <c r="E610" s="303"/>
      <c r="F610" s="321"/>
      <c r="G610" s="303"/>
      <c r="H610" s="321"/>
      <c r="I610" s="325"/>
    </row>
    <row r="611" spans="1:9" s="307" customFormat="1" ht="12">
      <c r="A611" s="432"/>
      <c r="B611" s="349" t="s">
        <v>383</v>
      </c>
      <c r="C611" s="417">
        <f>SUM(D611:E611)</f>
        <v>6246050</v>
      </c>
      <c r="D611" s="418">
        <f>F611+H611</f>
        <v>4579050</v>
      </c>
      <c r="E611" s="419">
        <f>G611+I611</f>
        <v>1667000</v>
      </c>
      <c r="F611" s="420">
        <v>4579050</v>
      </c>
      <c r="G611" s="419">
        <v>1667000</v>
      </c>
      <c r="H611" s="420"/>
      <c r="I611" s="428"/>
    </row>
    <row r="612" spans="1:9" ht="15.75" customHeight="1">
      <c r="A612" s="346">
        <v>85215</v>
      </c>
      <c r="B612" s="470" t="s">
        <v>479</v>
      </c>
      <c r="C612" s="322">
        <f aca="true" t="shared" si="28" ref="C612:F613">SUM(C613)</f>
        <v>3500000</v>
      </c>
      <c r="D612" s="225">
        <f t="shared" si="28"/>
        <v>3500000</v>
      </c>
      <c r="E612" s="323"/>
      <c r="F612" s="324">
        <f t="shared" si="28"/>
        <v>3500000</v>
      </c>
      <c r="G612" s="323"/>
      <c r="H612" s="324"/>
      <c r="I612" s="227"/>
    </row>
    <row r="613" spans="1:9" ht="12.75">
      <c r="A613" s="291"/>
      <c r="B613" s="292" t="s">
        <v>421</v>
      </c>
      <c r="C613" s="293">
        <f t="shared" si="28"/>
        <v>3500000</v>
      </c>
      <c r="D613" s="294">
        <f t="shared" si="28"/>
        <v>3500000</v>
      </c>
      <c r="E613" s="295"/>
      <c r="F613" s="296">
        <f t="shared" si="28"/>
        <v>3500000</v>
      </c>
      <c r="G613" s="297"/>
      <c r="H613" s="296"/>
      <c r="I613" s="298"/>
    </row>
    <row r="614" spans="1:9" s="307" customFormat="1" ht="12">
      <c r="A614" s="299"/>
      <c r="B614" s="300" t="s">
        <v>383</v>
      </c>
      <c r="C614" s="301">
        <f>SUM(D614:E614)</f>
        <v>3500000</v>
      </c>
      <c r="D614" s="302">
        <f>F614+H614</f>
        <v>3500000</v>
      </c>
      <c r="E614" s="303"/>
      <c r="F614" s="321">
        <v>3500000</v>
      </c>
      <c r="G614" s="303"/>
      <c r="H614" s="321"/>
      <c r="I614" s="325"/>
    </row>
    <row r="615" spans="1:9" ht="36" hidden="1">
      <c r="A615" s="346">
        <v>85216</v>
      </c>
      <c r="B615" s="470" t="s">
        <v>480</v>
      </c>
      <c r="C615" s="322">
        <f>SUM(C616)</f>
        <v>0</v>
      </c>
      <c r="D615" s="225"/>
      <c r="E615" s="323">
        <f>SUM(E616)</f>
        <v>0</v>
      </c>
      <c r="F615" s="324"/>
      <c r="G615" s="323">
        <f>SUM(G616)</f>
        <v>0</v>
      </c>
      <c r="H615" s="324"/>
      <c r="I615" s="227">
        <f>SUM(I616)</f>
        <v>0</v>
      </c>
    </row>
    <row r="616" spans="1:9" ht="12.75" hidden="1">
      <c r="A616" s="291"/>
      <c r="B616" s="292" t="s">
        <v>421</v>
      </c>
      <c r="C616" s="293">
        <f>SUM(C617)</f>
        <v>0</v>
      </c>
      <c r="D616" s="294"/>
      <c r="E616" s="295">
        <f>G616+I616</f>
        <v>0</v>
      </c>
      <c r="F616" s="296"/>
      <c r="G616" s="297">
        <f>SUM(G617)</f>
        <v>0</v>
      </c>
      <c r="H616" s="296"/>
      <c r="I616" s="298">
        <f>SUM(I617)</f>
        <v>0</v>
      </c>
    </row>
    <row r="617" spans="1:9" s="307" customFormat="1" ht="12" hidden="1">
      <c r="A617" s="299"/>
      <c r="B617" s="300" t="s">
        <v>383</v>
      </c>
      <c r="C617" s="301">
        <f>SUM(D617:E617)</f>
        <v>0</v>
      </c>
      <c r="D617" s="302"/>
      <c r="E617" s="303">
        <f>G617+I617</f>
        <v>0</v>
      </c>
      <c r="F617" s="321"/>
      <c r="G617" s="303">
        <v>0</v>
      </c>
      <c r="H617" s="321"/>
      <c r="I617" s="325">
        <v>0</v>
      </c>
    </row>
    <row r="618" spans="1:9" ht="25.5" customHeight="1">
      <c r="A618" s="346">
        <v>85218</v>
      </c>
      <c r="B618" s="470" t="s">
        <v>481</v>
      </c>
      <c r="C618" s="322">
        <f aca="true" t="shared" si="29" ref="C618:H618">C619+C623</f>
        <v>632497</v>
      </c>
      <c r="D618" s="225">
        <f t="shared" si="29"/>
        <v>632497</v>
      </c>
      <c r="E618" s="225"/>
      <c r="F618" s="324"/>
      <c r="G618" s="225"/>
      <c r="H618" s="549">
        <f t="shared" si="29"/>
        <v>632497</v>
      </c>
      <c r="I618" s="227"/>
    </row>
    <row r="619" spans="1:9" ht="13.5" customHeight="1">
      <c r="A619" s="579"/>
      <c r="B619" s="629" t="s">
        <v>421</v>
      </c>
      <c r="C619" s="581">
        <f>SUM(C620:C622)</f>
        <v>632497</v>
      </c>
      <c r="D619" s="582">
        <f>SUM(D620:D622)</f>
        <v>632497</v>
      </c>
      <c r="E619" s="512"/>
      <c r="F619" s="511"/>
      <c r="G619" s="512"/>
      <c r="H619" s="511">
        <f>SUM(H620:H622)</f>
        <v>632497</v>
      </c>
      <c r="I619" s="630"/>
    </row>
    <row r="620" spans="1:9" ht="12">
      <c r="A620" s="291"/>
      <c r="B620" s="300" t="s">
        <v>407</v>
      </c>
      <c r="C620" s="301">
        <f>SUM(D620:E620)</f>
        <v>568797</v>
      </c>
      <c r="D620" s="302">
        <f>F620+H620</f>
        <v>568797</v>
      </c>
      <c r="E620" s="295"/>
      <c r="F620" s="317"/>
      <c r="G620" s="295"/>
      <c r="H620" s="321">
        <v>568797</v>
      </c>
      <c r="I620" s="325"/>
    </row>
    <row r="621" spans="1:9" ht="12">
      <c r="A621" s="291"/>
      <c r="B621" s="300" t="s">
        <v>408</v>
      </c>
      <c r="C621" s="293"/>
      <c r="D621" s="294"/>
      <c r="E621" s="295"/>
      <c r="F621" s="317"/>
      <c r="G621" s="295"/>
      <c r="H621" s="321"/>
      <c r="I621" s="325"/>
    </row>
    <row r="622" spans="1:9" ht="12">
      <c r="A622" s="416"/>
      <c r="B622" s="545" t="s">
        <v>383</v>
      </c>
      <c r="C622" s="631">
        <f>SUM(D622:E622)</f>
        <v>63700</v>
      </c>
      <c r="D622" s="418">
        <f>F622+H622</f>
        <v>63700</v>
      </c>
      <c r="E622" s="489"/>
      <c r="F622" s="490"/>
      <c r="G622" s="489"/>
      <c r="H622" s="420">
        <v>63700</v>
      </c>
      <c r="I622" s="428"/>
    </row>
    <row r="623" spans="1:9" ht="12" hidden="1">
      <c r="A623" s="291"/>
      <c r="B623" s="292" t="s">
        <v>378</v>
      </c>
      <c r="C623" s="293">
        <f>SUM(C624)</f>
        <v>0</v>
      </c>
      <c r="D623" s="294">
        <f>SUM(D624)</f>
        <v>0</v>
      </c>
      <c r="E623" s="295"/>
      <c r="F623" s="317"/>
      <c r="G623" s="295"/>
      <c r="H623" s="317">
        <f>SUM(H624)</f>
        <v>0</v>
      </c>
      <c r="I623" s="318"/>
    </row>
    <row r="624" spans="1:9" s="307" customFormat="1" ht="12" hidden="1">
      <c r="A624" s="299"/>
      <c r="B624" s="300" t="s">
        <v>379</v>
      </c>
      <c r="C624" s="293">
        <f>SUM(D624:E624)</f>
        <v>0</v>
      </c>
      <c r="D624" s="302">
        <f>F624+H624</f>
        <v>0</v>
      </c>
      <c r="E624" s="303"/>
      <c r="F624" s="321"/>
      <c r="G624" s="303"/>
      <c r="H624" s="321"/>
      <c r="I624" s="325"/>
    </row>
    <row r="625" spans="1:9" ht="24">
      <c r="A625" s="346">
        <v>85219</v>
      </c>
      <c r="B625" s="470" t="s">
        <v>482</v>
      </c>
      <c r="C625" s="322">
        <f>SUM(C626+C631)</f>
        <v>6502300</v>
      </c>
      <c r="D625" s="225">
        <f>SUM(D626+D631)</f>
        <v>6502300</v>
      </c>
      <c r="E625" s="225"/>
      <c r="F625" s="549">
        <f>SUM(F626+F631)</f>
        <v>6502300</v>
      </c>
      <c r="G625" s="323"/>
      <c r="H625" s="324"/>
      <c r="I625" s="227"/>
    </row>
    <row r="626" spans="1:9" ht="12.75">
      <c r="A626" s="479"/>
      <c r="B626" s="543" t="s">
        <v>382</v>
      </c>
      <c r="C626" s="447">
        <f>SUM(C627:C629)</f>
        <v>5952300</v>
      </c>
      <c r="D626" s="481">
        <f>F626+H626</f>
        <v>5952300</v>
      </c>
      <c r="E626" s="482"/>
      <c r="F626" s="632">
        <f>SUM(F627:F629)</f>
        <v>5952300</v>
      </c>
      <c r="G626" s="492"/>
      <c r="H626" s="483"/>
      <c r="I626" s="486"/>
    </row>
    <row r="627" spans="1:9" s="307" customFormat="1" ht="12">
      <c r="A627" s="299"/>
      <c r="B627" s="300" t="s">
        <v>407</v>
      </c>
      <c r="C627" s="301">
        <f>SUM(D627:E627)</f>
        <v>4890000</v>
      </c>
      <c r="D627" s="302">
        <f>F627+H627</f>
        <v>4890000</v>
      </c>
      <c r="E627" s="303"/>
      <c r="F627" s="321">
        <v>4890000</v>
      </c>
      <c r="G627" s="303"/>
      <c r="H627" s="321"/>
      <c r="I627" s="325"/>
    </row>
    <row r="628" spans="1:9" s="307" customFormat="1" ht="10.5" customHeight="1">
      <c r="A628" s="299"/>
      <c r="B628" s="300" t="s">
        <v>408</v>
      </c>
      <c r="C628" s="293"/>
      <c r="D628" s="302"/>
      <c r="E628" s="303"/>
      <c r="F628" s="321"/>
      <c r="G628" s="303"/>
      <c r="H628" s="321"/>
      <c r="I628" s="325"/>
    </row>
    <row r="629" spans="1:9" s="307" customFormat="1" ht="12">
      <c r="A629" s="299"/>
      <c r="B629" s="300" t="s">
        <v>383</v>
      </c>
      <c r="C629" s="293">
        <f>SUM(D629:E629)</f>
        <v>1062300</v>
      </c>
      <c r="D629" s="302">
        <f>F629+H629</f>
        <v>1062300</v>
      </c>
      <c r="E629" s="303"/>
      <c r="F629" s="321">
        <v>1062300</v>
      </c>
      <c r="G629" s="303"/>
      <c r="H629" s="321"/>
      <c r="I629" s="325"/>
    </row>
    <row r="630" spans="1:9" s="307" customFormat="1" ht="12.75" customHeight="1">
      <c r="A630" s="299"/>
      <c r="B630" s="300" t="s">
        <v>410</v>
      </c>
      <c r="C630" s="293">
        <f>SUM(D630:E630)</f>
        <v>65000</v>
      </c>
      <c r="D630" s="302">
        <f>F630+H630</f>
        <v>65000</v>
      </c>
      <c r="E630" s="303"/>
      <c r="F630" s="321">
        <v>65000</v>
      </c>
      <c r="G630" s="303"/>
      <c r="H630" s="321"/>
      <c r="I630" s="325"/>
    </row>
    <row r="631" spans="1:9" ht="12">
      <c r="A631" s="291"/>
      <c r="B631" s="292" t="s">
        <v>378</v>
      </c>
      <c r="C631" s="293">
        <f>SUM(C632:C633)</f>
        <v>550000</v>
      </c>
      <c r="D631" s="294">
        <f>SUM(D632:D633)</f>
        <v>550000</v>
      </c>
      <c r="E631" s="295"/>
      <c r="F631" s="317">
        <f>SUM(F632:F633)</f>
        <v>550000</v>
      </c>
      <c r="G631" s="295"/>
      <c r="H631" s="317"/>
      <c r="I631" s="318"/>
    </row>
    <row r="632" spans="1:9" s="451" customFormat="1" ht="14.25" customHeight="1">
      <c r="A632" s="299"/>
      <c r="B632" s="559" t="s">
        <v>391</v>
      </c>
      <c r="C632" s="301">
        <f>D632+E632</f>
        <v>400000</v>
      </c>
      <c r="D632" s="302">
        <f>F632+H632</f>
        <v>400000</v>
      </c>
      <c r="E632" s="303"/>
      <c r="F632" s="302">
        <v>400000</v>
      </c>
      <c r="G632" s="303"/>
      <c r="H632" s="347"/>
      <c r="I632" s="325"/>
    </row>
    <row r="633" spans="1:9" s="307" customFormat="1" ht="12">
      <c r="A633" s="432"/>
      <c r="B633" s="349" t="s">
        <v>379</v>
      </c>
      <c r="C633" s="631">
        <f>SUM(D633:E633)</f>
        <v>150000</v>
      </c>
      <c r="D633" s="418">
        <f>F633+H633</f>
        <v>150000</v>
      </c>
      <c r="E633" s="419"/>
      <c r="F633" s="420">
        <v>150000</v>
      </c>
      <c r="G633" s="419"/>
      <c r="H633" s="420"/>
      <c r="I633" s="428"/>
    </row>
    <row r="634" spans="1:9" s="315" customFormat="1" ht="46.5" customHeight="1">
      <c r="A634" s="346">
        <v>85220</v>
      </c>
      <c r="B634" s="470" t="s">
        <v>483</v>
      </c>
      <c r="C634" s="322">
        <f>SUM(C635)</f>
        <v>232600</v>
      </c>
      <c r="D634" s="225">
        <f>SUM(D635)</f>
        <v>232600</v>
      </c>
      <c r="E634" s="323"/>
      <c r="F634" s="324">
        <f>SUM(F635)</f>
        <v>36600</v>
      </c>
      <c r="G634" s="323"/>
      <c r="H634" s="549">
        <f>SUM(H635)</f>
        <v>196000</v>
      </c>
      <c r="I634" s="227"/>
    </row>
    <row r="635" spans="1:9" ht="13.5" customHeight="1">
      <c r="A635" s="479"/>
      <c r="B635" s="543" t="s">
        <v>421</v>
      </c>
      <c r="C635" s="447">
        <f>C636+C638+C639</f>
        <v>232600</v>
      </c>
      <c r="D635" s="481">
        <f>F635+H635</f>
        <v>232600</v>
      </c>
      <c r="E635" s="482"/>
      <c r="F635" s="483">
        <f>SUM(F636:F639)</f>
        <v>36600</v>
      </c>
      <c r="G635" s="492"/>
      <c r="H635" s="632">
        <f>SUM(H636:H639)</f>
        <v>196000</v>
      </c>
      <c r="I635" s="486"/>
    </row>
    <row r="636" spans="1:9" ht="12" hidden="1">
      <c r="A636" s="291"/>
      <c r="B636" s="300" t="s">
        <v>407</v>
      </c>
      <c r="C636" s="301">
        <f>SUM(D636:E636)</f>
        <v>0</v>
      </c>
      <c r="D636" s="302">
        <f>F636+H636</f>
        <v>0</v>
      </c>
      <c r="E636" s="295"/>
      <c r="F636" s="321"/>
      <c r="G636" s="295"/>
      <c r="H636" s="348"/>
      <c r="I636" s="325"/>
    </row>
    <row r="637" spans="1:9" ht="12" hidden="1">
      <c r="A637" s="291"/>
      <c r="B637" s="300" t="s">
        <v>408</v>
      </c>
      <c r="C637" s="293"/>
      <c r="D637" s="294"/>
      <c r="E637" s="295"/>
      <c r="F637" s="321"/>
      <c r="G637" s="295"/>
      <c r="H637" s="348"/>
      <c r="I637" s="325"/>
    </row>
    <row r="638" spans="1:9" s="307" customFormat="1" ht="12">
      <c r="A638" s="299"/>
      <c r="B638" s="320" t="s">
        <v>394</v>
      </c>
      <c r="C638" s="301">
        <f>SUM(D638:E638)</f>
        <v>196000</v>
      </c>
      <c r="D638" s="302">
        <f>F638+H638</f>
        <v>196000</v>
      </c>
      <c r="E638" s="303"/>
      <c r="F638" s="321"/>
      <c r="G638" s="303"/>
      <c r="H638" s="348">
        <v>196000</v>
      </c>
      <c r="I638" s="325"/>
    </row>
    <row r="639" spans="1:9" s="307" customFormat="1" ht="13.5" customHeight="1">
      <c r="A639" s="299"/>
      <c r="B639" s="300" t="s">
        <v>383</v>
      </c>
      <c r="C639" s="301">
        <f>SUM(D639:E639)</f>
        <v>36600</v>
      </c>
      <c r="D639" s="302">
        <f>F639+H639</f>
        <v>36600</v>
      </c>
      <c r="E639" s="303"/>
      <c r="F639" s="321">
        <v>36600</v>
      </c>
      <c r="G639" s="303"/>
      <c r="H639" s="348"/>
      <c r="I639" s="325"/>
    </row>
    <row r="640" spans="1:9" s="307" customFormat="1" ht="12.75" customHeight="1">
      <c r="A640" s="432"/>
      <c r="B640" s="349" t="s">
        <v>410</v>
      </c>
      <c r="C640" s="631">
        <f>SUM(D640:E640)</f>
        <v>4000</v>
      </c>
      <c r="D640" s="418">
        <f>F640+H640</f>
        <v>4000</v>
      </c>
      <c r="E640" s="419"/>
      <c r="F640" s="420">
        <v>4000</v>
      </c>
      <c r="G640" s="419"/>
      <c r="H640" s="554"/>
      <c r="I640" s="428"/>
    </row>
    <row r="641" spans="1:9" s="315" customFormat="1" ht="24">
      <c r="A641" s="346">
        <v>85226</v>
      </c>
      <c r="B641" s="470" t="s">
        <v>484</v>
      </c>
      <c r="C641" s="322">
        <f>SUM(C642)</f>
        <v>374003</v>
      </c>
      <c r="D641" s="225">
        <f>SUM(D642)</f>
        <v>374003</v>
      </c>
      <c r="E641" s="323"/>
      <c r="F641" s="324"/>
      <c r="G641" s="512"/>
      <c r="H641" s="549">
        <f>SUM(H642)</f>
        <v>374003</v>
      </c>
      <c r="I641" s="227"/>
    </row>
    <row r="642" spans="1:9" ht="12.75">
      <c r="A642" s="291"/>
      <c r="B642" s="316" t="s">
        <v>382</v>
      </c>
      <c r="C642" s="293">
        <f>SUM(C643:C645)</f>
        <v>374003</v>
      </c>
      <c r="D642" s="294">
        <f>SUM(D643:D645)</f>
        <v>374003</v>
      </c>
      <c r="E642" s="295"/>
      <c r="F642" s="296"/>
      <c r="G642" s="429"/>
      <c r="H642" s="427">
        <f>SUM(H643:H645)</f>
        <v>374003</v>
      </c>
      <c r="I642" s="298"/>
    </row>
    <row r="643" spans="1:9" ht="12">
      <c r="A643" s="291"/>
      <c r="B643" s="300" t="s">
        <v>407</v>
      </c>
      <c r="C643" s="301">
        <f>SUM(D643:E643)</f>
        <v>323223</v>
      </c>
      <c r="D643" s="302">
        <f>F643+H643</f>
        <v>323223</v>
      </c>
      <c r="E643" s="303"/>
      <c r="F643" s="321"/>
      <c r="G643" s="295"/>
      <c r="H643" s="348">
        <v>323223</v>
      </c>
      <c r="I643" s="318"/>
    </row>
    <row r="644" spans="1:9" ht="12" customHeight="1">
      <c r="A644" s="291"/>
      <c r="B644" s="300" t="s">
        <v>408</v>
      </c>
      <c r="C644" s="301"/>
      <c r="D644" s="302"/>
      <c r="E644" s="303"/>
      <c r="F644" s="321"/>
      <c r="G644" s="295"/>
      <c r="H644" s="321"/>
      <c r="I644" s="318"/>
    </row>
    <row r="645" spans="1:9" ht="12" customHeight="1">
      <c r="A645" s="291"/>
      <c r="B645" s="320" t="s">
        <v>383</v>
      </c>
      <c r="C645" s="301">
        <f>SUM(D645:E645)</f>
        <v>50780</v>
      </c>
      <c r="D645" s="302">
        <f>F645+H645</f>
        <v>50780</v>
      </c>
      <c r="E645" s="303"/>
      <c r="F645" s="321"/>
      <c r="G645" s="295"/>
      <c r="H645" s="321">
        <v>50780</v>
      </c>
      <c r="I645" s="318"/>
    </row>
    <row r="646" spans="1:9" s="307" customFormat="1" ht="9.75" customHeight="1">
      <c r="A646" s="299"/>
      <c r="B646" s="300" t="s">
        <v>410</v>
      </c>
      <c r="C646" s="293">
        <f>SUM(D646:E646)</f>
        <v>1000</v>
      </c>
      <c r="D646" s="302">
        <f>F646+H646</f>
        <v>1000</v>
      </c>
      <c r="E646" s="303"/>
      <c r="F646" s="321"/>
      <c r="G646" s="303"/>
      <c r="H646" s="321">
        <v>1000</v>
      </c>
      <c r="I646" s="325"/>
    </row>
    <row r="647" spans="1:9" s="315" customFormat="1" ht="36.75" customHeight="1">
      <c r="A647" s="346">
        <v>85228</v>
      </c>
      <c r="B647" s="470" t="s">
        <v>485</v>
      </c>
      <c r="C647" s="322">
        <f>SUM(C648)</f>
        <v>1280054</v>
      </c>
      <c r="D647" s="225">
        <f>SUM(D648)</f>
        <v>1131054</v>
      </c>
      <c r="E647" s="323">
        <f>SUM(E648)</f>
        <v>149000</v>
      </c>
      <c r="F647" s="549">
        <f>SUM(F648)</f>
        <v>1131054</v>
      </c>
      <c r="G647" s="323">
        <f>SUM(G648)</f>
        <v>149000</v>
      </c>
      <c r="H647" s="225"/>
      <c r="I647" s="630"/>
    </row>
    <row r="648" spans="1:9" ht="14.25" customHeight="1">
      <c r="A648" s="291"/>
      <c r="B648" s="316" t="s">
        <v>382</v>
      </c>
      <c r="C648" s="293">
        <f>SUM(C649:C652)</f>
        <v>1280054</v>
      </c>
      <c r="D648" s="294">
        <f>SUM(D649:D652)</f>
        <v>1131054</v>
      </c>
      <c r="E648" s="295">
        <f>SUM(E649:E652)</f>
        <v>149000</v>
      </c>
      <c r="F648" s="427">
        <f>SUM(F649:F652)</f>
        <v>1131054</v>
      </c>
      <c r="G648" s="297">
        <f>SUM(G649:G652)</f>
        <v>149000</v>
      </c>
      <c r="H648" s="453"/>
      <c r="I648" s="431"/>
    </row>
    <row r="649" spans="1:9" ht="10.5" customHeight="1">
      <c r="A649" s="291"/>
      <c r="B649" s="300" t="s">
        <v>407</v>
      </c>
      <c r="C649" s="301">
        <f>SUM(D649:E649)</f>
        <v>1143599</v>
      </c>
      <c r="D649" s="302">
        <f>F649+H649</f>
        <v>1020179</v>
      </c>
      <c r="E649" s="303">
        <f>G649+I649</f>
        <v>123420</v>
      </c>
      <c r="F649" s="348">
        <v>1020179</v>
      </c>
      <c r="G649" s="303">
        <v>123420</v>
      </c>
      <c r="H649" s="302"/>
      <c r="I649" s="318"/>
    </row>
    <row r="650" spans="1:9" ht="11.25" customHeight="1">
      <c r="A650" s="291"/>
      <c r="B650" s="300" t="s">
        <v>408</v>
      </c>
      <c r="C650" s="301"/>
      <c r="D650" s="302"/>
      <c r="E650" s="303"/>
      <c r="F650" s="348"/>
      <c r="G650" s="303"/>
      <c r="H650" s="302"/>
      <c r="I650" s="318"/>
    </row>
    <row r="651" spans="1:9" s="451" customFormat="1" ht="9.75" customHeight="1" hidden="1">
      <c r="A651" s="299"/>
      <c r="B651" s="300" t="s">
        <v>394</v>
      </c>
      <c r="C651" s="301">
        <f>SUM(D651:E651)</f>
        <v>0</v>
      </c>
      <c r="D651" s="302">
        <f>F651+H651</f>
        <v>0</v>
      </c>
      <c r="E651" s="303"/>
      <c r="F651" s="321">
        <v>0</v>
      </c>
      <c r="G651" s="305"/>
      <c r="H651" s="304"/>
      <c r="I651" s="306"/>
    </row>
    <row r="652" spans="1:9" ht="11.25" customHeight="1">
      <c r="A652" s="416"/>
      <c r="B652" s="433" t="s">
        <v>383</v>
      </c>
      <c r="C652" s="417">
        <f>SUM(D652:E652)</f>
        <v>136455</v>
      </c>
      <c r="D652" s="418">
        <f>F652+H652</f>
        <v>110875</v>
      </c>
      <c r="E652" s="419">
        <f>G652+I652</f>
        <v>25580</v>
      </c>
      <c r="F652" s="554">
        <v>110875</v>
      </c>
      <c r="G652" s="419">
        <v>25580</v>
      </c>
      <c r="H652" s="418"/>
      <c r="I652" s="569"/>
    </row>
    <row r="653" spans="1:9" ht="12" customHeight="1">
      <c r="A653" s="346">
        <v>85295</v>
      </c>
      <c r="B653" s="470" t="s">
        <v>389</v>
      </c>
      <c r="C653" s="310">
        <f>SUM(C654+C660)</f>
        <v>1009300</v>
      </c>
      <c r="D653" s="311">
        <f>SUM(D654+D660)</f>
        <v>992800</v>
      </c>
      <c r="E653" s="312">
        <f>E654</f>
        <v>16500</v>
      </c>
      <c r="F653" s="313">
        <f>SUM(F654+F660)</f>
        <v>989800</v>
      </c>
      <c r="G653" s="311"/>
      <c r="H653" s="313">
        <f>H654</f>
        <v>3000</v>
      </c>
      <c r="I653" s="633">
        <f>SUM(I654+I660)</f>
        <v>16500</v>
      </c>
    </row>
    <row r="654" spans="1:9" ht="11.25" customHeight="1">
      <c r="A654" s="479"/>
      <c r="B654" s="543" t="s">
        <v>421</v>
      </c>
      <c r="C654" s="550">
        <f>SUM(C655:C659)-C657</f>
        <v>1009300</v>
      </c>
      <c r="D654" s="294">
        <f>F654+H654</f>
        <v>992800</v>
      </c>
      <c r="E654" s="295">
        <f>SUM(E655:E659)-E657</f>
        <v>16500</v>
      </c>
      <c r="F654" s="485">
        <f>SUM(F655:F659)</f>
        <v>989800</v>
      </c>
      <c r="G654" s="634"/>
      <c r="H654" s="485">
        <f>H659+H658+H655</f>
        <v>3000</v>
      </c>
      <c r="I654" s="635">
        <f>SUM(I655:I659)-I657</f>
        <v>16500</v>
      </c>
    </row>
    <row r="655" spans="1:9" s="415" customFormat="1" ht="12">
      <c r="A655" s="636"/>
      <c r="B655" s="637" t="s">
        <v>407</v>
      </c>
      <c r="C655" s="638">
        <f>SUM(D655:E655)</f>
        <v>0</v>
      </c>
      <c r="D655" s="379">
        <f>F655</f>
        <v>0</v>
      </c>
      <c r="E655" s="380">
        <f>G655+I655</f>
        <v>0</v>
      </c>
      <c r="F655" s="1930"/>
      <c r="G655" s="1931"/>
      <c r="H655" s="1930"/>
      <c r="I655" s="1932">
        <v>0</v>
      </c>
    </row>
    <row r="656" spans="1:9" ht="12.75">
      <c r="A656" s="291"/>
      <c r="B656" s="300" t="s">
        <v>408</v>
      </c>
      <c r="C656" s="638"/>
      <c r="D656" s="294"/>
      <c r="E656" s="303"/>
      <c r="F656" s="430"/>
      <c r="G656" s="429"/>
      <c r="H656" s="430"/>
      <c r="I656" s="641"/>
    </row>
    <row r="657" spans="1:9" ht="12.75">
      <c r="A657" s="291"/>
      <c r="B657" s="496" t="s">
        <v>420</v>
      </c>
      <c r="C657" s="1933">
        <f aca="true" t="shared" si="30" ref="C657:C663">SUM(D657:E657)</f>
        <v>0</v>
      </c>
      <c r="D657" s="294"/>
      <c r="E657" s="303">
        <f>G657+I657</f>
        <v>0</v>
      </c>
      <c r="F657" s="430"/>
      <c r="G657" s="429"/>
      <c r="H657" s="430"/>
      <c r="I657" s="639"/>
    </row>
    <row r="658" spans="1:9" s="451" customFormat="1" ht="10.5" customHeight="1">
      <c r="A658" s="299"/>
      <c r="B658" s="300" t="s">
        <v>394</v>
      </c>
      <c r="C658" s="301">
        <f t="shared" si="30"/>
        <v>150000</v>
      </c>
      <c r="D658" s="302">
        <f>F658+H658</f>
        <v>150000</v>
      </c>
      <c r="E658" s="303"/>
      <c r="F658" s="321">
        <v>150000</v>
      </c>
      <c r="G658" s="305"/>
      <c r="H658" s="304"/>
      <c r="I658" s="325"/>
    </row>
    <row r="659" spans="1:9" s="451" customFormat="1" ht="10.5" customHeight="1">
      <c r="A659" s="299"/>
      <c r="B659" s="300" t="s">
        <v>383</v>
      </c>
      <c r="C659" s="301">
        <f t="shared" si="30"/>
        <v>859300</v>
      </c>
      <c r="D659" s="302">
        <f>F659+H659</f>
        <v>842800</v>
      </c>
      <c r="E659" s="303">
        <f>G659+I659</f>
        <v>16500</v>
      </c>
      <c r="F659" s="321">
        <v>839800</v>
      </c>
      <c r="G659" s="305"/>
      <c r="H659" s="304">
        <v>3000</v>
      </c>
      <c r="I659" s="325">
        <v>16500</v>
      </c>
    </row>
    <row r="660" spans="1:9" ht="12" hidden="1">
      <c r="A660" s="291"/>
      <c r="B660" s="292" t="s">
        <v>378</v>
      </c>
      <c r="C660" s="301">
        <f t="shared" si="30"/>
        <v>0</v>
      </c>
      <c r="D660" s="294">
        <f>SUM(D661:D662)</f>
        <v>0</v>
      </c>
      <c r="E660" s="303">
        <f>G660+I660</f>
        <v>0</v>
      </c>
      <c r="F660" s="317">
        <f>SUM(F661:F662)</f>
        <v>0</v>
      </c>
      <c r="G660" s="295"/>
      <c r="H660" s="317"/>
      <c r="I660" s="318"/>
    </row>
    <row r="661" spans="1:9" s="307" customFormat="1" ht="12" hidden="1">
      <c r="A661" s="299"/>
      <c r="B661" s="300" t="s">
        <v>391</v>
      </c>
      <c r="C661" s="301">
        <f t="shared" si="30"/>
        <v>0</v>
      </c>
      <c r="D661" s="302">
        <f>F661+H661</f>
        <v>0</v>
      </c>
      <c r="E661" s="303">
        <f>G661+I661</f>
        <v>0</v>
      </c>
      <c r="F661" s="321"/>
      <c r="G661" s="303"/>
      <c r="H661" s="321"/>
      <c r="I661" s="325"/>
    </row>
    <row r="662" spans="1:9" s="307" customFormat="1" ht="15.75" customHeight="1" hidden="1">
      <c r="A662" s="432"/>
      <c r="B662" s="349" t="s">
        <v>379</v>
      </c>
      <c r="C662" s="301">
        <f t="shared" si="30"/>
        <v>0</v>
      </c>
      <c r="D662" s="418">
        <f>F662+H662</f>
        <v>0</v>
      </c>
      <c r="E662" s="303">
        <f>G662+I662</f>
        <v>0</v>
      </c>
      <c r="F662" s="420"/>
      <c r="G662" s="419"/>
      <c r="H662" s="420"/>
      <c r="I662" s="428"/>
    </row>
    <row r="663" spans="1:9" s="307" customFormat="1" ht="12.75" thickBot="1">
      <c r="A663" s="299"/>
      <c r="B663" s="496" t="s">
        <v>420</v>
      </c>
      <c r="C663" s="378">
        <f t="shared" si="30"/>
        <v>0</v>
      </c>
      <c r="D663" s="379"/>
      <c r="E663" s="380">
        <f>G663+I663</f>
        <v>0</v>
      </c>
      <c r="F663" s="381"/>
      <c r="G663" s="380"/>
      <c r="H663" s="381"/>
      <c r="I663" s="497">
        <v>0</v>
      </c>
    </row>
    <row r="664" spans="1:9" s="451" customFormat="1" ht="55.5" customHeight="1" thickBot="1" thickTop="1">
      <c r="A664" s="642">
        <v>853</v>
      </c>
      <c r="B664" s="285" t="s">
        <v>279</v>
      </c>
      <c r="C664" s="286">
        <f>C674+C684+C680+C691</f>
        <v>5304129</v>
      </c>
      <c r="D664" s="287">
        <f>D674+D684+D680+D691</f>
        <v>5188129</v>
      </c>
      <c r="E664" s="287">
        <f>E674+E684+E680+E691</f>
        <v>116000</v>
      </c>
      <c r="F664" s="289">
        <f>F674+F684+F680+F691</f>
        <v>4296910</v>
      </c>
      <c r="G664" s="288"/>
      <c r="H664" s="289">
        <f>H674+H684+H680+H691</f>
        <v>891219</v>
      </c>
      <c r="I664" s="234">
        <f>I674+I684+I680+I691</f>
        <v>116000</v>
      </c>
    </row>
    <row r="665" spans="1:9" s="375" customFormat="1" ht="14.25" thickTop="1">
      <c r="A665" s="643"/>
      <c r="B665" s="644" t="s">
        <v>421</v>
      </c>
      <c r="C665" s="353">
        <f>D665+E665</f>
        <v>5059629</v>
      </c>
      <c r="D665" s="354">
        <f>F665+H665</f>
        <v>4943629</v>
      </c>
      <c r="E665" s="355">
        <f>SUM(E666:E669)</f>
        <v>116000</v>
      </c>
      <c r="F665" s="503">
        <f>F675+F681+F685+F692</f>
        <v>4052410</v>
      </c>
      <c r="G665" s="504"/>
      <c r="H665" s="358">
        <f>H674+H681+H684+H691</f>
        <v>891219</v>
      </c>
      <c r="I665" s="372">
        <f>SUM(I666:I669)</f>
        <v>116000</v>
      </c>
    </row>
    <row r="666" spans="1:9" s="307" customFormat="1" ht="12.75" customHeight="1">
      <c r="A666" s="645"/>
      <c r="B666" s="300" t="s">
        <v>407</v>
      </c>
      <c r="C666" s="361">
        <f>D666+E666</f>
        <v>711459</v>
      </c>
      <c r="D666" s="362">
        <f>F666+H666</f>
        <v>620059</v>
      </c>
      <c r="E666" s="305">
        <f>G666+I666</f>
        <v>91400</v>
      </c>
      <c r="F666" s="363">
        <f>F686+F693</f>
        <v>353668</v>
      </c>
      <c r="G666" s="506"/>
      <c r="H666" s="304">
        <f>H686+H693</f>
        <v>266391</v>
      </c>
      <c r="I666" s="306">
        <f>I686</f>
        <v>91400</v>
      </c>
    </row>
    <row r="667" spans="1:9" s="307" customFormat="1" ht="12.75" customHeight="1">
      <c r="A667" s="645"/>
      <c r="B667" s="300" t="s">
        <v>408</v>
      </c>
      <c r="C667" s="361"/>
      <c r="D667" s="362"/>
      <c r="E667" s="305"/>
      <c r="F667" s="363"/>
      <c r="G667" s="305"/>
      <c r="H667" s="304"/>
      <c r="I667" s="306"/>
    </row>
    <row r="668" spans="1:9" s="307" customFormat="1" ht="12.75" customHeight="1">
      <c r="A668" s="645"/>
      <c r="B668" s="320" t="s">
        <v>394</v>
      </c>
      <c r="C668" s="361">
        <f aca="true" t="shared" si="31" ref="C668:C673">D668+E668</f>
        <v>3318173</v>
      </c>
      <c r="D668" s="362">
        <f aca="true" t="shared" si="32" ref="D668:D673">F668+H668</f>
        <v>3318173</v>
      </c>
      <c r="E668" s="305"/>
      <c r="F668" s="363">
        <f>F676+F682+F695</f>
        <v>3101000</v>
      </c>
      <c r="G668" s="305"/>
      <c r="H668" s="304">
        <f>H682+H695</f>
        <v>217173</v>
      </c>
      <c r="I668" s="306"/>
    </row>
    <row r="669" spans="1:9" s="307" customFormat="1" ht="12.75" customHeight="1">
      <c r="A669" s="645"/>
      <c r="B669" s="300" t="s">
        <v>383</v>
      </c>
      <c r="C669" s="361">
        <f t="shared" si="31"/>
        <v>1029997</v>
      </c>
      <c r="D669" s="362">
        <f t="shared" si="32"/>
        <v>1005397</v>
      </c>
      <c r="E669" s="305">
        <f>G669+I669</f>
        <v>24600</v>
      </c>
      <c r="F669" s="363">
        <f>F696</f>
        <v>597742</v>
      </c>
      <c r="G669" s="506"/>
      <c r="H669" s="304">
        <f>H683+H688+H696</f>
        <v>407655</v>
      </c>
      <c r="I669" s="306">
        <f>I683+I688+I696</f>
        <v>24600</v>
      </c>
    </row>
    <row r="670" spans="1:9" s="375" customFormat="1" ht="12.75" customHeight="1">
      <c r="A670" s="643"/>
      <c r="B670" s="352" t="s">
        <v>378</v>
      </c>
      <c r="C670" s="2647">
        <f t="shared" si="31"/>
        <v>244500</v>
      </c>
      <c r="D670" s="2648">
        <f t="shared" si="32"/>
        <v>244500</v>
      </c>
      <c r="E670" s="454"/>
      <c r="F670" s="2649">
        <f>F677</f>
        <v>244500</v>
      </c>
      <c r="G670" s="355"/>
      <c r="H670" s="371"/>
      <c r="I670" s="372"/>
    </row>
    <row r="671" spans="1:9" s="375" customFormat="1" ht="12.75" customHeight="1">
      <c r="A671" s="643"/>
      <c r="B671" s="646" t="s">
        <v>391</v>
      </c>
      <c r="C671" s="361">
        <f t="shared" si="31"/>
        <v>244500</v>
      </c>
      <c r="D671" s="362">
        <f t="shared" si="32"/>
        <v>244500</v>
      </c>
      <c r="E671" s="305"/>
      <c r="F671" s="363">
        <f>F678</f>
        <v>244500</v>
      </c>
      <c r="G671" s="647"/>
      <c r="H671" s="371"/>
      <c r="I671" s="372"/>
    </row>
    <row r="672" spans="1:9" s="375" customFormat="1" ht="12.75" customHeight="1" thickBot="1">
      <c r="A672" s="648"/>
      <c r="B672" s="649" t="s">
        <v>395</v>
      </c>
      <c r="C672" s="458">
        <f t="shared" si="31"/>
        <v>166000</v>
      </c>
      <c r="D672" s="459">
        <f t="shared" si="32"/>
        <v>166000</v>
      </c>
      <c r="E672" s="392"/>
      <c r="F672" s="391">
        <f>F679</f>
        <v>166000</v>
      </c>
      <c r="G672" s="650"/>
      <c r="H672" s="527"/>
      <c r="I672" s="528"/>
    </row>
    <row r="673" spans="1:9" s="307" customFormat="1" ht="12.75" customHeight="1" hidden="1">
      <c r="A673" s="651"/>
      <c r="B673" s="433" t="s">
        <v>379</v>
      </c>
      <c r="C673" s="417">
        <f t="shared" si="31"/>
        <v>0</v>
      </c>
      <c r="D673" s="435">
        <f t="shared" si="32"/>
        <v>0</v>
      </c>
      <c r="E673" s="419"/>
      <c r="F673" s="554">
        <f>F690</f>
        <v>0</v>
      </c>
      <c r="G673" s="652"/>
      <c r="H673" s="420">
        <f>H690</f>
        <v>0</v>
      </c>
      <c r="I673" s="428"/>
    </row>
    <row r="674" spans="1:9" ht="12.75" customHeight="1" thickTop="1">
      <c r="A674" s="395">
        <v>85305</v>
      </c>
      <c r="B674" s="464" t="s">
        <v>486</v>
      </c>
      <c r="C674" s="465">
        <f>C675+C677</f>
        <v>3345500</v>
      </c>
      <c r="D674" s="466">
        <f>D675+D677</f>
        <v>3345500</v>
      </c>
      <c r="E674" s="467"/>
      <c r="F674" s="468">
        <f>F675+F677</f>
        <v>3345500</v>
      </c>
      <c r="G674" s="467"/>
      <c r="H674" s="468"/>
      <c r="I674" s="469"/>
    </row>
    <row r="675" spans="1:9" ht="13.5" customHeight="1">
      <c r="A675" s="291"/>
      <c r="B675" s="292" t="s">
        <v>421</v>
      </c>
      <c r="C675" s="293">
        <f>SUM(C676)</f>
        <v>3101000</v>
      </c>
      <c r="D675" s="294">
        <f>SUM(D676)</f>
        <v>3101000</v>
      </c>
      <c r="E675" s="295"/>
      <c r="F675" s="296">
        <f>SUM(F676)</f>
        <v>3101000</v>
      </c>
      <c r="G675" s="297"/>
      <c r="H675" s="296"/>
      <c r="I675" s="298"/>
    </row>
    <row r="676" spans="1:9" s="307" customFormat="1" ht="12" customHeight="1">
      <c r="A676" s="299"/>
      <c r="B676" s="300" t="s">
        <v>394</v>
      </c>
      <c r="C676" s="301">
        <f>SUM(D676:E676)</f>
        <v>3101000</v>
      </c>
      <c r="D676" s="302">
        <f>F676+H676</f>
        <v>3101000</v>
      </c>
      <c r="E676" s="303"/>
      <c r="F676" s="321">
        <v>3101000</v>
      </c>
      <c r="G676" s="303"/>
      <c r="H676" s="321"/>
      <c r="I676" s="325"/>
    </row>
    <row r="677" spans="1:9" s="307" customFormat="1" ht="12" customHeight="1">
      <c r="A677" s="299"/>
      <c r="B677" s="292" t="s">
        <v>378</v>
      </c>
      <c r="C677" s="301">
        <f>C678</f>
        <v>244500</v>
      </c>
      <c r="D677" s="302">
        <f>D678</f>
        <v>244500</v>
      </c>
      <c r="E677" s="303"/>
      <c r="F677" s="321">
        <f>F678</f>
        <v>244500</v>
      </c>
      <c r="G677" s="303"/>
      <c r="H677" s="321"/>
      <c r="I677" s="325"/>
    </row>
    <row r="678" spans="1:9" s="307" customFormat="1" ht="12" customHeight="1">
      <c r="A678" s="299"/>
      <c r="B678" s="646" t="s">
        <v>391</v>
      </c>
      <c r="C678" s="301">
        <f>SUM(D678:E678)</f>
        <v>244500</v>
      </c>
      <c r="D678" s="302">
        <f>F678+H678</f>
        <v>244500</v>
      </c>
      <c r="E678" s="303"/>
      <c r="F678" s="321">
        <v>244500</v>
      </c>
      <c r="G678" s="303"/>
      <c r="H678" s="321"/>
      <c r="I678" s="325"/>
    </row>
    <row r="679" spans="1:9" s="307" customFormat="1" ht="12" customHeight="1">
      <c r="A679" s="432"/>
      <c r="B679" s="653" t="s">
        <v>395</v>
      </c>
      <c r="C679" s="417">
        <f>SUM(D679:E679)</f>
        <v>166000</v>
      </c>
      <c r="D679" s="418">
        <f>F679+H679</f>
        <v>166000</v>
      </c>
      <c r="E679" s="419"/>
      <c r="F679" s="420">
        <v>166000</v>
      </c>
      <c r="G679" s="419"/>
      <c r="H679" s="420"/>
      <c r="I679" s="428"/>
    </row>
    <row r="680" spans="1:9" s="307" customFormat="1" ht="36.75" customHeight="1">
      <c r="A680" s="395">
        <v>85311</v>
      </c>
      <c r="B680" s="464" t="s">
        <v>487</v>
      </c>
      <c r="C680" s="322">
        <f>SUM(C681)</f>
        <v>199237</v>
      </c>
      <c r="D680" s="225">
        <f>SUM(D681)</f>
        <v>199237</v>
      </c>
      <c r="E680" s="467"/>
      <c r="F680" s="573"/>
      <c r="G680" s="467"/>
      <c r="H680" s="573">
        <f>SUM(H681)</f>
        <v>199237</v>
      </c>
      <c r="I680" s="469"/>
    </row>
    <row r="681" spans="1:9" ht="13.5" customHeight="1">
      <c r="A681" s="479"/>
      <c r="B681" s="543" t="s">
        <v>421</v>
      </c>
      <c r="C681" s="550">
        <f>SUM(C682:C683)</f>
        <v>199237</v>
      </c>
      <c r="D681" s="294">
        <f>F681+H681</f>
        <v>199237</v>
      </c>
      <c r="E681" s="295"/>
      <c r="F681" s="552"/>
      <c r="G681" s="484"/>
      <c r="H681" s="485">
        <f>SUM(H682:H683)</f>
        <v>199237</v>
      </c>
      <c r="I681" s="520"/>
    </row>
    <row r="682" spans="1:9" s="307" customFormat="1" ht="15" customHeight="1">
      <c r="A682" s="299"/>
      <c r="B682" s="300" t="s">
        <v>394</v>
      </c>
      <c r="C682" s="301">
        <f>SUM(D682:E682)</f>
        <v>199237</v>
      </c>
      <c r="D682" s="302">
        <f>F682+H682</f>
        <v>199237</v>
      </c>
      <c r="E682" s="303"/>
      <c r="F682" s="321"/>
      <c r="G682" s="303"/>
      <c r="H682" s="321">
        <v>199237</v>
      </c>
      <c r="I682" s="325"/>
    </row>
    <row r="683" spans="1:9" s="307" customFormat="1" ht="12.75" customHeight="1" hidden="1">
      <c r="A683" s="432"/>
      <c r="B683" s="349" t="s">
        <v>383</v>
      </c>
      <c r="C683" s="417">
        <f>SUM(D683:E683)</f>
        <v>0</v>
      </c>
      <c r="D683" s="418">
        <f>F683+H683</f>
        <v>0</v>
      </c>
      <c r="E683" s="419"/>
      <c r="F683" s="554"/>
      <c r="G683" s="419"/>
      <c r="H683" s="554">
        <v>0</v>
      </c>
      <c r="I683" s="428"/>
    </row>
    <row r="684" spans="1:9" s="315" customFormat="1" ht="24" customHeight="1">
      <c r="A684" s="346">
        <v>85321</v>
      </c>
      <c r="B684" s="470" t="s">
        <v>488</v>
      </c>
      <c r="C684" s="322">
        <f>SUM(C685+C689)</f>
        <v>196000</v>
      </c>
      <c r="D684" s="225">
        <f>SUM(D685+D689)</f>
        <v>80000</v>
      </c>
      <c r="E684" s="225">
        <f>SUM(E685+E689)</f>
        <v>116000</v>
      </c>
      <c r="F684" s="549"/>
      <c r="G684" s="323"/>
      <c r="H684" s="324">
        <f>H685+H689</f>
        <v>80000</v>
      </c>
      <c r="I684" s="227">
        <f>I685</f>
        <v>116000</v>
      </c>
    </row>
    <row r="685" spans="1:9" ht="12.75">
      <c r="A685" s="291"/>
      <c r="B685" s="292" t="s">
        <v>421</v>
      </c>
      <c r="C685" s="293">
        <f>SUM(C686:C688)</f>
        <v>196000</v>
      </c>
      <c r="D685" s="294">
        <f>SUM(D686:D688)</f>
        <v>80000</v>
      </c>
      <c r="E685" s="294">
        <f>SUM(E686:E688)</f>
        <v>116000</v>
      </c>
      <c r="F685" s="427"/>
      <c r="G685" s="297"/>
      <c r="H685" s="296">
        <f>SUM(H686:H688)</f>
        <v>80000</v>
      </c>
      <c r="I685" s="298">
        <f>I686+I688</f>
        <v>116000</v>
      </c>
    </row>
    <row r="686" spans="1:9" s="307" customFormat="1" ht="12.75" customHeight="1">
      <c r="A686" s="299"/>
      <c r="B686" s="300" t="s">
        <v>407</v>
      </c>
      <c r="C686" s="301">
        <f>SUM(D686:E686)</f>
        <v>145312</v>
      </c>
      <c r="D686" s="302">
        <f>F686+H686</f>
        <v>53912</v>
      </c>
      <c r="E686" s="302">
        <f>G686+I686</f>
        <v>91400</v>
      </c>
      <c r="F686" s="348"/>
      <c r="G686" s="303"/>
      <c r="H686" s="321">
        <v>53912</v>
      </c>
      <c r="I686" s="325">
        <v>91400</v>
      </c>
    </row>
    <row r="687" spans="1:9" s="307" customFormat="1" ht="12" customHeight="1">
      <c r="A687" s="299"/>
      <c r="B687" s="300" t="s">
        <v>408</v>
      </c>
      <c r="C687" s="301"/>
      <c r="D687" s="302"/>
      <c r="E687" s="514"/>
      <c r="F687" s="348"/>
      <c r="G687" s="303"/>
      <c r="H687" s="321"/>
      <c r="I687" s="325"/>
    </row>
    <row r="688" spans="1:9" ht="13.5" customHeight="1">
      <c r="A688" s="416"/>
      <c r="B688" s="433" t="s">
        <v>383</v>
      </c>
      <c r="C688" s="417">
        <f>SUM(D688:E688)</f>
        <v>50688</v>
      </c>
      <c r="D688" s="418">
        <f>F688+H688</f>
        <v>26088</v>
      </c>
      <c r="E688" s="418">
        <f>G688+I688</f>
        <v>24600</v>
      </c>
      <c r="F688" s="554"/>
      <c r="G688" s="489"/>
      <c r="H688" s="420">
        <v>26088</v>
      </c>
      <c r="I688" s="428">
        <v>24600</v>
      </c>
    </row>
    <row r="689" spans="1:9" ht="17.25" customHeight="1" hidden="1">
      <c r="A689" s="291"/>
      <c r="B689" s="614" t="s">
        <v>378</v>
      </c>
      <c r="C689" s="293">
        <f>SUM(C690)</f>
        <v>0</v>
      </c>
      <c r="D689" s="294">
        <f>SUM(D690)</f>
        <v>0</v>
      </c>
      <c r="E689" s="295"/>
      <c r="F689" s="369"/>
      <c r="G689" s="295"/>
      <c r="H689" s="294">
        <f>H690</f>
        <v>0</v>
      </c>
      <c r="I689" s="325"/>
    </row>
    <row r="690" spans="1:9" ht="17.25" customHeight="1" hidden="1">
      <c r="A690" s="291"/>
      <c r="B690" s="559" t="s">
        <v>379</v>
      </c>
      <c r="C690" s="293">
        <f>SUM(D690:E690)</f>
        <v>0</v>
      </c>
      <c r="D690" s="302">
        <f>F690+H690</f>
        <v>0</v>
      </c>
      <c r="E690" s="303"/>
      <c r="F690" s="348"/>
      <c r="G690" s="295"/>
      <c r="H690" s="302">
        <v>0</v>
      </c>
      <c r="I690" s="325"/>
    </row>
    <row r="691" spans="1:9" ht="13.5" customHeight="1">
      <c r="A691" s="346">
        <v>85395</v>
      </c>
      <c r="B691" s="470" t="s">
        <v>389</v>
      </c>
      <c r="C691" s="310">
        <f>SUM(C692)</f>
        <v>1563392</v>
      </c>
      <c r="D691" s="311">
        <f>SUM(D692)</f>
        <v>1563392</v>
      </c>
      <c r="E691" s="312"/>
      <c r="F691" s="426">
        <f>SUM(F692)</f>
        <v>951410</v>
      </c>
      <c r="G691" s="312"/>
      <c r="H691" s="313">
        <f>H692</f>
        <v>611982</v>
      </c>
      <c r="I691" s="314"/>
    </row>
    <row r="692" spans="1:9" ht="14.25" customHeight="1">
      <c r="A692" s="479"/>
      <c r="B692" s="543" t="s">
        <v>421</v>
      </c>
      <c r="C692" s="550">
        <f>SUM(C693:C696)</f>
        <v>1563392</v>
      </c>
      <c r="D692" s="294">
        <f>F692+H692</f>
        <v>1563392</v>
      </c>
      <c r="E692" s="295"/>
      <c r="F692" s="552">
        <f>SUM(F693:F696)</f>
        <v>951410</v>
      </c>
      <c r="G692" s="484"/>
      <c r="H692" s="485">
        <f>SUM(H693:H696)</f>
        <v>611982</v>
      </c>
      <c r="I692" s="520"/>
    </row>
    <row r="693" spans="1:9" ht="12" customHeight="1">
      <c r="A693" s="291"/>
      <c r="B693" s="300" t="s">
        <v>407</v>
      </c>
      <c r="C693" s="301">
        <f>SUM(D693:E693)</f>
        <v>566147</v>
      </c>
      <c r="D693" s="302">
        <f>F693+H693</f>
        <v>566147</v>
      </c>
      <c r="E693" s="295"/>
      <c r="F693" s="654">
        <v>353668</v>
      </c>
      <c r="G693" s="655"/>
      <c r="H693" s="656">
        <v>212479</v>
      </c>
      <c r="I693" s="657"/>
    </row>
    <row r="694" spans="1:9" ht="12" customHeight="1">
      <c r="A694" s="291"/>
      <c r="B694" s="300" t="s">
        <v>408</v>
      </c>
      <c r="C694" s="301"/>
      <c r="D694" s="302"/>
      <c r="E694" s="295"/>
      <c r="F694" s="658"/>
      <c r="G694" s="429"/>
      <c r="H694" s="430"/>
      <c r="I694" s="431"/>
    </row>
    <row r="695" spans="1:9" ht="12" customHeight="1">
      <c r="A695" s="291"/>
      <c r="B695" s="300" t="s">
        <v>394</v>
      </c>
      <c r="C695" s="301">
        <f>SUM(D695:E695)</f>
        <v>17936</v>
      </c>
      <c r="D695" s="302">
        <f>F695+H695</f>
        <v>17936</v>
      </c>
      <c r="E695" s="295"/>
      <c r="F695" s="658"/>
      <c r="G695" s="429"/>
      <c r="H695" s="656">
        <v>17936</v>
      </c>
      <c r="I695" s="431"/>
    </row>
    <row r="696" spans="1:9" s="451" customFormat="1" ht="12" customHeight="1" thickBot="1">
      <c r="A696" s="299"/>
      <c r="B696" s="349" t="s">
        <v>383</v>
      </c>
      <c r="C696" s="301">
        <f>SUM(D696:E696)</f>
        <v>979309</v>
      </c>
      <c r="D696" s="302">
        <f>F696+H696</f>
        <v>979309</v>
      </c>
      <c r="E696" s="303"/>
      <c r="F696" s="348">
        <v>597742</v>
      </c>
      <c r="G696" s="305"/>
      <c r="H696" s="304">
        <v>381567</v>
      </c>
      <c r="I696" s="306"/>
    </row>
    <row r="697" spans="1:9" s="375" customFormat="1" ht="42" customHeight="1" thickBot="1" thickTop="1">
      <c r="A697" s="642">
        <v>854</v>
      </c>
      <c r="B697" s="285" t="s">
        <v>281</v>
      </c>
      <c r="C697" s="286">
        <f>C707+C713+C721+C727+C733+C742+C750+C755+C769+C766+C763</f>
        <v>12456305</v>
      </c>
      <c r="D697" s="287">
        <f>D707+D713+D721+D727+D733+D742+D750+D755+D769+D766+D763</f>
        <v>12456305</v>
      </c>
      <c r="E697" s="288"/>
      <c r="F697" s="350">
        <f>F707+F713+F721+F727+F733+F742+F750+F755+F769+F766+F763</f>
        <v>2227655</v>
      </c>
      <c r="G697" s="288"/>
      <c r="H697" s="289">
        <f>H707+H713+H721+H727+H733+H742+H750+H755+H769+H766+H763</f>
        <v>10228650</v>
      </c>
      <c r="I697" s="234"/>
    </row>
    <row r="698" spans="1:9" s="375" customFormat="1" ht="14.25" thickTop="1">
      <c r="A698" s="643"/>
      <c r="B698" s="644" t="s">
        <v>421</v>
      </c>
      <c r="C698" s="353">
        <f>D698+E698</f>
        <v>12233005</v>
      </c>
      <c r="D698" s="354">
        <f>F698+H698</f>
        <v>12233005</v>
      </c>
      <c r="E698" s="355"/>
      <c r="F698" s="356">
        <f>F708+F714+F728+F734+F743+F751+F756+F767+F770+F764</f>
        <v>2186455</v>
      </c>
      <c r="G698" s="355"/>
      <c r="H698" s="371">
        <f>H708+H714+H728+H734+H743+H751+H756+H767+H770+H764</f>
        <v>10046550</v>
      </c>
      <c r="I698" s="372"/>
    </row>
    <row r="699" spans="1:9" s="307" customFormat="1" ht="12.75">
      <c r="A699" s="645"/>
      <c r="B699" s="300" t="s">
        <v>407</v>
      </c>
      <c r="C699" s="361">
        <f>D699+E699</f>
        <v>7331416</v>
      </c>
      <c r="D699" s="362">
        <f>F699+H699</f>
        <v>7331416</v>
      </c>
      <c r="E699" s="305"/>
      <c r="F699" s="363">
        <f>F709+F715+F729+F735+F744+F757+F771</f>
        <v>1357025</v>
      </c>
      <c r="G699" s="305"/>
      <c r="H699" s="304">
        <f>H709+H715+H729+H735+H744+H757+H771+H752</f>
        <v>5974391</v>
      </c>
      <c r="I699" s="306"/>
    </row>
    <row r="700" spans="1:9" s="307" customFormat="1" ht="12.75">
      <c r="A700" s="645"/>
      <c r="B700" s="300" t="s">
        <v>408</v>
      </c>
      <c r="C700" s="361"/>
      <c r="D700" s="362"/>
      <c r="E700" s="305"/>
      <c r="F700" s="363"/>
      <c r="G700" s="305"/>
      <c r="H700" s="304"/>
      <c r="I700" s="306"/>
    </row>
    <row r="701" spans="1:9" s="307" customFormat="1" ht="12.75">
      <c r="A701" s="645"/>
      <c r="B701" s="320" t="s">
        <v>394</v>
      </c>
      <c r="C701" s="361">
        <f aca="true" t="shared" si="33" ref="C701:C706">D701+E701</f>
        <v>831000</v>
      </c>
      <c r="D701" s="362">
        <f aca="true" t="shared" si="34" ref="D701:D706">F701+H701</f>
        <v>831000</v>
      </c>
      <c r="E701" s="305"/>
      <c r="F701" s="363">
        <f>F773+F765</f>
        <v>31000</v>
      </c>
      <c r="G701" s="305"/>
      <c r="H701" s="304">
        <f>H765+H773</f>
        <v>800000</v>
      </c>
      <c r="I701" s="306"/>
    </row>
    <row r="702" spans="1:9" s="307" customFormat="1" ht="12.75">
      <c r="A702" s="645"/>
      <c r="B702" s="300" t="s">
        <v>383</v>
      </c>
      <c r="C702" s="361">
        <f t="shared" si="33"/>
        <v>4070589</v>
      </c>
      <c r="D702" s="362">
        <f t="shared" si="34"/>
        <v>4070589</v>
      </c>
      <c r="E702" s="305"/>
      <c r="F702" s="363">
        <f>F711+F717+F731+F737+F746+F754+F759+F768+F774</f>
        <v>798430</v>
      </c>
      <c r="G702" s="305"/>
      <c r="H702" s="304">
        <f>H711+H717+H731+H737+H746+H754+H759+H768+H774</f>
        <v>3272159</v>
      </c>
      <c r="I702" s="306"/>
    </row>
    <row r="703" spans="1:9" s="307" customFormat="1" ht="12">
      <c r="A703" s="659"/>
      <c r="B703" s="559" t="s">
        <v>410</v>
      </c>
      <c r="C703" s="293">
        <f t="shared" si="33"/>
        <v>34600</v>
      </c>
      <c r="D703" s="294">
        <f t="shared" si="34"/>
        <v>34600</v>
      </c>
      <c r="E703" s="295"/>
      <c r="F703" s="317">
        <f>F712+F718+F747+F738+F760</f>
        <v>3300</v>
      </c>
      <c r="G703" s="295"/>
      <c r="H703" s="317">
        <f>H712+H718+H747+H738+H760+H732</f>
        <v>31300</v>
      </c>
      <c r="I703" s="318"/>
    </row>
    <row r="704" spans="1:9" s="375" customFormat="1" ht="13.5">
      <c r="A704" s="643"/>
      <c r="B704" s="352" t="s">
        <v>378</v>
      </c>
      <c r="C704" s="353">
        <f t="shared" si="33"/>
        <v>223300</v>
      </c>
      <c r="D704" s="354">
        <f t="shared" si="34"/>
        <v>223300</v>
      </c>
      <c r="E704" s="355"/>
      <c r="F704" s="371">
        <f>F748+F776+F761+F739+F719</f>
        <v>41200</v>
      </c>
      <c r="G704" s="355"/>
      <c r="H704" s="371">
        <f>H748+H776+H761+H739+H719</f>
        <v>182100</v>
      </c>
      <c r="I704" s="372"/>
    </row>
    <row r="705" spans="1:9" s="307" customFormat="1" ht="13.5" customHeight="1" thickBot="1">
      <c r="A705" s="660"/>
      <c r="B705" s="457" t="s">
        <v>391</v>
      </c>
      <c r="C705" s="458">
        <f t="shared" si="33"/>
        <v>223300</v>
      </c>
      <c r="D705" s="459">
        <f>F705+H705</f>
        <v>223300</v>
      </c>
      <c r="E705" s="476"/>
      <c r="F705" s="461">
        <f>F749+F777+F762</f>
        <v>41200</v>
      </c>
      <c r="G705" s="476"/>
      <c r="H705" s="461">
        <f>H749+H777+H762+H726+H740</f>
        <v>182100</v>
      </c>
      <c r="I705" s="394"/>
    </row>
    <row r="706" spans="1:9" s="307" customFormat="1" ht="13.5" customHeight="1" hidden="1">
      <c r="A706" s="645"/>
      <c r="B706" s="320" t="s">
        <v>379</v>
      </c>
      <c r="C706" s="361">
        <f t="shared" si="33"/>
        <v>0</v>
      </c>
      <c r="D706" s="362">
        <f t="shared" si="34"/>
        <v>0</v>
      </c>
      <c r="E706" s="305"/>
      <c r="F706" s="304"/>
      <c r="G706" s="305"/>
      <c r="H706" s="304">
        <f>H741+H720</f>
        <v>0</v>
      </c>
      <c r="I706" s="306"/>
    </row>
    <row r="707" spans="1:9" s="315" customFormat="1" ht="15" customHeight="1" thickTop="1">
      <c r="A707" s="346">
        <v>85401</v>
      </c>
      <c r="B707" s="470" t="s">
        <v>489</v>
      </c>
      <c r="C707" s="310">
        <f aca="true" t="shared" si="35" ref="C707:H707">SUM(C708)</f>
        <v>1498293</v>
      </c>
      <c r="D707" s="311">
        <f t="shared" si="35"/>
        <v>1498293</v>
      </c>
      <c r="E707" s="312"/>
      <c r="F707" s="313">
        <f t="shared" si="35"/>
        <v>1244927</v>
      </c>
      <c r="G707" s="312"/>
      <c r="H707" s="313">
        <f t="shared" si="35"/>
        <v>253366</v>
      </c>
      <c r="I707" s="314"/>
    </row>
    <row r="708" spans="1:9" ht="12.75">
      <c r="A708" s="479"/>
      <c r="B708" s="543" t="s">
        <v>421</v>
      </c>
      <c r="C708" s="550">
        <f>SUM(C709:C711)</f>
        <v>1498293</v>
      </c>
      <c r="D708" s="294">
        <f>F708+H708</f>
        <v>1498293</v>
      </c>
      <c r="E708" s="295"/>
      <c r="F708" s="485">
        <f>SUM(F709:F711)</f>
        <v>1244927</v>
      </c>
      <c r="G708" s="484"/>
      <c r="H708" s="485">
        <f>SUM(H709:H711)</f>
        <v>253366</v>
      </c>
      <c r="I708" s="520"/>
    </row>
    <row r="709" spans="1:9" s="451" customFormat="1" ht="12">
      <c r="A709" s="299"/>
      <c r="B709" s="300" t="s">
        <v>407</v>
      </c>
      <c r="C709" s="301">
        <f>SUM(D709:E709)</f>
        <v>1368500</v>
      </c>
      <c r="D709" s="302">
        <f>F709+H709</f>
        <v>1368500</v>
      </c>
      <c r="E709" s="303"/>
      <c r="F709" s="321">
        <v>1134310</v>
      </c>
      <c r="G709" s="303"/>
      <c r="H709" s="321">
        <v>234190</v>
      </c>
      <c r="I709" s="325"/>
    </row>
    <row r="710" spans="1:9" s="451" customFormat="1" ht="12">
      <c r="A710" s="299"/>
      <c r="B710" s="300" t="s">
        <v>408</v>
      </c>
      <c r="C710" s="301"/>
      <c r="D710" s="302"/>
      <c r="E710" s="303"/>
      <c r="F710" s="321"/>
      <c r="G710" s="303"/>
      <c r="H710" s="321"/>
      <c r="I710" s="325"/>
    </row>
    <row r="711" spans="1:9" s="451" customFormat="1" ht="12" customHeight="1">
      <c r="A711" s="299"/>
      <c r="B711" s="300" t="s">
        <v>383</v>
      </c>
      <c r="C711" s="301">
        <f>SUM(D711:E711)</f>
        <v>129793</v>
      </c>
      <c r="D711" s="302">
        <f>F711+H711</f>
        <v>129793</v>
      </c>
      <c r="E711" s="303"/>
      <c r="F711" s="321">
        <v>110617</v>
      </c>
      <c r="G711" s="303"/>
      <c r="H711" s="321">
        <v>19176</v>
      </c>
      <c r="I711" s="325"/>
    </row>
    <row r="712" spans="1:9" s="451" customFormat="1" ht="10.5" customHeight="1">
      <c r="A712" s="432"/>
      <c r="B712" s="349" t="s">
        <v>410</v>
      </c>
      <c r="C712" s="417">
        <f>SUM(D712:E712)</f>
        <v>300</v>
      </c>
      <c r="D712" s="418">
        <f>F712+H712</f>
        <v>300</v>
      </c>
      <c r="E712" s="419"/>
      <c r="F712" s="420"/>
      <c r="G712" s="419"/>
      <c r="H712" s="420">
        <v>300</v>
      </c>
      <c r="I712" s="428"/>
    </row>
    <row r="713" spans="1:9" s="307" customFormat="1" ht="24" customHeight="1">
      <c r="A713" s="346">
        <v>85403</v>
      </c>
      <c r="B713" s="470" t="s">
        <v>490</v>
      </c>
      <c r="C713" s="310">
        <f>SUM(C714+C719)</f>
        <v>1441816</v>
      </c>
      <c r="D713" s="311">
        <f>SUM(D714+D719)</f>
        <v>1441816</v>
      </c>
      <c r="E713" s="312"/>
      <c r="F713" s="313"/>
      <c r="G713" s="312"/>
      <c r="H713" s="311">
        <f>SUM(H714+H719)</f>
        <v>1441816</v>
      </c>
      <c r="I713" s="227"/>
    </row>
    <row r="714" spans="1:9" s="307" customFormat="1" ht="14.25" customHeight="1">
      <c r="A714" s="479"/>
      <c r="B714" s="543" t="s">
        <v>421</v>
      </c>
      <c r="C714" s="550">
        <f>SUM(C715:C717)</f>
        <v>1441816</v>
      </c>
      <c r="D714" s="481">
        <f>F714+H714</f>
        <v>1441816</v>
      </c>
      <c r="E714" s="482"/>
      <c r="F714" s="485"/>
      <c r="G714" s="484"/>
      <c r="H714" s="485">
        <f>SUM(H715:H717)</f>
        <v>1441816</v>
      </c>
      <c r="I714" s="486"/>
    </row>
    <row r="715" spans="1:9" s="307" customFormat="1" ht="12.75" customHeight="1">
      <c r="A715" s="299"/>
      <c r="B715" s="300" t="s">
        <v>407</v>
      </c>
      <c r="C715" s="301">
        <f>SUM(D715:E715)</f>
        <v>1175605</v>
      </c>
      <c r="D715" s="302">
        <f>F715+H715</f>
        <v>1175605</v>
      </c>
      <c r="E715" s="303"/>
      <c r="F715" s="321"/>
      <c r="G715" s="303"/>
      <c r="H715" s="321">
        <v>1175605</v>
      </c>
      <c r="I715" s="318"/>
    </row>
    <row r="716" spans="1:9" s="307" customFormat="1" ht="12.75" customHeight="1">
      <c r="A716" s="299"/>
      <c r="B716" s="300" t="s">
        <v>408</v>
      </c>
      <c r="C716" s="301"/>
      <c r="D716" s="302"/>
      <c r="E716" s="303"/>
      <c r="F716" s="321"/>
      <c r="G716" s="303"/>
      <c r="H716" s="321"/>
      <c r="I716" s="318"/>
    </row>
    <row r="717" spans="1:9" s="307" customFormat="1" ht="12.75" customHeight="1">
      <c r="A717" s="299"/>
      <c r="B717" s="300" t="s">
        <v>383</v>
      </c>
      <c r="C717" s="301">
        <f>SUM(D717:E717)</f>
        <v>266211</v>
      </c>
      <c r="D717" s="302">
        <f>F717+H717</f>
        <v>266211</v>
      </c>
      <c r="E717" s="303"/>
      <c r="F717" s="321"/>
      <c r="G717" s="303"/>
      <c r="H717" s="321">
        <v>266211</v>
      </c>
      <c r="I717" s="318"/>
    </row>
    <row r="718" spans="1:9" s="307" customFormat="1" ht="12" customHeight="1">
      <c r="A718" s="299"/>
      <c r="B718" s="300" t="s">
        <v>410</v>
      </c>
      <c r="C718" s="301">
        <f>SUM(D718:E718)</f>
        <v>8000</v>
      </c>
      <c r="D718" s="302">
        <f>F718+H718</f>
        <v>8000</v>
      </c>
      <c r="E718" s="303"/>
      <c r="F718" s="321"/>
      <c r="G718" s="303"/>
      <c r="H718" s="321">
        <v>8000</v>
      </c>
      <c r="I718" s="318"/>
    </row>
    <row r="719" spans="1:9" ht="12" hidden="1">
      <c r="A719" s="291"/>
      <c r="B719" s="614" t="s">
        <v>378</v>
      </c>
      <c r="C719" s="293">
        <f>SUM(C720:C726)</f>
        <v>0</v>
      </c>
      <c r="D719" s="294">
        <f>SUM(D720:D726)</f>
        <v>0</v>
      </c>
      <c r="E719" s="295"/>
      <c r="F719" s="317"/>
      <c r="G719" s="295"/>
      <c r="H719" s="294">
        <f>SUM(H720:H726)</f>
        <v>0</v>
      </c>
      <c r="I719" s="318"/>
    </row>
    <row r="720" spans="1:9" ht="13.5" customHeight="1" hidden="1">
      <c r="A720" s="291"/>
      <c r="B720" s="559" t="s">
        <v>379</v>
      </c>
      <c r="C720" s="293">
        <f>SUM(D720:E720)</f>
        <v>0</v>
      </c>
      <c r="D720" s="302">
        <f>F720+H720</f>
        <v>0</v>
      </c>
      <c r="E720" s="303"/>
      <c r="F720" s="321"/>
      <c r="G720" s="295"/>
      <c r="H720" s="302"/>
      <c r="I720" s="318"/>
    </row>
    <row r="721" spans="1:9" ht="12.75" customHeight="1" hidden="1">
      <c r="A721" s="395">
        <v>85404</v>
      </c>
      <c r="B721" s="464" t="s">
        <v>449</v>
      </c>
      <c r="C721" s="293">
        <f aca="true" t="shared" si="36" ref="C721:C726">SUM(D721:E721)</f>
        <v>0</v>
      </c>
      <c r="D721" s="302">
        <f aca="true" t="shared" si="37" ref="D721:D726">F721+H721</f>
        <v>0</v>
      </c>
      <c r="E721" s="399"/>
      <c r="F721" s="400">
        <f>SUM(F722)</f>
        <v>0</v>
      </c>
      <c r="G721" s="399"/>
      <c r="H721" s="468"/>
      <c r="I721" s="469"/>
    </row>
    <row r="722" spans="1:9" ht="15.75" customHeight="1" hidden="1">
      <c r="A722" s="291"/>
      <c r="B722" s="316" t="s">
        <v>382</v>
      </c>
      <c r="C722" s="293">
        <f t="shared" si="36"/>
        <v>0</v>
      </c>
      <c r="D722" s="302">
        <f t="shared" si="37"/>
        <v>0</v>
      </c>
      <c r="E722" s="295"/>
      <c r="F722" s="296">
        <f>SUM(F723)</f>
        <v>0</v>
      </c>
      <c r="G722" s="429"/>
      <c r="H722" s="430"/>
      <c r="I722" s="431"/>
    </row>
    <row r="723" spans="1:9" ht="13.5" customHeight="1" hidden="1">
      <c r="A723" s="291"/>
      <c r="B723" s="320" t="s">
        <v>394</v>
      </c>
      <c r="C723" s="293">
        <f t="shared" si="36"/>
        <v>0</v>
      </c>
      <c r="D723" s="302">
        <f t="shared" si="37"/>
        <v>0</v>
      </c>
      <c r="E723" s="303"/>
      <c r="F723" s="321"/>
      <c r="G723" s="295"/>
      <c r="H723" s="317"/>
      <c r="I723" s="569"/>
    </row>
    <row r="724" spans="1:9" ht="14.25" customHeight="1" hidden="1">
      <c r="A724" s="291"/>
      <c r="B724" s="614" t="s">
        <v>378</v>
      </c>
      <c r="C724" s="293">
        <f t="shared" si="36"/>
        <v>0</v>
      </c>
      <c r="D724" s="302">
        <f t="shared" si="37"/>
        <v>0</v>
      </c>
      <c r="E724" s="295"/>
      <c r="F724" s="317"/>
      <c r="G724" s="295"/>
      <c r="H724" s="294"/>
      <c r="I724" s="318"/>
    </row>
    <row r="725" spans="1:9" ht="10.5" customHeight="1" hidden="1">
      <c r="A725" s="416"/>
      <c r="B725" s="624" t="s">
        <v>379</v>
      </c>
      <c r="C725" s="293">
        <f t="shared" si="36"/>
        <v>0</v>
      </c>
      <c r="D725" s="302">
        <f t="shared" si="37"/>
        <v>0</v>
      </c>
      <c r="E725" s="419"/>
      <c r="F725" s="420"/>
      <c r="G725" s="489"/>
      <c r="H725" s="418"/>
      <c r="I725" s="569"/>
    </row>
    <row r="726" spans="1:9" ht="13.5" customHeight="1" hidden="1">
      <c r="A726" s="416"/>
      <c r="B726" s="320" t="s">
        <v>391</v>
      </c>
      <c r="C726" s="293">
        <f t="shared" si="36"/>
        <v>0</v>
      </c>
      <c r="D726" s="302">
        <f t="shared" si="37"/>
        <v>0</v>
      </c>
      <c r="E726" s="419"/>
      <c r="F726" s="420"/>
      <c r="G726" s="489"/>
      <c r="H726" s="418"/>
      <c r="I726" s="569"/>
    </row>
    <row r="727" spans="1:9" s="315" customFormat="1" ht="24.75" customHeight="1">
      <c r="A727" s="346">
        <v>85406</v>
      </c>
      <c r="B727" s="470" t="s">
        <v>491</v>
      </c>
      <c r="C727" s="310">
        <f aca="true" t="shared" si="38" ref="C727:H727">SUM(C728)</f>
        <v>1481100</v>
      </c>
      <c r="D727" s="311">
        <f t="shared" si="38"/>
        <v>1481100</v>
      </c>
      <c r="E727" s="312"/>
      <c r="F727" s="313"/>
      <c r="G727" s="312"/>
      <c r="H727" s="313">
        <f t="shared" si="38"/>
        <v>1481100</v>
      </c>
      <c r="I727" s="227"/>
    </row>
    <row r="728" spans="1:9" ht="12.75">
      <c r="A728" s="479"/>
      <c r="B728" s="543" t="s">
        <v>421</v>
      </c>
      <c r="C728" s="550">
        <f>SUM(C729:C731)</f>
        <v>1481100</v>
      </c>
      <c r="D728" s="294">
        <f>F728+H728</f>
        <v>1481100</v>
      </c>
      <c r="E728" s="295"/>
      <c r="F728" s="485"/>
      <c r="G728" s="484"/>
      <c r="H728" s="485">
        <f>SUM(H729:H731)</f>
        <v>1481100</v>
      </c>
      <c r="I728" s="520"/>
    </row>
    <row r="729" spans="1:9" s="451" customFormat="1" ht="12">
      <c r="A729" s="299"/>
      <c r="B729" s="300" t="s">
        <v>407</v>
      </c>
      <c r="C729" s="301">
        <f>SUM(D729:E729)</f>
        <v>1285300</v>
      </c>
      <c r="D729" s="302">
        <f>F729+H729</f>
        <v>1285300</v>
      </c>
      <c r="E729" s="303"/>
      <c r="F729" s="321"/>
      <c r="G729" s="303"/>
      <c r="H729" s="321">
        <v>1285300</v>
      </c>
      <c r="I729" s="325"/>
    </row>
    <row r="730" spans="1:9" s="451" customFormat="1" ht="12">
      <c r="A730" s="299"/>
      <c r="B730" s="300" t="s">
        <v>408</v>
      </c>
      <c r="C730" s="301"/>
      <c r="D730" s="302"/>
      <c r="E730" s="303"/>
      <c r="F730" s="321"/>
      <c r="G730" s="303"/>
      <c r="H730" s="321"/>
      <c r="I730" s="325"/>
    </row>
    <row r="731" spans="1:9" s="451" customFormat="1" ht="12">
      <c r="A731" s="299"/>
      <c r="B731" s="300" t="s">
        <v>383</v>
      </c>
      <c r="C731" s="301">
        <f>SUM(D731:E731)</f>
        <v>195800</v>
      </c>
      <c r="D731" s="302">
        <f>F731+H731</f>
        <v>195800</v>
      </c>
      <c r="E731" s="303"/>
      <c r="F731" s="321"/>
      <c r="G731" s="303"/>
      <c r="H731" s="321">
        <v>195800</v>
      </c>
      <c r="I731" s="325"/>
    </row>
    <row r="732" spans="1:9" s="451" customFormat="1" ht="11.25" customHeight="1">
      <c r="A732" s="299"/>
      <c r="B732" s="300" t="s">
        <v>410</v>
      </c>
      <c r="C732" s="301">
        <f>SUM(D732:E732)</f>
        <v>1000</v>
      </c>
      <c r="D732" s="302">
        <f>F732+H732</f>
        <v>1000</v>
      </c>
      <c r="E732" s="303"/>
      <c r="F732" s="321"/>
      <c r="G732" s="303"/>
      <c r="H732" s="321">
        <v>1000</v>
      </c>
      <c r="I732" s="325"/>
    </row>
    <row r="733" spans="1:9" s="315" customFormat="1" ht="35.25" customHeight="1">
      <c r="A733" s="346">
        <v>85407</v>
      </c>
      <c r="B733" s="470" t="s">
        <v>492</v>
      </c>
      <c r="C733" s="310">
        <f>SUM(C734+C739)</f>
        <v>1691550</v>
      </c>
      <c r="D733" s="311">
        <f>SUM(D734+D739)</f>
        <v>1691550</v>
      </c>
      <c r="E733" s="312"/>
      <c r="F733" s="313"/>
      <c r="G733" s="312"/>
      <c r="H733" s="313">
        <f>SUM(H734+H739)</f>
        <v>1691550</v>
      </c>
      <c r="I733" s="314"/>
    </row>
    <row r="734" spans="1:9" ht="12.75">
      <c r="A734" s="579"/>
      <c r="B734" s="629" t="s">
        <v>421</v>
      </c>
      <c r="C734" s="661">
        <f>SUM(C735:C737)</f>
        <v>1621550</v>
      </c>
      <c r="D734" s="582">
        <f>F734+H734</f>
        <v>1621550</v>
      </c>
      <c r="E734" s="512"/>
      <c r="F734" s="662"/>
      <c r="G734" s="584"/>
      <c r="H734" s="662">
        <f>SUM(H735:H737)</f>
        <v>1621550</v>
      </c>
      <c r="I734" s="585"/>
    </row>
    <row r="735" spans="1:9" s="451" customFormat="1" ht="12.75" customHeight="1">
      <c r="A735" s="299"/>
      <c r="B735" s="300" t="s">
        <v>407</v>
      </c>
      <c r="C735" s="301">
        <f>SUM(D735:E735)</f>
        <v>1373850</v>
      </c>
      <c r="D735" s="302">
        <f>F735+H735</f>
        <v>1373850</v>
      </c>
      <c r="E735" s="303"/>
      <c r="F735" s="321"/>
      <c r="G735" s="303"/>
      <c r="H735" s="321">
        <v>1373850</v>
      </c>
      <c r="I735" s="325"/>
    </row>
    <row r="736" spans="1:9" s="451" customFormat="1" ht="12.75" customHeight="1">
      <c r="A736" s="299"/>
      <c r="B736" s="300" t="s">
        <v>408</v>
      </c>
      <c r="C736" s="301"/>
      <c r="D736" s="302"/>
      <c r="E736" s="303"/>
      <c r="F736" s="321"/>
      <c r="G736" s="303"/>
      <c r="H736" s="321"/>
      <c r="I736" s="325"/>
    </row>
    <row r="737" spans="1:9" s="451" customFormat="1" ht="12.75" customHeight="1">
      <c r="A737" s="299"/>
      <c r="B737" s="300" t="s">
        <v>383</v>
      </c>
      <c r="C737" s="301">
        <f>SUM(D737:E737)</f>
        <v>247700</v>
      </c>
      <c r="D737" s="302">
        <f>F737+H737</f>
        <v>247700</v>
      </c>
      <c r="E737" s="303"/>
      <c r="F737" s="321"/>
      <c r="G737" s="303"/>
      <c r="H737" s="321">
        <v>247700</v>
      </c>
      <c r="I737" s="325"/>
    </row>
    <row r="738" spans="1:9" s="451" customFormat="1" ht="12.75" customHeight="1">
      <c r="A738" s="299"/>
      <c r="B738" s="300" t="s">
        <v>410</v>
      </c>
      <c r="C738" s="301">
        <f>SUM(D738:E738)</f>
        <v>4000</v>
      </c>
      <c r="D738" s="302">
        <f>F738+H738</f>
        <v>4000</v>
      </c>
      <c r="E738" s="303"/>
      <c r="F738" s="321"/>
      <c r="G738" s="303"/>
      <c r="H738" s="321">
        <v>4000</v>
      </c>
      <c r="I738" s="325"/>
    </row>
    <row r="739" spans="1:9" ht="12.75">
      <c r="A739" s="291"/>
      <c r="B739" s="316" t="s">
        <v>378</v>
      </c>
      <c r="C739" s="293">
        <f>SUM(C740:C741)</f>
        <v>70000</v>
      </c>
      <c r="D739" s="294">
        <f>SUM(D740:D741)</f>
        <v>70000</v>
      </c>
      <c r="E739" s="295"/>
      <c r="F739" s="296"/>
      <c r="G739" s="429"/>
      <c r="H739" s="296">
        <f>SUM(H740:H741)</f>
        <v>70000</v>
      </c>
      <c r="I739" s="431"/>
    </row>
    <row r="740" spans="1:9" ht="12.75">
      <c r="A740" s="291"/>
      <c r="B740" s="320" t="s">
        <v>391</v>
      </c>
      <c r="C740" s="417">
        <f>SUM(D740:E740)</f>
        <v>70000</v>
      </c>
      <c r="D740" s="418">
        <f>F740+H740</f>
        <v>70000</v>
      </c>
      <c r="E740" s="295"/>
      <c r="F740" s="296"/>
      <c r="G740" s="429"/>
      <c r="H740" s="296">
        <v>70000</v>
      </c>
      <c r="I740" s="431"/>
    </row>
    <row r="741" spans="1:9" ht="14.25" customHeight="1" hidden="1">
      <c r="A741" s="416"/>
      <c r="B741" s="433" t="s">
        <v>379</v>
      </c>
      <c r="C741" s="417">
        <f>SUM(D741:E741)</f>
        <v>0</v>
      </c>
      <c r="D741" s="418">
        <f>F741+H741</f>
        <v>0</v>
      </c>
      <c r="E741" s="419"/>
      <c r="F741" s="420"/>
      <c r="G741" s="489"/>
      <c r="H741" s="420"/>
      <c r="I741" s="569"/>
    </row>
    <row r="742" spans="1:9" s="315" customFormat="1" ht="23.25" customHeight="1">
      <c r="A742" s="346">
        <v>85410</v>
      </c>
      <c r="B742" s="470" t="s">
        <v>493</v>
      </c>
      <c r="C742" s="310">
        <f>SUM(C743)+C748</f>
        <v>2603588</v>
      </c>
      <c r="D742" s="311">
        <f>SUM(D743)+D748</f>
        <v>2603588</v>
      </c>
      <c r="E742" s="312"/>
      <c r="F742" s="313"/>
      <c r="G742" s="312"/>
      <c r="H742" s="313">
        <f>SUM(H743)+H748</f>
        <v>2603588</v>
      </c>
      <c r="I742" s="314"/>
    </row>
    <row r="743" spans="1:9" ht="13.5" customHeight="1">
      <c r="A743" s="479"/>
      <c r="B743" s="543" t="s">
        <v>421</v>
      </c>
      <c r="C743" s="550">
        <f>SUM(C744:C746)</f>
        <v>2491488</v>
      </c>
      <c r="D743" s="294">
        <f>F743+H743</f>
        <v>2491488</v>
      </c>
      <c r="E743" s="295"/>
      <c r="F743" s="485"/>
      <c r="G743" s="484"/>
      <c r="H743" s="485">
        <f>SUM(H744:H746)</f>
        <v>2491488</v>
      </c>
      <c r="I743" s="520"/>
    </row>
    <row r="744" spans="1:9" s="451" customFormat="1" ht="11.25" customHeight="1">
      <c r="A744" s="299"/>
      <c r="B744" s="300" t="s">
        <v>407</v>
      </c>
      <c r="C744" s="301">
        <f>SUM(D744:E744)</f>
        <v>1850497</v>
      </c>
      <c r="D744" s="302">
        <f>F744+H744</f>
        <v>1850497</v>
      </c>
      <c r="E744" s="303"/>
      <c r="F744" s="321"/>
      <c r="G744" s="303"/>
      <c r="H744" s="321">
        <v>1850497</v>
      </c>
      <c r="I744" s="325"/>
    </row>
    <row r="745" spans="1:9" s="451" customFormat="1" ht="12">
      <c r="A745" s="299"/>
      <c r="B745" s="300" t="s">
        <v>408</v>
      </c>
      <c r="C745" s="301"/>
      <c r="D745" s="302"/>
      <c r="E745" s="303"/>
      <c r="F745" s="321"/>
      <c r="G745" s="303"/>
      <c r="H745" s="321"/>
      <c r="I745" s="325"/>
    </row>
    <row r="746" spans="1:9" s="451" customFormat="1" ht="12">
      <c r="A746" s="299"/>
      <c r="B746" s="300" t="s">
        <v>383</v>
      </c>
      <c r="C746" s="301">
        <f>SUM(D746:E746)</f>
        <v>640991</v>
      </c>
      <c r="D746" s="302">
        <f>F746+H746</f>
        <v>640991</v>
      </c>
      <c r="E746" s="303"/>
      <c r="F746" s="321"/>
      <c r="G746" s="303"/>
      <c r="H746" s="321">
        <v>640991</v>
      </c>
      <c r="I746" s="325"/>
    </row>
    <row r="747" spans="1:9" s="451" customFormat="1" ht="12.75" customHeight="1">
      <c r="A747" s="299"/>
      <c r="B747" s="300" t="s">
        <v>410</v>
      </c>
      <c r="C747" s="301">
        <f>SUM(D747:E747)</f>
        <v>18000</v>
      </c>
      <c r="D747" s="302">
        <f>F747+H747</f>
        <v>18000</v>
      </c>
      <c r="E747" s="303"/>
      <c r="F747" s="321"/>
      <c r="G747" s="303"/>
      <c r="H747" s="321">
        <v>18000</v>
      </c>
      <c r="I747" s="325"/>
    </row>
    <row r="748" spans="1:9" ht="12.75">
      <c r="A748" s="291"/>
      <c r="B748" s="316" t="s">
        <v>378</v>
      </c>
      <c r="C748" s="293">
        <f>SUM(C749)</f>
        <v>112100</v>
      </c>
      <c r="D748" s="294">
        <f>SUM(D749)</f>
        <v>112100</v>
      </c>
      <c r="E748" s="295"/>
      <c r="F748" s="296"/>
      <c r="G748" s="429"/>
      <c r="H748" s="296">
        <f>SUM(H749)</f>
        <v>112100</v>
      </c>
      <c r="I748" s="431"/>
    </row>
    <row r="749" spans="1:9" ht="12">
      <c r="A749" s="291"/>
      <c r="B749" s="320" t="s">
        <v>391</v>
      </c>
      <c r="C749" s="301">
        <f>SUM(D749:E749)</f>
        <v>112100</v>
      </c>
      <c r="D749" s="302">
        <f>F749+H749</f>
        <v>112100</v>
      </c>
      <c r="E749" s="303"/>
      <c r="F749" s="321"/>
      <c r="G749" s="295"/>
      <c r="H749" s="321">
        <v>112100</v>
      </c>
      <c r="I749" s="318"/>
    </row>
    <row r="750" spans="1:9" s="315" customFormat="1" ht="24.75" customHeight="1">
      <c r="A750" s="346">
        <v>85415</v>
      </c>
      <c r="B750" s="470" t="s">
        <v>494</v>
      </c>
      <c r="C750" s="310">
        <f>SUM(C751)</f>
        <v>1807445</v>
      </c>
      <c r="D750" s="311">
        <f>SUM(D751)</f>
        <v>1807445</v>
      </c>
      <c r="E750" s="312"/>
      <c r="F750" s="313">
        <f>SUM(F751)</f>
        <v>592355</v>
      </c>
      <c r="G750" s="312"/>
      <c r="H750" s="313">
        <f>SUM(H751)</f>
        <v>1215090</v>
      </c>
      <c r="I750" s="314"/>
    </row>
    <row r="751" spans="1:9" ht="12.75">
      <c r="A751" s="479"/>
      <c r="B751" s="543" t="s">
        <v>421</v>
      </c>
      <c r="C751" s="550">
        <f>SUM(C752:C754)</f>
        <v>1807445</v>
      </c>
      <c r="D751" s="294">
        <f>F751+H751</f>
        <v>1807445</v>
      </c>
      <c r="E751" s="295"/>
      <c r="F751" s="485">
        <f>SUM(F752:F754)</f>
        <v>592355</v>
      </c>
      <c r="G751" s="484"/>
      <c r="H751" s="485">
        <f>SUM(H752:H754)</f>
        <v>1215090</v>
      </c>
      <c r="I751" s="520"/>
    </row>
    <row r="752" spans="1:9" s="451" customFormat="1" ht="12.75" customHeight="1">
      <c r="A752" s="299"/>
      <c r="B752" s="300" t="s">
        <v>407</v>
      </c>
      <c r="C752" s="301">
        <f>SUM(D752:E752)</f>
        <v>10000</v>
      </c>
      <c r="D752" s="302">
        <f>F752+H752</f>
        <v>10000</v>
      </c>
      <c r="E752" s="303"/>
      <c r="F752" s="304"/>
      <c r="G752" s="305"/>
      <c r="H752" s="304">
        <v>10000</v>
      </c>
      <c r="I752" s="306"/>
    </row>
    <row r="753" spans="1:9" s="451" customFormat="1" ht="12" customHeight="1">
      <c r="A753" s="299"/>
      <c r="B753" s="300" t="s">
        <v>408</v>
      </c>
      <c r="C753" s="301"/>
      <c r="D753" s="302"/>
      <c r="E753" s="303"/>
      <c r="F753" s="304"/>
      <c r="G753" s="305"/>
      <c r="H753" s="304"/>
      <c r="I753" s="306"/>
    </row>
    <row r="754" spans="1:9" s="451" customFormat="1" ht="12" customHeight="1">
      <c r="A754" s="432"/>
      <c r="B754" s="349" t="s">
        <v>383</v>
      </c>
      <c r="C754" s="417">
        <f>SUM(D754:E754)</f>
        <v>1797445</v>
      </c>
      <c r="D754" s="418">
        <f>F754+H754</f>
        <v>1797445</v>
      </c>
      <c r="E754" s="419"/>
      <c r="F754" s="420">
        <v>592355</v>
      </c>
      <c r="G754" s="419"/>
      <c r="H754" s="420">
        <v>1205090</v>
      </c>
      <c r="I754" s="436"/>
    </row>
    <row r="755" spans="1:9" s="315" customFormat="1" ht="24">
      <c r="A755" s="346">
        <v>85417</v>
      </c>
      <c r="B755" s="470" t="s">
        <v>495</v>
      </c>
      <c r="C755" s="310">
        <f>SUM(C756+C761)</f>
        <v>287148</v>
      </c>
      <c r="D755" s="311">
        <f>SUM(D756+D761)</f>
        <v>287148</v>
      </c>
      <c r="E755" s="312"/>
      <c r="F755" s="313">
        <f>SUM(F756+F761)</f>
        <v>287148</v>
      </c>
      <c r="G755" s="312"/>
      <c r="H755" s="313"/>
      <c r="I755" s="314"/>
    </row>
    <row r="756" spans="1:9" ht="12.75">
      <c r="A756" s="479"/>
      <c r="B756" s="543" t="s">
        <v>421</v>
      </c>
      <c r="C756" s="550">
        <f>SUM(C757:C759)</f>
        <v>245948</v>
      </c>
      <c r="D756" s="294">
        <f>F756+H756</f>
        <v>245948</v>
      </c>
      <c r="E756" s="295"/>
      <c r="F756" s="485">
        <f>SUM(F757:F759)</f>
        <v>245948</v>
      </c>
      <c r="G756" s="484"/>
      <c r="H756" s="485"/>
      <c r="I756" s="520"/>
    </row>
    <row r="757" spans="1:9" s="451" customFormat="1" ht="12">
      <c r="A757" s="299"/>
      <c r="B757" s="300" t="s">
        <v>407</v>
      </c>
      <c r="C757" s="301">
        <f>SUM(D757:E757)</f>
        <v>171290</v>
      </c>
      <c r="D757" s="302">
        <f>F757+H757</f>
        <v>171290</v>
      </c>
      <c r="E757" s="303"/>
      <c r="F757" s="321">
        <v>171290</v>
      </c>
      <c r="G757" s="303"/>
      <c r="H757" s="321"/>
      <c r="I757" s="325"/>
    </row>
    <row r="758" spans="1:9" s="451" customFormat="1" ht="12">
      <c r="A758" s="299"/>
      <c r="B758" s="300" t="s">
        <v>408</v>
      </c>
      <c r="C758" s="301"/>
      <c r="D758" s="302"/>
      <c r="E758" s="303"/>
      <c r="F758" s="321"/>
      <c r="G758" s="303"/>
      <c r="H758" s="321"/>
      <c r="I758" s="325"/>
    </row>
    <row r="759" spans="1:9" s="451" customFormat="1" ht="12">
      <c r="A759" s="299"/>
      <c r="B759" s="300" t="s">
        <v>383</v>
      </c>
      <c r="C759" s="301">
        <f>SUM(D759:E759)</f>
        <v>74658</v>
      </c>
      <c r="D759" s="302">
        <f>F759+H759</f>
        <v>74658</v>
      </c>
      <c r="E759" s="303"/>
      <c r="F759" s="321">
        <v>74658</v>
      </c>
      <c r="G759" s="303"/>
      <c r="H759" s="321"/>
      <c r="I759" s="325"/>
    </row>
    <row r="760" spans="1:9" s="451" customFormat="1" ht="12" customHeight="1">
      <c r="A760" s="299"/>
      <c r="B760" s="300" t="s">
        <v>410</v>
      </c>
      <c r="C760" s="301">
        <f>SUM(D760:E760)</f>
        <v>3300</v>
      </c>
      <c r="D760" s="302">
        <f>F760+H760</f>
        <v>3300</v>
      </c>
      <c r="E760" s="303"/>
      <c r="F760" s="321">
        <v>3300</v>
      </c>
      <c r="G760" s="303"/>
      <c r="H760" s="321"/>
      <c r="I760" s="325"/>
    </row>
    <row r="761" spans="1:9" ht="12.75">
      <c r="A761" s="291"/>
      <c r="B761" s="316" t="s">
        <v>378</v>
      </c>
      <c r="C761" s="293">
        <f>SUM(C762)</f>
        <v>41200</v>
      </c>
      <c r="D761" s="294">
        <f>SUM(D762)</f>
        <v>41200</v>
      </c>
      <c r="E761" s="295"/>
      <c r="F761" s="296">
        <f>SUM(F762)</f>
        <v>41200</v>
      </c>
      <c r="G761" s="429"/>
      <c r="H761" s="296"/>
      <c r="I761" s="431"/>
    </row>
    <row r="762" spans="1:9" ht="12">
      <c r="A762" s="291"/>
      <c r="B762" s="320" t="s">
        <v>391</v>
      </c>
      <c r="C762" s="301">
        <f>SUM(D762:E762)</f>
        <v>41200</v>
      </c>
      <c r="D762" s="302">
        <f>F762+H762</f>
        <v>41200</v>
      </c>
      <c r="E762" s="303"/>
      <c r="F762" s="321">
        <v>41200</v>
      </c>
      <c r="G762" s="295"/>
      <c r="H762" s="321"/>
      <c r="I762" s="318"/>
    </row>
    <row r="763" spans="1:9" s="315" customFormat="1" ht="24.75" customHeight="1">
      <c r="A763" s="346">
        <v>85419</v>
      </c>
      <c r="B763" s="470" t="s">
        <v>496</v>
      </c>
      <c r="C763" s="310">
        <f>SUM(C764)</f>
        <v>800000</v>
      </c>
      <c r="D763" s="311">
        <f>SUM(D764)</f>
        <v>800000</v>
      </c>
      <c r="E763" s="312"/>
      <c r="F763" s="313"/>
      <c r="G763" s="312"/>
      <c r="H763" s="313">
        <f>SUM(H764)</f>
        <v>800000</v>
      </c>
      <c r="I763" s="314"/>
    </row>
    <row r="764" spans="1:9" ht="14.25" customHeight="1">
      <c r="A764" s="479"/>
      <c r="B764" s="543" t="s">
        <v>421</v>
      </c>
      <c r="C764" s="550">
        <f>SUM(C765:C765)</f>
        <v>800000</v>
      </c>
      <c r="D764" s="294">
        <f>F764+H764</f>
        <v>800000</v>
      </c>
      <c r="E764" s="295"/>
      <c r="F764" s="485"/>
      <c r="G764" s="484"/>
      <c r="H764" s="485">
        <f>SUM(H765:H765)</f>
        <v>800000</v>
      </c>
      <c r="I764" s="520"/>
    </row>
    <row r="765" spans="1:9" s="451" customFormat="1" ht="12.75" customHeight="1">
      <c r="A765" s="432"/>
      <c r="B765" s="349" t="s">
        <v>394</v>
      </c>
      <c r="C765" s="417">
        <f>SUM(D765:E765)</f>
        <v>800000</v>
      </c>
      <c r="D765" s="418">
        <f>F765+H765</f>
        <v>800000</v>
      </c>
      <c r="E765" s="419"/>
      <c r="F765" s="435"/>
      <c r="G765" s="434"/>
      <c r="H765" s="420">
        <v>800000</v>
      </c>
      <c r="I765" s="436"/>
    </row>
    <row r="766" spans="1:9" s="315" customFormat="1" ht="37.5" customHeight="1">
      <c r="A766" s="346">
        <v>85446</v>
      </c>
      <c r="B766" s="470" t="s">
        <v>463</v>
      </c>
      <c r="C766" s="310">
        <f>SUM(C767)</f>
        <v>29900</v>
      </c>
      <c r="D766" s="311">
        <f>SUM(D767)</f>
        <v>29900</v>
      </c>
      <c r="E766" s="312"/>
      <c r="F766" s="313"/>
      <c r="G766" s="312"/>
      <c r="H766" s="313">
        <f>SUM(H767)</f>
        <v>29900</v>
      </c>
      <c r="I766" s="314"/>
    </row>
    <row r="767" spans="1:9" ht="12.75">
      <c r="A767" s="479"/>
      <c r="B767" s="543" t="s">
        <v>421</v>
      </c>
      <c r="C767" s="550">
        <f>SUM(C768:C768)</f>
        <v>29900</v>
      </c>
      <c r="D767" s="294">
        <f>F767+H767</f>
        <v>29900</v>
      </c>
      <c r="E767" s="295"/>
      <c r="F767" s="485"/>
      <c r="G767" s="484"/>
      <c r="H767" s="485">
        <f>SUM(H768:H768)</f>
        <v>29900</v>
      </c>
      <c r="I767" s="520"/>
    </row>
    <row r="768" spans="1:9" s="451" customFormat="1" ht="13.5" customHeight="1">
      <c r="A768" s="432"/>
      <c r="B768" s="349" t="s">
        <v>383</v>
      </c>
      <c r="C768" s="417">
        <f>SUM(D768:E768)</f>
        <v>29900</v>
      </c>
      <c r="D768" s="418">
        <f>F768+H768</f>
        <v>29900</v>
      </c>
      <c r="E768" s="419"/>
      <c r="F768" s="435"/>
      <c r="G768" s="434"/>
      <c r="H768" s="420">
        <v>29900</v>
      </c>
      <c r="I768" s="436"/>
    </row>
    <row r="769" spans="1:9" s="315" customFormat="1" ht="15.75" customHeight="1">
      <c r="A769" s="346">
        <v>85495</v>
      </c>
      <c r="B769" s="470" t="s">
        <v>389</v>
      </c>
      <c r="C769" s="310">
        <f>SUM(C770)+C776</f>
        <v>815465</v>
      </c>
      <c r="D769" s="311">
        <f>SUM(D770)+D776</f>
        <v>815465</v>
      </c>
      <c r="E769" s="312"/>
      <c r="F769" s="313">
        <f>SUM(F770)+F776</f>
        <v>103225</v>
      </c>
      <c r="G769" s="312"/>
      <c r="H769" s="313">
        <f>SUM(H770)+H776</f>
        <v>712240</v>
      </c>
      <c r="I769" s="227"/>
    </row>
    <row r="770" spans="1:9" ht="12.75">
      <c r="A770" s="291"/>
      <c r="B770" s="316" t="s">
        <v>382</v>
      </c>
      <c r="C770" s="293">
        <f>SUM(C771:C774)</f>
        <v>815465</v>
      </c>
      <c r="D770" s="294">
        <f>SUM(D771:D774)</f>
        <v>815465</v>
      </c>
      <c r="E770" s="295"/>
      <c r="F770" s="296">
        <f>SUM(F771:F774)</f>
        <v>103225</v>
      </c>
      <c r="G770" s="429"/>
      <c r="H770" s="296">
        <f>SUM(H771:H774)</f>
        <v>712240</v>
      </c>
      <c r="I770" s="431"/>
    </row>
    <row r="771" spans="1:9" s="451" customFormat="1" ht="12">
      <c r="A771" s="299"/>
      <c r="B771" s="300" t="s">
        <v>407</v>
      </c>
      <c r="C771" s="301">
        <f>SUM(D771:E771)</f>
        <v>96374</v>
      </c>
      <c r="D771" s="302">
        <f>F771+H771</f>
        <v>96374</v>
      </c>
      <c r="E771" s="303"/>
      <c r="F771" s="321">
        <v>51425</v>
      </c>
      <c r="G771" s="303"/>
      <c r="H771" s="321">
        <v>44949</v>
      </c>
      <c r="I771" s="325"/>
    </row>
    <row r="772" spans="1:9" s="451" customFormat="1" ht="12">
      <c r="A772" s="299"/>
      <c r="B772" s="300" t="s">
        <v>408</v>
      </c>
      <c r="C772" s="301"/>
      <c r="D772" s="302"/>
      <c r="E772" s="303"/>
      <c r="F772" s="321"/>
      <c r="G772" s="303"/>
      <c r="H772" s="321"/>
      <c r="I772" s="325"/>
    </row>
    <row r="773" spans="1:9" ht="11.25" customHeight="1">
      <c r="A773" s="291"/>
      <c r="B773" s="320" t="s">
        <v>394</v>
      </c>
      <c r="C773" s="301">
        <f>SUM(D773:E773)</f>
        <v>31000</v>
      </c>
      <c r="D773" s="302">
        <f>F773+H773</f>
        <v>31000</v>
      </c>
      <c r="E773" s="303"/>
      <c r="F773" s="304">
        <v>31000</v>
      </c>
      <c r="G773" s="297"/>
      <c r="H773" s="296"/>
      <c r="I773" s="298"/>
    </row>
    <row r="774" spans="1:9" ht="14.25" customHeight="1" thickBot="1">
      <c r="A774" s="291"/>
      <c r="B774" s="300" t="s">
        <v>383</v>
      </c>
      <c r="C774" s="301">
        <f>SUM(D774:E774)</f>
        <v>688091</v>
      </c>
      <c r="D774" s="302">
        <f>F774+H774</f>
        <v>688091</v>
      </c>
      <c r="E774" s="303"/>
      <c r="F774" s="321">
        <v>20800</v>
      </c>
      <c r="G774" s="295"/>
      <c r="H774" s="321">
        <v>667291</v>
      </c>
      <c r="I774" s="318"/>
    </row>
    <row r="775" spans="1:9" s="451" customFormat="1" ht="12.75" hidden="1" thickBot="1">
      <c r="A775" s="299"/>
      <c r="B775" s="300" t="s">
        <v>410</v>
      </c>
      <c r="C775" s="301">
        <f>SUM(D775:E775)</f>
        <v>0</v>
      </c>
      <c r="D775" s="302">
        <f>F775+H775</f>
        <v>0</v>
      </c>
      <c r="E775" s="303"/>
      <c r="F775" s="321"/>
      <c r="G775" s="303"/>
      <c r="H775" s="321">
        <v>0</v>
      </c>
      <c r="I775" s="325"/>
    </row>
    <row r="776" spans="1:9" ht="13.5" hidden="1" thickBot="1">
      <c r="A776" s="291"/>
      <c r="B776" s="316" t="s">
        <v>378</v>
      </c>
      <c r="C776" s="293">
        <f>SUM(C777)</f>
        <v>0</v>
      </c>
      <c r="D776" s="294">
        <f>SUM(D777)</f>
        <v>0</v>
      </c>
      <c r="E776" s="295"/>
      <c r="F776" s="296"/>
      <c r="G776" s="429"/>
      <c r="H776" s="296">
        <f>SUM(H777)</f>
        <v>0</v>
      </c>
      <c r="I776" s="431"/>
    </row>
    <row r="777" spans="1:9" ht="12.75" hidden="1" thickBot="1">
      <c r="A777" s="291"/>
      <c r="B777" s="320" t="s">
        <v>391</v>
      </c>
      <c r="C777" s="301">
        <f>SUM(D777:E777)</f>
        <v>0</v>
      </c>
      <c r="D777" s="302">
        <f>F777+H777</f>
        <v>0</v>
      </c>
      <c r="E777" s="303"/>
      <c r="F777" s="321"/>
      <c r="G777" s="295"/>
      <c r="H777" s="321"/>
      <c r="I777" s="318"/>
    </row>
    <row r="778" spans="1:9" s="290" customFormat="1" ht="53.25" customHeight="1" thickBot="1" thickTop="1">
      <c r="A778" s="345">
        <v>900</v>
      </c>
      <c r="B778" s="663" t="s">
        <v>497</v>
      </c>
      <c r="C778" s="286">
        <f>C788+C795+C799+C804+C811+C817</f>
        <v>26918040</v>
      </c>
      <c r="D778" s="287">
        <f>D788+D795+D799+D804+D811+D817</f>
        <v>26918040</v>
      </c>
      <c r="E778" s="288"/>
      <c r="F778" s="289">
        <f>F788+F795+F799+F804+F811+F817</f>
        <v>21541040</v>
      </c>
      <c r="G778" s="288"/>
      <c r="H778" s="289">
        <f>H795+H799+H811+H817+H804+H788</f>
        <v>5377000</v>
      </c>
      <c r="I778" s="234"/>
    </row>
    <row r="779" spans="1:9" s="290" customFormat="1" ht="12.75" customHeight="1" thickTop="1">
      <c r="A779" s="351"/>
      <c r="B779" s="370" t="s">
        <v>421</v>
      </c>
      <c r="C779" s="353">
        <f>D779+E779</f>
        <v>13468840</v>
      </c>
      <c r="D779" s="354">
        <f>F779+H779</f>
        <v>13468840</v>
      </c>
      <c r="E779" s="355"/>
      <c r="F779" s="356">
        <f>F789+F796+F800+F805+F812+F818</f>
        <v>8231840</v>
      </c>
      <c r="G779" s="357"/>
      <c r="H779" s="371">
        <f>H789+H796+H800+H805+H812+H818</f>
        <v>5237000</v>
      </c>
      <c r="I779" s="372"/>
    </row>
    <row r="780" spans="1:9" s="290" customFormat="1" ht="12.75">
      <c r="A780" s="351"/>
      <c r="B780" s="300" t="s">
        <v>407</v>
      </c>
      <c r="C780" s="361">
        <f>D780+E780</f>
        <v>10000</v>
      </c>
      <c r="D780" s="362">
        <f>F780+H780</f>
        <v>10000</v>
      </c>
      <c r="E780" s="355"/>
      <c r="F780" s="363">
        <f>F819</f>
        <v>10000</v>
      </c>
      <c r="G780" s="355"/>
      <c r="H780" s="371"/>
      <c r="I780" s="372"/>
    </row>
    <row r="781" spans="1:9" s="290" customFormat="1" ht="12.75">
      <c r="A781" s="351"/>
      <c r="B781" s="300" t="s">
        <v>408</v>
      </c>
      <c r="C781" s="353"/>
      <c r="D781" s="354"/>
      <c r="E781" s="355"/>
      <c r="F781" s="356"/>
      <c r="G781" s="355"/>
      <c r="H781" s="371"/>
      <c r="I781" s="372"/>
    </row>
    <row r="782" spans="1:9" s="290" customFormat="1" ht="14.25" customHeight="1">
      <c r="A782" s="351"/>
      <c r="B782" s="320" t="s">
        <v>394</v>
      </c>
      <c r="C782" s="361">
        <f aca="true" t="shared" si="39" ref="C782:C787">D782+E782</f>
        <v>285000</v>
      </c>
      <c r="D782" s="362">
        <f aca="true" t="shared" si="40" ref="D782:D787">F782+H782</f>
        <v>285000</v>
      </c>
      <c r="E782" s="355"/>
      <c r="F782" s="363">
        <f>F806</f>
        <v>285000</v>
      </c>
      <c r="G782" s="355"/>
      <c r="H782" s="371"/>
      <c r="I782" s="372"/>
    </row>
    <row r="783" spans="1:9" s="451" customFormat="1" ht="13.5" customHeight="1">
      <c r="A783" s="448"/>
      <c r="B783" s="300" t="s">
        <v>383</v>
      </c>
      <c r="C783" s="361">
        <f t="shared" si="39"/>
        <v>13173840</v>
      </c>
      <c r="D783" s="362">
        <f t="shared" si="40"/>
        <v>13173840</v>
      </c>
      <c r="E783" s="305"/>
      <c r="F783" s="363">
        <f>F791+F797+F801+F807+F813+F821</f>
        <v>7936840</v>
      </c>
      <c r="G783" s="305"/>
      <c r="H783" s="304">
        <f>H791+H797+H801+H807+H813+H821</f>
        <v>5237000</v>
      </c>
      <c r="I783" s="306"/>
    </row>
    <row r="784" spans="1:9" s="315" customFormat="1" ht="10.5" customHeight="1">
      <c r="A784" s="366"/>
      <c r="B784" s="300" t="s">
        <v>498</v>
      </c>
      <c r="C784" s="452">
        <f t="shared" si="39"/>
        <v>1848200</v>
      </c>
      <c r="D784" s="453">
        <f t="shared" si="40"/>
        <v>1848200</v>
      </c>
      <c r="E784" s="297"/>
      <c r="F784" s="427">
        <f>F792+F814+F822+F798+F808</f>
        <v>1294200</v>
      </c>
      <c r="G784" s="297"/>
      <c r="H784" s="296">
        <f>H792+H814+H822+H798+H808</f>
        <v>554000</v>
      </c>
      <c r="I784" s="298"/>
    </row>
    <row r="785" spans="1:9" s="290" customFormat="1" ht="13.5" customHeight="1">
      <c r="A785" s="351"/>
      <c r="B785" s="352" t="s">
        <v>378</v>
      </c>
      <c r="C785" s="353">
        <f t="shared" si="39"/>
        <v>13449200</v>
      </c>
      <c r="D785" s="354">
        <f t="shared" si="40"/>
        <v>13449200</v>
      </c>
      <c r="E785" s="355"/>
      <c r="F785" s="356">
        <f>F793+F809+F815+F823+F802</f>
        <v>13309200</v>
      </c>
      <c r="G785" s="355"/>
      <c r="H785" s="356">
        <f>H793+H809+H815+H823+H802</f>
        <v>140000</v>
      </c>
      <c r="I785" s="372"/>
    </row>
    <row r="786" spans="1:9" s="451" customFormat="1" ht="13.5" customHeight="1">
      <c r="A786" s="448"/>
      <c r="B786" s="320" t="s">
        <v>391</v>
      </c>
      <c r="C786" s="361">
        <f t="shared" si="39"/>
        <v>13449200</v>
      </c>
      <c r="D786" s="362">
        <f t="shared" si="40"/>
        <v>13449200</v>
      </c>
      <c r="E786" s="305"/>
      <c r="F786" s="363">
        <f>F794+F810+F816+F824+F803</f>
        <v>13309200</v>
      </c>
      <c r="G786" s="305"/>
      <c r="H786" s="363">
        <f>H794+H810+H816+H824+H803</f>
        <v>140000</v>
      </c>
      <c r="I786" s="306"/>
    </row>
    <row r="787" spans="1:9" s="451" customFormat="1" ht="12" customHeight="1">
      <c r="A787" s="563"/>
      <c r="B787" s="653" t="s">
        <v>395</v>
      </c>
      <c r="C787" s="509">
        <f t="shared" si="39"/>
        <v>1200000</v>
      </c>
      <c r="D787" s="435">
        <f t="shared" si="40"/>
        <v>1200000</v>
      </c>
      <c r="E787" s="434"/>
      <c r="F787" s="664">
        <f>F825</f>
        <v>1200000</v>
      </c>
      <c r="G787" s="434"/>
      <c r="H787" s="664"/>
      <c r="I787" s="436"/>
    </row>
    <row r="788" spans="1:9" s="290" customFormat="1" ht="25.5" customHeight="1">
      <c r="A788" s="395">
        <v>90001</v>
      </c>
      <c r="B788" s="665" t="s">
        <v>499</v>
      </c>
      <c r="C788" s="397">
        <f>SUM(C789+C793)</f>
        <v>11605340</v>
      </c>
      <c r="D788" s="398">
        <f>SUM(D789+D793)</f>
        <v>11605340</v>
      </c>
      <c r="E788" s="566"/>
      <c r="F788" s="400">
        <f>SUM(F789+F793)</f>
        <v>10195340</v>
      </c>
      <c r="G788" s="566"/>
      <c r="H788" s="400">
        <f>SUM(H789)+H793</f>
        <v>1410000</v>
      </c>
      <c r="I788" s="568"/>
    </row>
    <row r="789" spans="1:9" s="315" customFormat="1" ht="15" customHeight="1">
      <c r="A789" s="291"/>
      <c r="B789" s="292" t="s">
        <v>421</v>
      </c>
      <c r="C789" s="640">
        <f>SUM(C790:C791)</f>
        <v>3325340</v>
      </c>
      <c r="D789" s="294">
        <f>F789+H789</f>
        <v>3325340</v>
      </c>
      <c r="E789" s="295"/>
      <c r="F789" s="296">
        <f>SUM(F790:F791)</f>
        <v>1915340</v>
      </c>
      <c r="G789" s="429"/>
      <c r="H789" s="296">
        <f>SUM(H791)</f>
        <v>1410000</v>
      </c>
      <c r="I789" s="431"/>
    </row>
    <row r="790" spans="1:9" s="315" customFormat="1" ht="13.5" customHeight="1" hidden="1">
      <c r="A790" s="291"/>
      <c r="B790" s="320" t="s">
        <v>394</v>
      </c>
      <c r="C790" s="301">
        <f>SUM(D790:E790)</f>
        <v>0</v>
      </c>
      <c r="D790" s="302">
        <f>F790+H790</f>
        <v>0</v>
      </c>
      <c r="E790" s="295"/>
      <c r="F790" s="321"/>
      <c r="G790" s="429"/>
      <c r="H790" s="296"/>
      <c r="I790" s="431"/>
    </row>
    <row r="791" spans="1:9" s="315" customFormat="1" ht="12" customHeight="1">
      <c r="A791" s="291"/>
      <c r="B791" s="300" t="s">
        <v>383</v>
      </c>
      <c r="C791" s="301">
        <f>SUM(D791:E791)</f>
        <v>3325340</v>
      </c>
      <c r="D791" s="302">
        <f>F791+H791</f>
        <v>3325340</v>
      </c>
      <c r="E791" s="303"/>
      <c r="F791" s="321">
        <v>1915340</v>
      </c>
      <c r="G791" s="295"/>
      <c r="H791" s="321">
        <v>1410000</v>
      </c>
      <c r="I791" s="318"/>
    </row>
    <row r="792" spans="1:9" s="307" customFormat="1" ht="11.25" customHeight="1" hidden="1">
      <c r="A792" s="299"/>
      <c r="B792" s="300" t="s">
        <v>498</v>
      </c>
      <c r="C792" s="301">
        <f>SUM(D792:E792)</f>
        <v>0</v>
      </c>
      <c r="D792" s="302">
        <f>F792+H792</f>
        <v>0</v>
      </c>
      <c r="E792" s="303"/>
      <c r="F792" s="321"/>
      <c r="G792" s="303"/>
      <c r="H792" s="321"/>
      <c r="I792" s="325"/>
    </row>
    <row r="793" spans="1:9" ht="12.75">
      <c r="A793" s="291"/>
      <c r="B793" s="316" t="s">
        <v>378</v>
      </c>
      <c r="C793" s="293">
        <f>SUM(C794)</f>
        <v>8280000</v>
      </c>
      <c r="D793" s="294">
        <f>SUM(D794)</f>
        <v>8280000</v>
      </c>
      <c r="E793" s="295"/>
      <c r="F793" s="296">
        <f>SUM(F794)</f>
        <v>8280000</v>
      </c>
      <c r="G793" s="429"/>
      <c r="H793" s="296"/>
      <c r="I793" s="431"/>
    </row>
    <row r="794" spans="1:9" ht="12.75" customHeight="1">
      <c r="A794" s="416"/>
      <c r="B794" s="433" t="s">
        <v>391</v>
      </c>
      <c r="C794" s="417">
        <f>SUM(D794:E794)</f>
        <v>8280000</v>
      </c>
      <c r="D794" s="418">
        <f>F794+H794</f>
        <v>8280000</v>
      </c>
      <c r="E794" s="419"/>
      <c r="F794" s="420">
        <v>8280000</v>
      </c>
      <c r="G794" s="489"/>
      <c r="H794" s="420"/>
      <c r="I794" s="569"/>
    </row>
    <row r="795" spans="1:9" s="315" customFormat="1" ht="27" customHeight="1">
      <c r="A795" s="395">
        <v>90003</v>
      </c>
      <c r="B795" s="464" t="s">
        <v>500</v>
      </c>
      <c r="C795" s="397">
        <f>SUM(C796)</f>
        <v>3610000</v>
      </c>
      <c r="D795" s="398">
        <f>SUM(D796)</f>
        <v>3610000</v>
      </c>
      <c r="E795" s="399"/>
      <c r="F795" s="400">
        <f>SUM(F796)</f>
        <v>1860000</v>
      </c>
      <c r="G795" s="467"/>
      <c r="H795" s="400">
        <f>SUM(H796)</f>
        <v>1750000</v>
      </c>
      <c r="I795" s="401"/>
    </row>
    <row r="796" spans="1:9" ht="16.5" customHeight="1">
      <c r="A796" s="479"/>
      <c r="B796" s="480" t="s">
        <v>382</v>
      </c>
      <c r="C796" s="447">
        <f>SUM(C797)</f>
        <v>3610000</v>
      </c>
      <c r="D796" s="481">
        <f>SUM(D797)</f>
        <v>3610000</v>
      </c>
      <c r="E796" s="482"/>
      <c r="F796" s="483">
        <f>SUM(F797)</f>
        <v>1860000</v>
      </c>
      <c r="G796" s="484"/>
      <c r="H796" s="483">
        <f>SUM(H797)</f>
        <v>1750000</v>
      </c>
      <c r="I796" s="520"/>
    </row>
    <row r="797" spans="1:9" ht="12">
      <c r="A797" s="291"/>
      <c r="B797" s="320" t="s">
        <v>383</v>
      </c>
      <c r="C797" s="301">
        <f>SUM(D797:E797)</f>
        <v>3610000</v>
      </c>
      <c r="D797" s="302">
        <f>F797+H797</f>
        <v>3610000</v>
      </c>
      <c r="E797" s="303"/>
      <c r="F797" s="321">
        <v>1860000</v>
      </c>
      <c r="G797" s="295"/>
      <c r="H797" s="321">
        <v>1750000</v>
      </c>
      <c r="I797" s="318"/>
    </row>
    <row r="798" spans="1:9" s="315" customFormat="1" ht="12.75" customHeight="1">
      <c r="A798" s="366"/>
      <c r="B798" s="300" t="s">
        <v>498</v>
      </c>
      <c r="C798" s="301">
        <f>D798+E798</f>
        <v>70000</v>
      </c>
      <c r="D798" s="302">
        <f>F798+H798</f>
        <v>70000</v>
      </c>
      <c r="E798" s="303"/>
      <c r="F798" s="348"/>
      <c r="G798" s="303"/>
      <c r="H798" s="321">
        <v>70000</v>
      </c>
      <c r="I798" s="318"/>
    </row>
    <row r="799" spans="1:9" s="315" customFormat="1" ht="24" customHeight="1">
      <c r="A799" s="346">
        <v>90004</v>
      </c>
      <c r="B799" s="470" t="s">
        <v>501</v>
      </c>
      <c r="C799" s="310">
        <f>SUM(C800+C802)</f>
        <v>2806000</v>
      </c>
      <c r="D799" s="311">
        <f>SUM(D800+D802)</f>
        <v>2806000</v>
      </c>
      <c r="E799" s="312"/>
      <c r="F799" s="313">
        <f>SUM(F800+F802)</f>
        <v>2006000</v>
      </c>
      <c r="G799" s="323"/>
      <c r="H799" s="313">
        <f>SUM(H800)</f>
        <v>800000</v>
      </c>
      <c r="I799" s="227"/>
    </row>
    <row r="800" spans="1:9" ht="15" customHeight="1">
      <c r="A800" s="291"/>
      <c r="B800" s="316" t="s">
        <v>382</v>
      </c>
      <c r="C800" s="293">
        <f>SUM(C801)</f>
        <v>1906000</v>
      </c>
      <c r="D800" s="294">
        <f>SUM(D801)</f>
        <v>1906000</v>
      </c>
      <c r="E800" s="295"/>
      <c r="F800" s="296">
        <f>SUM(F801)</f>
        <v>1106000</v>
      </c>
      <c r="G800" s="429"/>
      <c r="H800" s="296">
        <f>SUM(H801)</f>
        <v>800000</v>
      </c>
      <c r="I800" s="431"/>
    </row>
    <row r="801" spans="1:9" ht="12">
      <c r="A801" s="291"/>
      <c r="B801" s="320" t="s">
        <v>383</v>
      </c>
      <c r="C801" s="301">
        <f>SUM(D801:E801)</f>
        <v>1906000</v>
      </c>
      <c r="D801" s="302">
        <f>F801+H801</f>
        <v>1906000</v>
      </c>
      <c r="E801" s="303"/>
      <c r="F801" s="321">
        <v>1106000</v>
      </c>
      <c r="G801" s="295"/>
      <c r="H801" s="321">
        <v>800000</v>
      </c>
      <c r="I801" s="318"/>
    </row>
    <row r="802" spans="1:9" ht="12.75">
      <c r="A802" s="291"/>
      <c r="B802" s="316" t="s">
        <v>378</v>
      </c>
      <c r="C802" s="293">
        <f>SUM(C803)</f>
        <v>900000</v>
      </c>
      <c r="D802" s="294">
        <f>SUM(D803)</f>
        <v>900000</v>
      </c>
      <c r="E802" s="295"/>
      <c r="F802" s="296">
        <f>SUM(F803)</f>
        <v>900000</v>
      </c>
      <c r="G802" s="429"/>
      <c r="H802" s="296"/>
      <c r="I802" s="431"/>
    </row>
    <row r="803" spans="1:9" ht="12">
      <c r="A803" s="416"/>
      <c r="B803" s="433" t="s">
        <v>391</v>
      </c>
      <c r="C803" s="417">
        <f>SUM(D803:E803)</f>
        <v>900000</v>
      </c>
      <c r="D803" s="418">
        <f>F803+H803</f>
        <v>900000</v>
      </c>
      <c r="E803" s="419"/>
      <c r="F803" s="420">
        <v>900000</v>
      </c>
      <c r="G803" s="489"/>
      <c r="H803" s="420"/>
      <c r="I803" s="569"/>
    </row>
    <row r="804" spans="1:9" s="315" customFormat="1" ht="14.25" customHeight="1">
      <c r="A804" s="346">
        <v>90013</v>
      </c>
      <c r="B804" s="470" t="s">
        <v>502</v>
      </c>
      <c r="C804" s="322">
        <f>C805+C809</f>
        <v>1175000</v>
      </c>
      <c r="D804" s="225">
        <f>D805+D809</f>
        <v>1175000</v>
      </c>
      <c r="E804" s="323"/>
      <c r="F804" s="324">
        <f>F805+F809</f>
        <v>1175000</v>
      </c>
      <c r="G804" s="323"/>
      <c r="H804" s="324"/>
      <c r="I804" s="227"/>
    </row>
    <row r="805" spans="1:9" ht="12.75" customHeight="1">
      <c r="A805" s="479"/>
      <c r="B805" s="480" t="s">
        <v>421</v>
      </c>
      <c r="C805" s="452">
        <f>SUM(C806:C807)</f>
        <v>717300</v>
      </c>
      <c r="D805" s="453">
        <f>SUM(D806:D807)</f>
        <v>717300</v>
      </c>
      <c r="E805" s="297"/>
      <c r="F805" s="296">
        <f>SUM(F806:F807)</f>
        <v>717300</v>
      </c>
      <c r="G805" s="297"/>
      <c r="H805" s="296"/>
      <c r="I805" s="298"/>
    </row>
    <row r="806" spans="1:9" ht="12.75" customHeight="1">
      <c r="A806" s="291"/>
      <c r="B806" s="320" t="s">
        <v>394</v>
      </c>
      <c r="C806" s="301">
        <f>SUM(D806:E806)</f>
        <v>285000</v>
      </c>
      <c r="D806" s="302">
        <f>F806+H806</f>
        <v>285000</v>
      </c>
      <c r="E806" s="297"/>
      <c r="F806" s="296">
        <v>285000</v>
      </c>
      <c r="G806" s="297"/>
      <c r="H806" s="296"/>
      <c r="I806" s="298"/>
    </row>
    <row r="807" spans="1:9" s="307" customFormat="1" ht="12">
      <c r="A807" s="299"/>
      <c r="B807" s="300" t="s">
        <v>383</v>
      </c>
      <c r="C807" s="301">
        <f>SUM(D807:E807)</f>
        <v>432300</v>
      </c>
      <c r="D807" s="302">
        <f>F807+H807</f>
        <v>432300</v>
      </c>
      <c r="E807" s="303"/>
      <c r="F807" s="321">
        <v>432300</v>
      </c>
      <c r="G807" s="303"/>
      <c r="H807" s="321"/>
      <c r="I807" s="325"/>
    </row>
    <row r="808" spans="1:9" s="307" customFormat="1" ht="12" customHeight="1">
      <c r="A808" s="299"/>
      <c r="B808" s="300" t="s">
        <v>503</v>
      </c>
      <c r="C808" s="301">
        <f>SUM(D808:E808)</f>
        <v>0</v>
      </c>
      <c r="D808" s="302">
        <f>F808+H808</f>
        <v>0</v>
      </c>
      <c r="E808" s="303"/>
      <c r="F808" s="321">
        <v>0</v>
      </c>
      <c r="G808" s="303"/>
      <c r="H808" s="321"/>
      <c r="I808" s="325"/>
    </row>
    <row r="809" spans="1:9" ht="13.5" customHeight="1">
      <c r="A809" s="291"/>
      <c r="B809" s="292" t="s">
        <v>378</v>
      </c>
      <c r="C809" s="452">
        <f>SUM(C810)</f>
        <v>457700</v>
      </c>
      <c r="D809" s="453">
        <f>SUM(D810)</f>
        <v>457700</v>
      </c>
      <c r="E809" s="297"/>
      <c r="F809" s="296">
        <f>SUM(F810)</f>
        <v>457700</v>
      </c>
      <c r="G809" s="297"/>
      <c r="H809" s="296"/>
      <c r="I809" s="298"/>
    </row>
    <row r="810" spans="1:9" s="307" customFormat="1" ht="12">
      <c r="A810" s="299"/>
      <c r="B810" s="300" t="s">
        <v>391</v>
      </c>
      <c r="C810" s="301">
        <f>SUM(D810:E810)</f>
        <v>457700</v>
      </c>
      <c r="D810" s="302">
        <f>F810+H810</f>
        <v>457700</v>
      </c>
      <c r="E810" s="303"/>
      <c r="F810" s="321">
        <v>457700</v>
      </c>
      <c r="G810" s="303"/>
      <c r="H810" s="321"/>
      <c r="I810" s="325"/>
    </row>
    <row r="811" spans="1:9" s="315" customFormat="1" ht="24" customHeight="1">
      <c r="A811" s="346">
        <v>90015</v>
      </c>
      <c r="B811" s="470" t="s">
        <v>504</v>
      </c>
      <c r="C811" s="322">
        <f>C812+C815</f>
        <v>3378000</v>
      </c>
      <c r="D811" s="225">
        <f>D812+D815</f>
        <v>3378000</v>
      </c>
      <c r="E811" s="323"/>
      <c r="F811" s="324">
        <f>F812+F815</f>
        <v>1961000</v>
      </c>
      <c r="G811" s="323"/>
      <c r="H811" s="324">
        <f>H812+H815</f>
        <v>1417000</v>
      </c>
      <c r="I811" s="227"/>
    </row>
    <row r="812" spans="1:9" ht="12.75" customHeight="1">
      <c r="A812" s="479"/>
      <c r="B812" s="480" t="s">
        <v>421</v>
      </c>
      <c r="C812" s="666">
        <f>SUM(C813)</f>
        <v>3088000</v>
      </c>
      <c r="D812" s="519">
        <f>SUM(D813)</f>
        <v>3088000</v>
      </c>
      <c r="E812" s="492"/>
      <c r="F812" s="483">
        <f>SUM(F813)</f>
        <v>1811000</v>
      </c>
      <c r="G812" s="492"/>
      <c r="H812" s="483">
        <f>SUM(H813)</f>
        <v>1277000</v>
      </c>
      <c r="I812" s="486"/>
    </row>
    <row r="813" spans="1:9" s="307" customFormat="1" ht="12" customHeight="1">
      <c r="A813" s="299"/>
      <c r="B813" s="300" t="s">
        <v>383</v>
      </c>
      <c r="C813" s="301">
        <f>SUM(D813:E813)</f>
        <v>3088000</v>
      </c>
      <c r="D813" s="302">
        <f>F813+H813</f>
        <v>3088000</v>
      </c>
      <c r="E813" s="303"/>
      <c r="F813" s="321">
        <v>1811000</v>
      </c>
      <c r="G813" s="303"/>
      <c r="H813" s="321">
        <v>1277000</v>
      </c>
      <c r="I813" s="325"/>
    </row>
    <row r="814" spans="1:9" s="307" customFormat="1" ht="12" customHeight="1">
      <c r="A814" s="299"/>
      <c r="B814" s="300" t="s">
        <v>498</v>
      </c>
      <c r="C814" s="301">
        <f>SUM(D814:E814)</f>
        <v>1265200</v>
      </c>
      <c r="D814" s="302">
        <f>F814+H814</f>
        <v>1265200</v>
      </c>
      <c r="E814" s="303"/>
      <c r="F814" s="321">
        <v>781200</v>
      </c>
      <c r="G814" s="303"/>
      <c r="H814" s="321">
        <v>484000</v>
      </c>
      <c r="I814" s="325"/>
    </row>
    <row r="815" spans="1:9" ht="12.75" customHeight="1">
      <c r="A815" s="291"/>
      <c r="B815" s="292" t="s">
        <v>378</v>
      </c>
      <c r="C815" s="452">
        <f>SUM(C816)</f>
        <v>290000</v>
      </c>
      <c r="D815" s="453">
        <f>SUM(D816)</f>
        <v>290000</v>
      </c>
      <c r="E815" s="297"/>
      <c r="F815" s="296">
        <f>F816</f>
        <v>150000</v>
      </c>
      <c r="G815" s="297"/>
      <c r="H815" s="296">
        <f>H816</f>
        <v>140000</v>
      </c>
      <c r="I815" s="298"/>
    </row>
    <row r="816" spans="1:9" s="307" customFormat="1" ht="12" customHeight="1">
      <c r="A816" s="299"/>
      <c r="B816" s="300" t="s">
        <v>391</v>
      </c>
      <c r="C816" s="301">
        <f>SUM(D816:E816)</f>
        <v>290000</v>
      </c>
      <c r="D816" s="302">
        <f>F816+H816</f>
        <v>290000</v>
      </c>
      <c r="E816" s="419"/>
      <c r="F816" s="321">
        <v>150000</v>
      </c>
      <c r="G816" s="303"/>
      <c r="H816" s="321">
        <v>140000</v>
      </c>
      <c r="I816" s="325"/>
    </row>
    <row r="817" spans="1:9" ht="15" customHeight="1">
      <c r="A817" s="346">
        <v>90095</v>
      </c>
      <c r="B817" s="470" t="s">
        <v>389</v>
      </c>
      <c r="C817" s="322">
        <f>C818+C823</f>
        <v>4343700</v>
      </c>
      <c r="D817" s="225">
        <f>D818+D823</f>
        <v>4343700</v>
      </c>
      <c r="E817" s="323"/>
      <c r="F817" s="324">
        <f>F818+F823</f>
        <v>4343700</v>
      </c>
      <c r="G817" s="323"/>
      <c r="H817" s="324"/>
      <c r="I817" s="227"/>
    </row>
    <row r="818" spans="1:9" ht="12" customHeight="1">
      <c r="A818" s="479"/>
      <c r="B818" s="480" t="s">
        <v>421</v>
      </c>
      <c r="C818" s="452">
        <f>SUM(C819:C821)</f>
        <v>822200</v>
      </c>
      <c r="D818" s="453">
        <f>SUM(D819:D821)</f>
        <v>822200</v>
      </c>
      <c r="E818" s="297"/>
      <c r="F818" s="296">
        <f>SUM(F819:F821)</f>
        <v>822200</v>
      </c>
      <c r="G818" s="297"/>
      <c r="H818" s="296"/>
      <c r="I818" s="298"/>
    </row>
    <row r="819" spans="1:9" ht="15" customHeight="1">
      <c r="A819" s="291"/>
      <c r="B819" s="300" t="s">
        <v>407</v>
      </c>
      <c r="C819" s="301">
        <f>D819</f>
        <v>10000</v>
      </c>
      <c r="D819" s="302">
        <f>F819</f>
        <v>10000</v>
      </c>
      <c r="E819" s="295"/>
      <c r="F819" s="321">
        <v>10000</v>
      </c>
      <c r="G819" s="297"/>
      <c r="H819" s="296"/>
      <c r="I819" s="298"/>
    </row>
    <row r="820" spans="1:9" ht="12" customHeight="1">
      <c r="A820" s="291"/>
      <c r="B820" s="300" t="s">
        <v>408</v>
      </c>
      <c r="C820" s="452"/>
      <c r="D820" s="453"/>
      <c r="E820" s="297"/>
      <c r="F820" s="296"/>
      <c r="G820" s="297"/>
      <c r="H820" s="296"/>
      <c r="I820" s="298"/>
    </row>
    <row r="821" spans="1:9" s="307" customFormat="1" ht="12" customHeight="1">
      <c r="A821" s="299"/>
      <c r="B821" s="300" t="s">
        <v>383</v>
      </c>
      <c r="C821" s="301">
        <f>SUM(D821:E821)</f>
        <v>812200</v>
      </c>
      <c r="D821" s="302">
        <f>F821+H821</f>
        <v>812200</v>
      </c>
      <c r="E821" s="303"/>
      <c r="F821" s="321">
        <v>812200</v>
      </c>
      <c r="G821" s="303"/>
      <c r="H821" s="321"/>
      <c r="I821" s="325"/>
    </row>
    <row r="822" spans="1:9" s="307" customFormat="1" ht="11.25" customHeight="1">
      <c r="A822" s="299"/>
      <c r="B822" s="300" t="s">
        <v>503</v>
      </c>
      <c r="C822" s="301">
        <f>SUM(D822:E822)</f>
        <v>513000</v>
      </c>
      <c r="D822" s="302">
        <f>F822+H822</f>
        <v>513000</v>
      </c>
      <c r="E822" s="303"/>
      <c r="F822" s="321">
        <v>513000</v>
      </c>
      <c r="G822" s="303"/>
      <c r="H822" s="321"/>
      <c r="I822" s="325"/>
    </row>
    <row r="823" spans="1:9" ht="12.75" customHeight="1">
      <c r="A823" s="291"/>
      <c r="B823" s="292" t="s">
        <v>378</v>
      </c>
      <c r="C823" s="452">
        <f>C824</f>
        <v>3521500</v>
      </c>
      <c r="D823" s="453">
        <f>D824</f>
        <v>3521500</v>
      </c>
      <c r="E823" s="297"/>
      <c r="F823" s="296">
        <f>F824</f>
        <v>3521500</v>
      </c>
      <c r="G823" s="297"/>
      <c r="H823" s="296"/>
      <c r="I823" s="298"/>
    </row>
    <row r="824" spans="1:9" s="307" customFormat="1" ht="12.75" customHeight="1">
      <c r="A824" s="299"/>
      <c r="B824" s="300" t="s">
        <v>391</v>
      </c>
      <c r="C824" s="301">
        <f>SUM(D824:E824)</f>
        <v>3521500</v>
      </c>
      <c r="D824" s="302">
        <f>F824+H824</f>
        <v>3521500</v>
      </c>
      <c r="E824" s="303"/>
      <c r="F824" s="321">
        <v>3521500</v>
      </c>
      <c r="G824" s="303"/>
      <c r="H824" s="321"/>
      <c r="I824" s="325"/>
    </row>
    <row r="825" spans="1:9" s="307" customFormat="1" ht="12.75" thickBot="1">
      <c r="A825" s="299"/>
      <c r="B825" s="1924" t="s">
        <v>395</v>
      </c>
      <c r="C825" s="301">
        <f>SUM(D825:E825)</f>
        <v>1200000</v>
      </c>
      <c r="D825" s="302">
        <f>F825+H825</f>
        <v>1200000</v>
      </c>
      <c r="E825" s="303"/>
      <c r="F825" s="321">
        <v>1200000</v>
      </c>
      <c r="G825" s="303"/>
      <c r="H825" s="321"/>
      <c r="I825" s="325"/>
    </row>
    <row r="826" spans="1:9" s="307" customFormat="1" ht="12" customHeight="1" hidden="1" thickBot="1">
      <c r="A826" s="299"/>
      <c r="B826" s="300" t="s">
        <v>396</v>
      </c>
      <c r="C826" s="301">
        <f>SUM(D826:E826)</f>
        <v>0</v>
      </c>
      <c r="D826" s="302">
        <f>F826+H826</f>
        <v>0</v>
      </c>
      <c r="E826" s="303"/>
      <c r="F826" s="321"/>
      <c r="G826" s="303"/>
      <c r="H826" s="321"/>
      <c r="I826" s="325"/>
    </row>
    <row r="827" spans="1:9" s="290" customFormat="1" ht="55.5" customHeight="1" thickBot="1" thickTop="1">
      <c r="A827" s="345">
        <v>921</v>
      </c>
      <c r="B827" s="285" t="s">
        <v>287</v>
      </c>
      <c r="C827" s="286">
        <f>C840+C850+C856+C865+C885+C891+C898+C907+C874</f>
        <v>21229726</v>
      </c>
      <c r="D827" s="287">
        <f>D840+D850+D856+D865+D885+D891+D898+D907+D874</f>
        <v>21156726</v>
      </c>
      <c r="E827" s="287">
        <f>E850+E856+E865+E874+E885+E891+E898+E907</f>
        <v>73000</v>
      </c>
      <c r="F827" s="289">
        <f>F840+F850+F856+F865+F885+F891+F898+F907+F874</f>
        <v>7682326</v>
      </c>
      <c r="G827" s="287">
        <f>G840+G850+G856+G865+G885+G891+G898+G907+G874</f>
        <v>5000</v>
      </c>
      <c r="H827" s="350">
        <f>H840+H850+H856+H865+H885+H891+H898+H907+H874</f>
        <v>13474400</v>
      </c>
      <c r="I827" s="234">
        <f>I840+I850+I856+I865+I885+I891+I898+I907+I874</f>
        <v>68000</v>
      </c>
    </row>
    <row r="828" spans="1:9" s="290" customFormat="1" ht="15" customHeight="1" thickTop="1">
      <c r="A828" s="351"/>
      <c r="B828" s="667" t="s">
        <v>421</v>
      </c>
      <c r="C828" s="353">
        <f>D828+E828</f>
        <v>18664726</v>
      </c>
      <c r="D828" s="354">
        <f>F828+H828</f>
        <v>18659726</v>
      </c>
      <c r="E828" s="355">
        <f>G828+I828</f>
        <v>5000</v>
      </c>
      <c r="F828" s="371">
        <f>F851+F857+F866+F875+F886+F892+F899+F908</f>
        <v>7682326</v>
      </c>
      <c r="G828" s="235">
        <f>G851+G857+G866+G875+G886+G892+G899+G908</f>
        <v>5000</v>
      </c>
      <c r="H828" s="356">
        <f>H851+H857+H866+H875+H886+H892+H899+H908</f>
        <v>10977400</v>
      </c>
      <c r="I828" s="372"/>
    </row>
    <row r="829" spans="1:9" s="307" customFormat="1" ht="12.75">
      <c r="A829" s="645"/>
      <c r="B829" s="300" t="s">
        <v>407</v>
      </c>
      <c r="C829" s="361">
        <f>D829+E829</f>
        <v>84682</v>
      </c>
      <c r="D829" s="362">
        <f>F829+H829</f>
        <v>84682</v>
      </c>
      <c r="E829" s="305"/>
      <c r="F829" s="304">
        <f>F900+F909</f>
        <v>84682</v>
      </c>
      <c r="G829" s="472"/>
      <c r="H829" s="363"/>
      <c r="I829" s="306"/>
    </row>
    <row r="830" spans="1:9" s="307" customFormat="1" ht="14.25" customHeight="1">
      <c r="A830" s="645"/>
      <c r="B830" s="300" t="s">
        <v>408</v>
      </c>
      <c r="C830" s="361"/>
      <c r="D830" s="362"/>
      <c r="E830" s="305"/>
      <c r="F830" s="304"/>
      <c r="G830" s="472"/>
      <c r="H830" s="363"/>
      <c r="I830" s="306"/>
    </row>
    <row r="831" spans="1:9" s="375" customFormat="1" ht="12.75" customHeight="1">
      <c r="A831" s="373"/>
      <c r="B831" s="320" t="s">
        <v>394</v>
      </c>
      <c r="C831" s="361">
        <f aca="true" t="shared" si="41" ref="C831:C849">D831+E831</f>
        <v>17331888</v>
      </c>
      <c r="D831" s="362">
        <f aca="true" t="shared" si="42" ref="D831:D849">F831+H831</f>
        <v>17331888</v>
      </c>
      <c r="E831" s="305"/>
      <c r="F831" s="304">
        <f>F854+F858+F869+F878+F887+F893+F911+F902</f>
        <v>6354488</v>
      </c>
      <c r="G831" s="472"/>
      <c r="H831" s="363">
        <f>H854+H858+H869+H878+H887+H893</f>
        <v>10977400</v>
      </c>
      <c r="I831" s="306"/>
    </row>
    <row r="832" spans="1:9" s="375" customFormat="1" ht="15.75" customHeight="1">
      <c r="A832" s="373"/>
      <c r="B832" s="300" t="s">
        <v>383</v>
      </c>
      <c r="C832" s="361">
        <f t="shared" si="41"/>
        <v>1248156</v>
      </c>
      <c r="D832" s="362">
        <f t="shared" si="42"/>
        <v>1243156</v>
      </c>
      <c r="E832" s="305">
        <f>G832+I832</f>
        <v>5000</v>
      </c>
      <c r="F832" s="304">
        <f>F855+F903+F912</f>
        <v>1243156</v>
      </c>
      <c r="G832" s="473">
        <f>G855+G903+G912+G867</f>
        <v>5000</v>
      </c>
      <c r="H832" s="363"/>
      <c r="I832" s="306"/>
    </row>
    <row r="833" spans="1:9" s="375" customFormat="1" ht="14.25" customHeight="1">
      <c r="A833" s="373"/>
      <c r="B833" s="320" t="s">
        <v>390</v>
      </c>
      <c r="C833" s="293">
        <f t="shared" si="41"/>
        <v>300000</v>
      </c>
      <c r="D833" s="294">
        <f t="shared" si="42"/>
        <v>300000</v>
      </c>
      <c r="E833" s="305"/>
      <c r="F833" s="317">
        <f>F904</f>
        <v>300000</v>
      </c>
      <c r="G833" s="598"/>
      <c r="H833" s="348"/>
      <c r="I833" s="325"/>
    </row>
    <row r="834" spans="1:9" s="375" customFormat="1" ht="14.25" customHeight="1">
      <c r="A834" s="373"/>
      <c r="B834" s="496" t="s">
        <v>420</v>
      </c>
      <c r="C834" s="378">
        <f t="shared" si="41"/>
        <v>5000</v>
      </c>
      <c r="D834" s="669"/>
      <c r="E834" s="380">
        <f>G834+I834</f>
        <v>5000</v>
      </c>
      <c r="F834" s="383"/>
      <c r="G834" s="2068">
        <f>G868</f>
        <v>5000</v>
      </c>
      <c r="H834" s="348"/>
      <c r="I834" s="325"/>
    </row>
    <row r="835" spans="1:9" s="290" customFormat="1" ht="14.25" customHeight="1">
      <c r="A835" s="351"/>
      <c r="B835" s="370" t="s">
        <v>378</v>
      </c>
      <c r="C835" s="353">
        <f t="shared" si="41"/>
        <v>2565000</v>
      </c>
      <c r="D835" s="354">
        <f t="shared" si="42"/>
        <v>2497000</v>
      </c>
      <c r="E835" s="355">
        <f>E836</f>
        <v>68000</v>
      </c>
      <c r="F835" s="356"/>
      <c r="G835" s="355"/>
      <c r="H835" s="356">
        <f>H860+H881+H895+H870</f>
        <v>2497000</v>
      </c>
      <c r="I835" s="372">
        <f>I860+I881+I895+I870</f>
        <v>68000</v>
      </c>
    </row>
    <row r="836" spans="1:9" s="451" customFormat="1" ht="13.5" customHeight="1">
      <c r="A836" s="448"/>
      <c r="B836" s="300" t="s">
        <v>379</v>
      </c>
      <c r="C836" s="301">
        <f t="shared" si="41"/>
        <v>108000</v>
      </c>
      <c r="D836" s="302">
        <f t="shared" si="42"/>
        <v>40000</v>
      </c>
      <c r="E836" s="295">
        <f>G836+I836</f>
        <v>68000</v>
      </c>
      <c r="F836" s="348"/>
      <c r="G836" s="303"/>
      <c r="H836" s="348">
        <f>H863+H871</f>
        <v>40000</v>
      </c>
      <c r="I836" s="325">
        <f>I863+I871</f>
        <v>68000</v>
      </c>
    </row>
    <row r="837" spans="1:9" s="673" customFormat="1" ht="12" customHeight="1">
      <c r="A837" s="474"/>
      <c r="B837" s="377" t="s">
        <v>395</v>
      </c>
      <c r="C837" s="668">
        <f t="shared" si="41"/>
        <v>108000</v>
      </c>
      <c r="D837" s="669">
        <f t="shared" si="42"/>
        <v>40000</v>
      </c>
      <c r="E837" s="295">
        <f>G837+I837</f>
        <v>68000</v>
      </c>
      <c r="F837" s="670"/>
      <c r="G837" s="671"/>
      <c r="H837" s="670">
        <f>H864+H872</f>
        <v>40000</v>
      </c>
      <c r="I837" s="384">
        <f>I864+I872</f>
        <v>68000</v>
      </c>
    </row>
    <row r="838" spans="1:9" s="451" customFormat="1" ht="14.25" customHeight="1">
      <c r="A838" s="448"/>
      <c r="B838" s="300" t="s">
        <v>391</v>
      </c>
      <c r="C838" s="361">
        <f t="shared" si="41"/>
        <v>2457000</v>
      </c>
      <c r="D838" s="362">
        <f t="shared" si="42"/>
        <v>2457000</v>
      </c>
      <c r="E838" s="305"/>
      <c r="F838" s="363"/>
      <c r="G838" s="305"/>
      <c r="H838" s="363">
        <f>H861+H882+H896+H873</f>
        <v>2457000</v>
      </c>
      <c r="I838" s="306"/>
    </row>
    <row r="839" spans="1:9" s="673" customFormat="1" ht="9" customHeight="1" hidden="1" thickBot="1">
      <c r="A839" s="674"/>
      <c r="B839" s="675" t="s">
        <v>395</v>
      </c>
      <c r="C839" s="361">
        <f t="shared" si="41"/>
        <v>0</v>
      </c>
      <c r="D839" s="362">
        <f t="shared" si="42"/>
        <v>0</v>
      </c>
      <c r="E839" s="676"/>
      <c r="F839" s="677"/>
      <c r="G839" s="678"/>
      <c r="H839" s="677"/>
      <c r="I839" s="679"/>
    </row>
    <row r="840" spans="1:9" ht="12" customHeight="1" hidden="1" thickTop="1">
      <c r="A840" s="395">
        <v>92109</v>
      </c>
      <c r="B840" s="464" t="s">
        <v>505</v>
      </c>
      <c r="C840" s="361">
        <f t="shared" si="41"/>
        <v>0</v>
      </c>
      <c r="D840" s="362">
        <f t="shared" si="42"/>
        <v>0</v>
      </c>
      <c r="E840" s="467"/>
      <c r="F840" s="468">
        <f>F841+F847</f>
        <v>0</v>
      </c>
      <c r="G840" s="467"/>
      <c r="H840" s="468">
        <f>H841+H847</f>
        <v>0</v>
      </c>
      <c r="I840" s="469"/>
    </row>
    <row r="841" spans="1:9" ht="12" customHeight="1" hidden="1">
      <c r="A841" s="479"/>
      <c r="B841" s="480" t="s">
        <v>421</v>
      </c>
      <c r="C841" s="361">
        <f t="shared" si="41"/>
        <v>0</v>
      </c>
      <c r="D841" s="362">
        <f t="shared" si="42"/>
        <v>0</v>
      </c>
      <c r="E841" s="297"/>
      <c r="F841" s="296">
        <f>F842+F844+F846</f>
        <v>0</v>
      </c>
      <c r="G841" s="297"/>
      <c r="H841" s="296">
        <f>H842+H846</f>
        <v>0</v>
      </c>
      <c r="I841" s="298"/>
    </row>
    <row r="842" spans="1:9" s="307" customFormat="1" ht="12.75" customHeight="1" hidden="1">
      <c r="A842" s="299"/>
      <c r="B842" s="300" t="s">
        <v>407</v>
      </c>
      <c r="C842" s="361">
        <f t="shared" si="41"/>
        <v>0</v>
      </c>
      <c r="D842" s="362">
        <f t="shared" si="42"/>
        <v>0</v>
      </c>
      <c r="E842" s="303"/>
      <c r="F842" s="321"/>
      <c r="G842" s="303"/>
      <c r="H842" s="321"/>
      <c r="I842" s="325"/>
    </row>
    <row r="843" spans="1:9" s="307" customFormat="1" ht="12.75" customHeight="1" hidden="1">
      <c r="A843" s="299"/>
      <c r="B843" s="300" t="s">
        <v>408</v>
      </c>
      <c r="C843" s="361">
        <f t="shared" si="41"/>
        <v>0</v>
      </c>
      <c r="D843" s="362">
        <f t="shared" si="42"/>
        <v>0</v>
      </c>
      <c r="E843" s="303"/>
      <c r="F843" s="321"/>
      <c r="G843" s="303"/>
      <c r="H843" s="321"/>
      <c r="I843" s="325"/>
    </row>
    <row r="844" spans="1:9" s="307" customFormat="1" ht="15" customHeight="1" hidden="1">
      <c r="A844" s="299"/>
      <c r="B844" s="320" t="s">
        <v>394</v>
      </c>
      <c r="C844" s="361">
        <f t="shared" si="41"/>
        <v>0</v>
      </c>
      <c r="D844" s="362">
        <f t="shared" si="42"/>
        <v>0</v>
      </c>
      <c r="E844" s="303"/>
      <c r="F844" s="321"/>
      <c r="G844" s="303"/>
      <c r="H844" s="321"/>
      <c r="I844" s="325"/>
    </row>
    <row r="845" spans="1:9" s="307" customFormat="1" ht="14.25" customHeight="1" hidden="1">
      <c r="A845" s="299"/>
      <c r="B845" s="320" t="s">
        <v>390</v>
      </c>
      <c r="C845" s="361">
        <f t="shared" si="41"/>
        <v>0</v>
      </c>
      <c r="D845" s="362">
        <f t="shared" si="42"/>
        <v>0</v>
      </c>
      <c r="E845" s="303"/>
      <c r="F845" s="321"/>
      <c r="G845" s="303"/>
      <c r="H845" s="321"/>
      <c r="I845" s="325"/>
    </row>
    <row r="846" spans="1:9" s="307" customFormat="1" ht="15" customHeight="1" hidden="1">
      <c r="A846" s="299"/>
      <c r="B846" s="300" t="s">
        <v>383</v>
      </c>
      <c r="C846" s="361">
        <f t="shared" si="41"/>
        <v>0</v>
      </c>
      <c r="D846" s="362">
        <f t="shared" si="42"/>
        <v>0</v>
      </c>
      <c r="E846" s="303"/>
      <c r="F846" s="321"/>
      <c r="G846" s="303"/>
      <c r="H846" s="321"/>
      <c r="I846" s="325"/>
    </row>
    <row r="847" spans="1:9" ht="22.5" customHeight="1" hidden="1">
      <c r="A847" s="291"/>
      <c r="B847" s="292" t="s">
        <v>378</v>
      </c>
      <c r="C847" s="361">
        <f t="shared" si="41"/>
        <v>0</v>
      </c>
      <c r="D847" s="362">
        <f t="shared" si="42"/>
        <v>0</v>
      </c>
      <c r="E847" s="297"/>
      <c r="F847" s="296">
        <f>SUM(F848)</f>
        <v>0</v>
      </c>
      <c r="G847" s="297"/>
      <c r="H847" s="296">
        <f>SUM(H848)</f>
        <v>0</v>
      </c>
      <c r="I847" s="298"/>
    </row>
    <row r="848" spans="1:9" s="307" customFormat="1" ht="12" customHeight="1" hidden="1">
      <c r="A848" s="299"/>
      <c r="B848" s="300" t="s">
        <v>391</v>
      </c>
      <c r="C848" s="361">
        <f t="shared" si="41"/>
        <v>0</v>
      </c>
      <c r="D848" s="362">
        <f t="shared" si="42"/>
        <v>0</v>
      </c>
      <c r="E848" s="303"/>
      <c r="F848" s="321"/>
      <c r="G848" s="303"/>
      <c r="H848" s="321"/>
      <c r="I848" s="325"/>
    </row>
    <row r="849" spans="1:9" s="307" customFormat="1" ht="12" customHeight="1">
      <c r="A849" s="432"/>
      <c r="B849" s="438" t="s">
        <v>395</v>
      </c>
      <c r="C849" s="509">
        <f t="shared" si="41"/>
        <v>357000</v>
      </c>
      <c r="D849" s="510">
        <f t="shared" si="42"/>
        <v>357000</v>
      </c>
      <c r="E849" s="419"/>
      <c r="F849" s="420"/>
      <c r="G849" s="419"/>
      <c r="H849" s="420">
        <f>H897</f>
        <v>357000</v>
      </c>
      <c r="I849" s="428"/>
    </row>
    <row r="850" spans="1:9" ht="24">
      <c r="A850" s="395">
        <v>92105</v>
      </c>
      <c r="B850" s="464" t="s">
        <v>506</v>
      </c>
      <c r="C850" s="465">
        <f>C851</f>
        <v>413300</v>
      </c>
      <c r="D850" s="466">
        <f>D851</f>
        <v>413300</v>
      </c>
      <c r="E850" s="467"/>
      <c r="F850" s="468">
        <f>F851</f>
        <v>413300</v>
      </c>
      <c r="G850" s="467"/>
      <c r="H850" s="468"/>
      <c r="I850" s="469"/>
    </row>
    <row r="851" spans="1:9" ht="12.75">
      <c r="A851" s="479"/>
      <c r="B851" s="480" t="s">
        <v>421</v>
      </c>
      <c r="C851" s="452">
        <f>SUM(C852:C855)</f>
        <v>413300</v>
      </c>
      <c r="D851" s="453">
        <f>SUM(D852:D855)</f>
        <v>413300</v>
      </c>
      <c r="E851" s="297"/>
      <c r="F851" s="296">
        <f>SUM(F852:F855)</f>
        <v>413300</v>
      </c>
      <c r="G851" s="297"/>
      <c r="H851" s="296"/>
      <c r="I851" s="298"/>
    </row>
    <row r="852" spans="1:9" ht="12.75" hidden="1">
      <c r="A852" s="291"/>
      <c r="B852" s="300" t="s">
        <v>407</v>
      </c>
      <c r="C852" s="301">
        <f>SUM(D852:E852)</f>
        <v>0</v>
      </c>
      <c r="D852" s="302">
        <f>F852+H852</f>
        <v>0</v>
      </c>
      <c r="E852" s="297"/>
      <c r="F852" s="296"/>
      <c r="G852" s="297"/>
      <c r="H852" s="296"/>
      <c r="I852" s="298"/>
    </row>
    <row r="853" spans="1:9" ht="12.75" hidden="1">
      <c r="A853" s="291"/>
      <c r="B853" s="300" t="s">
        <v>408</v>
      </c>
      <c r="C853" s="301"/>
      <c r="D853" s="302"/>
      <c r="E853" s="297"/>
      <c r="F853" s="296"/>
      <c r="G853" s="297"/>
      <c r="H853" s="296"/>
      <c r="I853" s="298"/>
    </row>
    <row r="854" spans="1:9" s="307" customFormat="1" ht="12">
      <c r="A854" s="299"/>
      <c r="B854" s="320" t="s">
        <v>394</v>
      </c>
      <c r="C854" s="301">
        <f>SUM(D854:E854)</f>
        <v>223000</v>
      </c>
      <c r="D854" s="302">
        <f>F854+H854</f>
        <v>223000</v>
      </c>
      <c r="E854" s="303"/>
      <c r="F854" s="321">
        <v>223000</v>
      </c>
      <c r="G854" s="303"/>
      <c r="H854" s="321"/>
      <c r="I854" s="325"/>
    </row>
    <row r="855" spans="1:9" s="307" customFormat="1" ht="12">
      <c r="A855" s="299"/>
      <c r="B855" s="300" t="s">
        <v>383</v>
      </c>
      <c r="C855" s="301">
        <f>SUM(D855:E855)</f>
        <v>190300</v>
      </c>
      <c r="D855" s="302">
        <f>F855+H855</f>
        <v>190300</v>
      </c>
      <c r="E855" s="303"/>
      <c r="F855" s="321">
        <v>190300</v>
      </c>
      <c r="G855" s="303"/>
      <c r="H855" s="321"/>
      <c r="I855" s="325"/>
    </row>
    <row r="856" spans="1:9" ht="15.75" customHeight="1">
      <c r="A856" s="346">
        <v>92106</v>
      </c>
      <c r="B856" s="680" t="s">
        <v>507</v>
      </c>
      <c r="C856" s="322">
        <f>C857+C860</f>
        <v>4299000</v>
      </c>
      <c r="D856" s="225">
        <f>D857+D860</f>
        <v>4231000</v>
      </c>
      <c r="E856" s="323">
        <f>E857+E860</f>
        <v>68000</v>
      </c>
      <c r="F856" s="511"/>
      <c r="G856" s="512"/>
      <c r="H856" s="324">
        <f>H857+H860</f>
        <v>4231000</v>
      </c>
      <c r="I856" s="227">
        <f>I857+I860</f>
        <v>68000</v>
      </c>
    </row>
    <row r="857" spans="1:9" ht="12.75">
      <c r="A857" s="479"/>
      <c r="B857" s="543" t="s">
        <v>421</v>
      </c>
      <c r="C857" s="447">
        <f>C858</f>
        <v>3091000</v>
      </c>
      <c r="D857" s="481">
        <f>D858</f>
        <v>3091000</v>
      </c>
      <c r="E857" s="482"/>
      <c r="F857" s="483"/>
      <c r="G857" s="492"/>
      <c r="H857" s="544">
        <f>H858</f>
        <v>3091000</v>
      </c>
      <c r="I857" s="211"/>
    </row>
    <row r="858" spans="1:9" s="307" customFormat="1" ht="9.75" customHeight="1">
      <c r="A858" s="299"/>
      <c r="B858" s="300" t="s">
        <v>394</v>
      </c>
      <c r="C858" s="301">
        <f>SUM(D858:E858)</f>
        <v>3091000</v>
      </c>
      <c r="D858" s="302">
        <f>F858+H858</f>
        <v>3091000</v>
      </c>
      <c r="E858" s="303"/>
      <c r="F858" s="321"/>
      <c r="G858" s="303"/>
      <c r="H858" s="321">
        <v>3091000</v>
      </c>
      <c r="I858" s="325"/>
    </row>
    <row r="859" spans="1:9" s="307" customFormat="1" ht="12" hidden="1">
      <c r="A859" s="299"/>
      <c r="B859" s="320" t="s">
        <v>390</v>
      </c>
      <c r="C859" s="301"/>
      <c r="D859" s="302"/>
      <c r="E859" s="303"/>
      <c r="F859" s="321"/>
      <c r="G859" s="303"/>
      <c r="H859" s="321"/>
      <c r="I859" s="325"/>
    </row>
    <row r="860" spans="1:9" s="307" customFormat="1" ht="12.75">
      <c r="A860" s="291"/>
      <c r="B860" s="292" t="s">
        <v>378</v>
      </c>
      <c r="C860" s="452">
        <f>SUM(C861:C863)</f>
        <v>1208000</v>
      </c>
      <c r="D860" s="453">
        <f>SUM(D861:D863)</f>
        <v>1140000</v>
      </c>
      <c r="E860" s="297">
        <f>E863</f>
        <v>68000</v>
      </c>
      <c r="F860" s="296"/>
      <c r="G860" s="297"/>
      <c r="H860" s="296">
        <f>SUM(H861:H863)</f>
        <v>1140000</v>
      </c>
      <c r="I860" s="2399">
        <f>SUM(I861:I863)</f>
        <v>68000</v>
      </c>
    </row>
    <row r="861" spans="1:9" s="307" customFormat="1" ht="10.5" customHeight="1">
      <c r="A861" s="299"/>
      <c r="B861" s="300" t="s">
        <v>391</v>
      </c>
      <c r="C861" s="301">
        <f>SUM(D861:E861)</f>
        <v>1100000</v>
      </c>
      <c r="D861" s="302">
        <f>F861+H861</f>
        <v>1100000</v>
      </c>
      <c r="E861" s="303"/>
      <c r="F861" s="321"/>
      <c r="G861" s="303"/>
      <c r="H861" s="321">
        <v>1100000</v>
      </c>
      <c r="I861" s="325"/>
    </row>
    <row r="862" spans="1:9" s="307" customFormat="1" ht="13.5" customHeight="1" hidden="1">
      <c r="A862" s="299"/>
      <c r="B862" s="377" t="s">
        <v>395</v>
      </c>
      <c r="C862" s="301">
        <f>SUM(D862:E862)</f>
        <v>0</v>
      </c>
      <c r="D862" s="302">
        <f>F862+H862</f>
        <v>0</v>
      </c>
      <c r="E862" s="303"/>
      <c r="F862" s="321"/>
      <c r="G862" s="303"/>
      <c r="H862" s="321">
        <v>0</v>
      </c>
      <c r="I862" s="428"/>
    </row>
    <row r="863" spans="1:9" s="307" customFormat="1" ht="13.5" customHeight="1">
      <c r="A863" s="299"/>
      <c r="B863" s="320" t="s">
        <v>379</v>
      </c>
      <c r="C863" s="301">
        <f>SUM(D863:E863)</f>
        <v>108000</v>
      </c>
      <c r="D863" s="302">
        <f>F863+H863</f>
        <v>40000</v>
      </c>
      <c r="E863" s="295">
        <f>G863+I863</f>
        <v>68000</v>
      </c>
      <c r="F863" s="321"/>
      <c r="G863" s="303"/>
      <c r="H863" s="321">
        <v>40000</v>
      </c>
      <c r="I863" s="325">
        <v>68000</v>
      </c>
    </row>
    <row r="864" spans="1:9" s="307" customFormat="1" ht="11.25" customHeight="1">
      <c r="A864" s="432"/>
      <c r="B864" s="377" t="s">
        <v>395</v>
      </c>
      <c r="C864" s="301">
        <f>SUM(D864:E864)</f>
        <v>108000</v>
      </c>
      <c r="D864" s="302">
        <f>F864+H864</f>
        <v>40000</v>
      </c>
      <c r="E864" s="295">
        <f>G864+I864</f>
        <v>68000</v>
      </c>
      <c r="F864" s="420"/>
      <c r="G864" s="419"/>
      <c r="H864" s="420">
        <v>40000</v>
      </c>
      <c r="I864" s="428">
        <v>68000</v>
      </c>
    </row>
    <row r="865" spans="1:9" ht="27" customHeight="1">
      <c r="A865" s="346">
        <v>92108</v>
      </c>
      <c r="B865" s="470" t="s">
        <v>508</v>
      </c>
      <c r="C865" s="322">
        <f>C866+C870</f>
        <v>4302000</v>
      </c>
      <c r="D865" s="225">
        <f>SUM(D866:D866)+D870</f>
        <v>4297000</v>
      </c>
      <c r="E865" s="323">
        <f>E866</f>
        <v>5000</v>
      </c>
      <c r="F865" s="511"/>
      <c r="G865" s="323">
        <f>G866</f>
        <v>5000</v>
      </c>
      <c r="H865" s="324">
        <f>SUM(H869+H870)</f>
        <v>4297000</v>
      </c>
      <c r="I865" s="227"/>
    </row>
    <row r="866" spans="1:9" ht="12.75">
      <c r="A866" s="291"/>
      <c r="B866" s="292" t="s">
        <v>421</v>
      </c>
      <c r="C866" s="293">
        <f>C869+C867</f>
        <v>3302000</v>
      </c>
      <c r="D866" s="294">
        <f>D869</f>
        <v>3297000</v>
      </c>
      <c r="E866" s="295">
        <f>E867</f>
        <v>5000</v>
      </c>
      <c r="F866" s="296"/>
      <c r="G866" s="297">
        <f>SUM(G867)</f>
        <v>5000</v>
      </c>
      <c r="H866" s="317">
        <f>SUM(H869)</f>
        <v>3297000</v>
      </c>
      <c r="I866" s="318"/>
    </row>
    <row r="867" spans="1:9" ht="12.75" customHeight="1">
      <c r="A867" s="291"/>
      <c r="B867" s="559" t="s">
        <v>383</v>
      </c>
      <c r="C867" s="301">
        <f>SUM(D867:E867)</f>
        <v>5000</v>
      </c>
      <c r="D867" s="294"/>
      <c r="E867" s="295">
        <f>G867+I867</f>
        <v>5000</v>
      </c>
      <c r="F867" s="296"/>
      <c r="G867" s="305">
        <v>5000</v>
      </c>
      <c r="H867" s="317"/>
      <c r="I867" s="318"/>
    </row>
    <row r="868" spans="1:9" ht="12.75" customHeight="1">
      <c r="A868" s="291"/>
      <c r="B868" s="496" t="s">
        <v>420</v>
      </c>
      <c r="C868" s="378">
        <f>SUM(D868:E868)</f>
        <v>5000</v>
      </c>
      <c r="D868" s="669"/>
      <c r="E868" s="382">
        <f>G868+I868</f>
        <v>5000</v>
      </c>
      <c r="F868" s="383"/>
      <c r="G868" s="380">
        <v>5000</v>
      </c>
      <c r="H868" s="317"/>
      <c r="I868" s="318"/>
    </row>
    <row r="869" spans="1:9" s="307" customFormat="1" ht="14.25" customHeight="1">
      <c r="A869" s="299"/>
      <c r="B869" s="300" t="s">
        <v>394</v>
      </c>
      <c r="C869" s="301">
        <f>SUM(D869:E869)</f>
        <v>3297000</v>
      </c>
      <c r="D869" s="302">
        <f>F869+H869</f>
        <v>3297000</v>
      </c>
      <c r="E869" s="303"/>
      <c r="F869" s="321"/>
      <c r="G869" s="303"/>
      <c r="H869" s="321">
        <v>3297000</v>
      </c>
      <c r="I869" s="325"/>
    </row>
    <row r="870" spans="1:9" s="307" customFormat="1" ht="12.75">
      <c r="A870" s="291"/>
      <c r="B870" s="292" t="s">
        <v>378</v>
      </c>
      <c r="C870" s="452">
        <f>C871+C873</f>
        <v>1000000</v>
      </c>
      <c r="D870" s="453">
        <f>D871+D873</f>
        <v>1000000</v>
      </c>
      <c r="E870" s="297"/>
      <c r="F870" s="296"/>
      <c r="G870" s="297"/>
      <c r="H870" s="296">
        <f>H871+H873</f>
        <v>1000000</v>
      </c>
      <c r="I870" s="298"/>
    </row>
    <row r="871" spans="1:9" s="307" customFormat="1" ht="14.25" customHeight="1" hidden="1">
      <c r="A871" s="299"/>
      <c r="B871" s="300" t="s">
        <v>379</v>
      </c>
      <c r="C871" s="301">
        <f>SUM(D871:E871)</f>
        <v>0</v>
      </c>
      <c r="D871" s="302">
        <f>F871+H871</f>
        <v>0</v>
      </c>
      <c r="E871" s="303"/>
      <c r="F871" s="321"/>
      <c r="G871" s="303"/>
      <c r="H871" s="321"/>
      <c r="I871" s="325"/>
    </row>
    <row r="872" spans="1:9" s="673" customFormat="1" ht="12.75" customHeight="1" hidden="1">
      <c r="A872" s="474"/>
      <c r="B872" s="681" t="s">
        <v>395</v>
      </c>
      <c r="C872" s="668">
        <f>D872+E872</f>
        <v>0</v>
      </c>
      <c r="D872" s="669">
        <f>F872+H872</f>
        <v>0</v>
      </c>
      <c r="E872" s="382"/>
      <c r="F872" s="670"/>
      <c r="G872" s="671"/>
      <c r="H872" s="670"/>
      <c r="I872" s="672"/>
    </row>
    <row r="873" spans="1:9" s="315" customFormat="1" ht="13.5" customHeight="1">
      <c r="A873" s="299"/>
      <c r="B873" s="300" t="s">
        <v>391</v>
      </c>
      <c r="C873" s="301">
        <f>SUM(D873:E873)</f>
        <v>1000000</v>
      </c>
      <c r="D873" s="302">
        <f>F873+H873</f>
        <v>1000000</v>
      </c>
      <c r="E873" s="303"/>
      <c r="F873" s="321"/>
      <c r="G873" s="303"/>
      <c r="H873" s="321">
        <v>1000000</v>
      </c>
      <c r="I873" s="325"/>
    </row>
    <row r="874" spans="1:9" ht="24" customHeight="1">
      <c r="A874" s="346">
        <v>92109</v>
      </c>
      <c r="B874" s="470" t="s">
        <v>505</v>
      </c>
      <c r="C874" s="322">
        <f>C875+C881</f>
        <v>3439000</v>
      </c>
      <c r="D874" s="225">
        <f>D875+D881</f>
        <v>3439000</v>
      </c>
      <c r="E874" s="323"/>
      <c r="F874" s="324">
        <f>F875+F881</f>
        <v>3439000</v>
      </c>
      <c r="G874" s="323"/>
      <c r="H874" s="324"/>
      <c r="I874" s="227"/>
    </row>
    <row r="875" spans="1:9" ht="14.25" customHeight="1">
      <c r="A875" s="479"/>
      <c r="B875" s="480" t="s">
        <v>421</v>
      </c>
      <c r="C875" s="666">
        <f>C876+C878+C880</f>
        <v>3439000</v>
      </c>
      <c r="D875" s="453">
        <f>D876+D878+D880</f>
        <v>3439000</v>
      </c>
      <c r="E875" s="297"/>
      <c r="F875" s="296">
        <f>F876+F878+F880</f>
        <v>3439000</v>
      </c>
      <c r="G875" s="297"/>
      <c r="H875" s="296"/>
      <c r="I875" s="298"/>
    </row>
    <row r="876" spans="1:9" s="307" customFormat="1" ht="12" hidden="1">
      <c r="A876" s="299"/>
      <c r="B876" s="300" t="s">
        <v>407</v>
      </c>
      <c r="C876" s="301">
        <f>SUM(D876:E876)</f>
        <v>0</v>
      </c>
      <c r="D876" s="302">
        <f>F876+H876</f>
        <v>0</v>
      </c>
      <c r="E876" s="303"/>
      <c r="F876" s="321"/>
      <c r="G876" s="303"/>
      <c r="H876" s="321"/>
      <c r="I876" s="325"/>
    </row>
    <row r="877" spans="1:9" s="307" customFormat="1" ht="12" hidden="1">
      <c r="A877" s="299"/>
      <c r="B877" s="300" t="s">
        <v>408</v>
      </c>
      <c r="C877" s="301"/>
      <c r="D877" s="302"/>
      <c r="E877" s="303"/>
      <c r="F877" s="321"/>
      <c r="G877" s="303"/>
      <c r="H877" s="321"/>
      <c r="I877" s="325"/>
    </row>
    <row r="878" spans="1:9" s="307" customFormat="1" ht="15" customHeight="1">
      <c r="A878" s="299"/>
      <c r="B878" s="320" t="s">
        <v>394</v>
      </c>
      <c r="C878" s="301">
        <f>SUM(D878:E878)</f>
        <v>3439000</v>
      </c>
      <c r="D878" s="302">
        <f>F878+H878</f>
        <v>3439000</v>
      </c>
      <c r="E878" s="303"/>
      <c r="F878" s="321">
        <v>3439000</v>
      </c>
      <c r="G878" s="303"/>
      <c r="H878" s="321"/>
      <c r="I878" s="325"/>
    </row>
    <row r="879" spans="1:9" s="307" customFormat="1" ht="12.75" customHeight="1" hidden="1">
      <c r="A879" s="299"/>
      <c r="B879" s="320" t="s">
        <v>390</v>
      </c>
      <c r="C879" s="301"/>
      <c r="D879" s="302"/>
      <c r="E879" s="303"/>
      <c r="F879" s="321"/>
      <c r="G879" s="303"/>
      <c r="H879" s="321"/>
      <c r="I879" s="325"/>
    </row>
    <row r="880" spans="1:9" s="307" customFormat="1" ht="12" hidden="1">
      <c r="A880" s="299"/>
      <c r="B880" s="300" t="s">
        <v>383</v>
      </c>
      <c r="C880" s="301">
        <f>SUM(D880:E880)</f>
        <v>0</v>
      </c>
      <c r="D880" s="302">
        <f>F880+H880</f>
        <v>0</v>
      </c>
      <c r="E880" s="303"/>
      <c r="F880" s="321"/>
      <c r="G880" s="303"/>
      <c r="H880" s="321"/>
      <c r="I880" s="325"/>
    </row>
    <row r="881" spans="1:9" ht="12.75" customHeight="1" hidden="1">
      <c r="A881" s="291"/>
      <c r="B881" s="614" t="s">
        <v>378</v>
      </c>
      <c r="C881" s="452">
        <f>C882+C884</f>
        <v>0</v>
      </c>
      <c r="D881" s="453">
        <f>D882+D884</f>
        <v>0</v>
      </c>
      <c r="E881" s="297"/>
      <c r="F881" s="296">
        <f>F882+F884</f>
        <v>0</v>
      </c>
      <c r="G881" s="297"/>
      <c r="H881" s="296"/>
      <c r="I881" s="298"/>
    </row>
    <row r="882" spans="1:9" s="307" customFormat="1" ht="15" customHeight="1" hidden="1">
      <c r="A882" s="299"/>
      <c r="B882" s="300" t="s">
        <v>391</v>
      </c>
      <c r="C882" s="301">
        <f>SUM(D882:E882)</f>
        <v>0</v>
      </c>
      <c r="D882" s="302">
        <f>F882+H882</f>
        <v>0</v>
      </c>
      <c r="E882" s="303"/>
      <c r="F882" s="321"/>
      <c r="G882" s="303"/>
      <c r="H882" s="321"/>
      <c r="I882" s="325"/>
    </row>
    <row r="883" spans="1:9" s="498" customFormat="1" ht="13.5" customHeight="1" hidden="1">
      <c r="A883" s="495"/>
      <c r="B883" s="377" t="s">
        <v>395</v>
      </c>
      <c r="C883" s="668">
        <f>SUM(D883:E883)</f>
        <v>0</v>
      </c>
      <c r="D883" s="669">
        <f>F883+H883</f>
        <v>0</v>
      </c>
      <c r="E883" s="382"/>
      <c r="F883" s="383"/>
      <c r="G883" s="380"/>
      <c r="H883" s="381"/>
      <c r="I883" s="497"/>
    </row>
    <row r="884" spans="1:9" s="307" customFormat="1" ht="12" hidden="1">
      <c r="A884" s="299"/>
      <c r="B884" s="300" t="s">
        <v>379</v>
      </c>
      <c r="C884" s="301">
        <f>F884+G884</f>
        <v>0</v>
      </c>
      <c r="D884" s="302">
        <f>F884+H884</f>
        <v>0</v>
      </c>
      <c r="E884" s="303"/>
      <c r="F884" s="321">
        <v>0</v>
      </c>
      <c r="G884" s="303"/>
      <c r="H884" s="321"/>
      <c r="I884" s="325"/>
    </row>
    <row r="885" spans="1:9" ht="15" customHeight="1">
      <c r="A885" s="346">
        <v>92116</v>
      </c>
      <c r="B885" s="470" t="s">
        <v>509</v>
      </c>
      <c r="C885" s="322">
        <f>C886+C889</f>
        <v>4011100</v>
      </c>
      <c r="D885" s="225">
        <f>D886+D889</f>
        <v>4011100</v>
      </c>
      <c r="E885" s="323"/>
      <c r="F885" s="324">
        <f>F886+F889</f>
        <v>1348000</v>
      </c>
      <c r="G885" s="323"/>
      <c r="H885" s="324">
        <f>H886+H889</f>
        <v>2663100</v>
      </c>
      <c r="I885" s="227"/>
    </row>
    <row r="886" spans="1:9" ht="15" customHeight="1">
      <c r="A886" s="291"/>
      <c r="B886" s="292" t="s">
        <v>421</v>
      </c>
      <c r="C886" s="447">
        <f>C887</f>
        <v>4011100</v>
      </c>
      <c r="D886" s="294">
        <f>D887</f>
        <v>4011100</v>
      </c>
      <c r="E886" s="295"/>
      <c r="F886" s="317">
        <f>SUM(F887)</f>
        <v>1348000</v>
      </c>
      <c r="G886" s="295"/>
      <c r="H886" s="317">
        <f>SUM(H887)</f>
        <v>2663100</v>
      </c>
      <c r="I886" s="318"/>
    </row>
    <row r="887" spans="1:9" s="307" customFormat="1" ht="15.75" customHeight="1">
      <c r="A887" s="299"/>
      <c r="B887" s="300" t="s">
        <v>394</v>
      </c>
      <c r="C887" s="301">
        <f>SUM(D887:E887)</f>
        <v>4011100</v>
      </c>
      <c r="D887" s="302">
        <f>F887+H887</f>
        <v>4011100</v>
      </c>
      <c r="E887" s="303"/>
      <c r="F887" s="321">
        <v>1348000</v>
      </c>
      <c r="G887" s="303"/>
      <c r="H887" s="321">
        <v>2663100</v>
      </c>
      <c r="I887" s="325"/>
    </row>
    <row r="888" spans="1:9" s="307" customFormat="1" ht="4.5" customHeight="1" hidden="1">
      <c r="A888" s="299"/>
      <c r="B888" s="320" t="s">
        <v>390</v>
      </c>
      <c r="C888" s="301">
        <f>SUM(D888:E888)</f>
        <v>0</v>
      </c>
      <c r="D888" s="302">
        <f>F888+H888</f>
        <v>0</v>
      </c>
      <c r="E888" s="303"/>
      <c r="F888" s="321">
        <v>0</v>
      </c>
      <c r="G888" s="303"/>
      <c r="H888" s="321"/>
      <c r="I888" s="325"/>
    </row>
    <row r="889" spans="1:9" ht="12.75" hidden="1">
      <c r="A889" s="291"/>
      <c r="B889" s="292" t="s">
        <v>378</v>
      </c>
      <c r="C889" s="452">
        <f>SUM(C890)</f>
        <v>0</v>
      </c>
      <c r="D889" s="453">
        <f>SUM(D890)</f>
        <v>0</v>
      </c>
      <c r="E889" s="297"/>
      <c r="F889" s="296"/>
      <c r="G889" s="297"/>
      <c r="H889" s="296">
        <f>SUM(H890)</f>
        <v>0</v>
      </c>
      <c r="I889" s="298"/>
    </row>
    <row r="890" spans="1:9" s="307" customFormat="1" ht="12" hidden="1">
      <c r="A890" s="299"/>
      <c r="B890" s="300" t="s">
        <v>391</v>
      </c>
      <c r="C890" s="301">
        <f>SUM(D890:E890)</f>
        <v>0</v>
      </c>
      <c r="D890" s="302">
        <f>F890+H890</f>
        <v>0</v>
      </c>
      <c r="E890" s="303"/>
      <c r="F890" s="321"/>
      <c r="G890" s="303"/>
      <c r="H890" s="321">
        <v>0</v>
      </c>
      <c r="I890" s="325"/>
    </row>
    <row r="891" spans="1:9" s="315" customFormat="1" ht="15.75" customHeight="1">
      <c r="A891" s="346">
        <v>92118</v>
      </c>
      <c r="B891" s="470" t="s">
        <v>510</v>
      </c>
      <c r="C891" s="322">
        <f>C892+C895</f>
        <v>2283300</v>
      </c>
      <c r="D891" s="225">
        <f>D892+D895</f>
        <v>2283300</v>
      </c>
      <c r="E891" s="323"/>
      <c r="F891" s="511"/>
      <c r="G891" s="512"/>
      <c r="H891" s="549">
        <f>H892+H895</f>
        <v>2283300</v>
      </c>
      <c r="I891" s="227"/>
    </row>
    <row r="892" spans="1:9" s="315" customFormat="1" ht="12.75">
      <c r="A892" s="366"/>
      <c r="B892" s="292" t="s">
        <v>421</v>
      </c>
      <c r="C892" s="293">
        <f>C893</f>
        <v>1926300</v>
      </c>
      <c r="D892" s="294">
        <f>D893</f>
        <v>1926300</v>
      </c>
      <c r="E892" s="295"/>
      <c r="F892" s="296"/>
      <c r="G892" s="297"/>
      <c r="H892" s="369">
        <f>H893</f>
        <v>1926300</v>
      </c>
      <c r="I892" s="318"/>
    </row>
    <row r="893" spans="1:9" s="315" customFormat="1" ht="13.5" customHeight="1">
      <c r="A893" s="291"/>
      <c r="B893" s="300" t="s">
        <v>511</v>
      </c>
      <c r="C893" s="301">
        <f>SUM(D893:E893)</f>
        <v>1926300</v>
      </c>
      <c r="D893" s="302">
        <f>F893+H893</f>
        <v>1926300</v>
      </c>
      <c r="E893" s="303"/>
      <c r="F893" s="321"/>
      <c r="G893" s="303"/>
      <c r="H893" s="321">
        <v>1926300</v>
      </c>
      <c r="I893" s="325"/>
    </row>
    <row r="894" spans="1:9" s="315" customFormat="1" ht="12" hidden="1">
      <c r="A894" s="291"/>
      <c r="B894" s="300" t="s">
        <v>410</v>
      </c>
      <c r="C894" s="301">
        <f>SUM(D894:E894)</f>
        <v>0</v>
      </c>
      <c r="D894" s="302">
        <f>F894+H894</f>
        <v>0</v>
      </c>
      <c r="E894" s="303"/>
      <c r="F894" s="321"/>
      <c r="G894" s="303"/>
      <c r="H894" s="321"/>
      <c r="I894" s="325"/>
    </row>
    <row r="895" spans="1:9" s="315" customFormat="1" ht="12.75">
      <c r="A895" s="291"/>
      <c r="B895" s="292" t="s">
        <v>378</v>
      </c>
      <c r="C895" s="452">
        <f>SUM(C896)</f>
        <v>357000</v>
      </c>
      <c r="D895" s="453">
        <f>SUM(D896)</f>
        <v>357000</v>
      </c>
      <c r="E895" s="297"/>
      <c r="F895" s="296"/>
      <c r="G895" s="297"/>
      <c r="H895" s="296">
        <f>SUM(H896)</f>
        <v>357000</v>
      </c>
      <c r="I895" s="298"/>
    </row>
    <row r="896" spans="1:9" s="315" customFormat="1" ht="13.5" customHeight="1">
      <c r="A896" s="299"/>
      <c r="B896" s="300" t="s">
        <v>391</v>
      </c>
      <c r="C896" s="301">
        <f>SUM(D896:E896)</f>
        <v>357000</v>
      </c>
      <c r="D896" s="302">
        <f>F896+H896</f>
        <v>357000</v>
      </c>
      <c r="E896" s="303"/>
      <c r="F896" s="321"/>
      <c r="G896" s="303"/>
      <c r="H896" s="321">
        <v>357000</v>
      </c>
      <c r="I896" s="325"/>
    </row>
    <row r="897" spans="1:9" s="673" customFormat="1" ht="16.5" customHeight="1">
      <c r="A897" s="495"/>
      <c r="B897" s="377" t="s">
        <v>395</v>
      </c>
      <c r="C897" s="668">
        <f>SUM(D897:E897)</f>
        <v>357000</v>
      </c>
      <c r="D897" s="669">
        <f>F897+H897</f>
        <v>357000</v>
      </c>
      <c r="E897" s="382"/>
      <c r="F897" s="381"/>
      <c r="G897" s="380"/>
      <c r="H897" s="383">
        <v>357000</v>
      </c>
      <c r="I897" s="497"/>
    </row>
    <row r="898" spans="1:9" ht="24.75" customHeight="1">
      <c r="A898" s="346">
        <v>92120</v>
      </c>
      <c r="B898" s="470" t="s">
        <v>512</v>
      </c>
      <c r="C898" s="322">
        <f>C899+C905</f>
        <v>1222488</v>
      </c>
      <c r="D898" s="225">
        <f>D899+D905</f>
        <v>1222488</v>
      </c>
      <c r="E898" s="323"/>
      <c r="F898" s="324">
        <f>F899+F905</f>
        <v>1222488</v>
      </c>
      <c r="G898" s="323"/>
      <c r="H898" s="324"/>
      <c r="I898" s="227"/>
    </row>
    <row r="899" spans="1:9" ht="16.5" customHeight="1">
      <c r="A899" s="366"/>
      <c r="B899" s="292" t="s">
        <v>421</v>
      </c>
      <c r="C899" s="293">
        <f>SUM(C900:C903)</f>
        <v>1222488</v>
      </c>
      <c r="D899" s="294">
        <f>SUM(D900:D903)</f>
        <v>1222488</v>
      </c>
      <c r="E899" s="295"/>
      <c r="F899" s="317">
        <f>SUM(F900:F903)</f>
        <v>1222488</v>
      </c>
      <c r="G899" s="295"/>
      <c r="H899" s="317"/>
      <c r="I899" s="318"/>
    </row>
    <row r="900" spans="1:9" s="451" customFormat="1" ht="13.5" customHeight="1">
      <c r="A900" s="299"/>
      <c r="B900" s="300" t="s">
        <v>407</v>
      </c>
      <c r="C900" s="301">
        <f>SUM(D900:E900)</f>
        <v>5000</v>
      </c>
      <c r="D900" s="302">
        <f>F900+H900</f>
        <v>5000</v>
      </c>
      <c r="E900" s="303"/>
      <c r="F900" s="321">
        <v>5000</v>
      </c>
      <c r="G900" s="303"/>
      <c r="H900" s="321"/>
      <c r="I900" s="325"/>
    </row>
    <row r="901" spans="1:9" s="451" customFormat="1" ht="12">
      <c r="A901" s="299"/>
      <c r="B901" s="300" t="s">
        <v>408</v>
      </c>
      <c r="C901" s="301"/>
      <c r="D901" s="302"/>
      <c r="E901" s="303"/>
      <c r="F901" s="321"/>
      <c r="G901" s="303"/>
      <c r="H901" s="321"/>
      <c r="I901" s="325"/>
    </row>
    <row r="902" spans="1:9" s="451" customFormat="1" ht="12">
      <c r="A902" s="299"/>
      <c r="B902" s="300" t="s">
        <v>511</v>
      </c>
      <c r="C902" s="301">
        <f>SUM(D902:E902)</f>
        <v>898488</v>
      </c>
      <c r="D902" s="302">
        <f>F902+H902</f>
        <v>898488</v>
      </c>
      <c r="E902" s="303"/>
      <c r="F902" s="321">
        <v>898488</v>
      </c>
      <c r="G902" s="303"/>
      <c r="H902" s="321"/>
      <c r="I902" s="325"/>
    </row>
    <row r="903" spans="1:9" s="315" customFormat="1" ht="12.75" customHeight="1">
      <c r="A903" s="291"/>
      <c r="B903" s="559" t="s">
        <v>383</v>
      </c>
      <c r="C903" s="301">
        <f>SUM(D903:E903)</f>
        <v>319000</v>
      </c>
      <c r="D903" s="302">
        <f>F903+H903</f>
        <v>319000</v>
      </c>
      <c r="E903" s="303"/>
      <c r="F903" s="321">
        <v>319000</v>
      </c>
      <c r="G903" s="303"/>
      <c r="H903" s="321"/>
      <c r="I903" s="325"/>
    </row>
    <row r="904" spans="1:9" s="315" customFormat="1" ht="14.25" customHeight="1">
      <c r="A904" s="291"/>
      <c r="B904" s="559" t="s">
        <v>410</v>
      </c>
      <c r="C904" s="301">
        <f>SUM(D904:E904)</f>
        <v>300000</v>
      </c>
      <c r="D904" s="302">
        <f>F904+H904</f>
        <v>300000</v>
      </c>
      <c r="E904" s="303"/>
      <c r="F904" s="321">
        <v>300000</v>
      </c>
      <c r="G904" s="303"/>
      <c r="H904" s="321"/>
      <c r="I904" s="325"/>
    </row>
    <row r="905" spans="1:9" s="315" customFormat="1" ht="10.5" customHeight="1" hidden="1">
      <c r="A905" s="291"/>
      <c r="B905" s="292" t="s">
        <v>378</v>
      </c>
      <c r="C905" s="452">
        <f>SUM(C906)</f>
        <v>0</v>
      </c>
      <c r="D905" s="453">
        <f>SUM(D906)</f>
        <v>0</v>
      </c>
      <c r="E905" s="297"/>
      <c r="F905" s="296">
        <f>F906</f>
        <v>0</v>
      </c>
      <c r="G905" s="297"/>
      <c r="H905" s="296"/>
      <c r="I905" s="298"/>
    </row>
    <row r="906" spans="1:9" s="315" customFormat="1" ht="9.75" customHeight="1" hidden="1">
      <c r="A906" s="432"/>
      <c r="B906" s="349" t="s">
        <v>379</v>
      </c>
      <c r="C906" s="417">
        <f>SUM(D906:E906)</f>
        <v>0</v>
      </c>
      <c r="D906" s="418">
        <f>F906+H906</f>
        <v>0</v>
      </c>
      <c r="E906" s="419"/>
      <c r="F906" s="420"/>
      <c r="G906" s="419"/>
      <c r="H906" s="420"/>
      <c r="I906" s="428"/>
    </row>
    <row r="907" spans="1:9" ht="18" customHeight="1">
      <c r="A907" s="346">
        <v>92195</v>
      </c>
      <c r="B907" s="470" t="s">
        <v>389</v>
      </c>
      <c r="C907" s="322">
        <f>C908</f>
        <v>1259538</v>
      </c>
      <c r="D907" s="225">
        <f>D908</f>
        <v>1259538</v>
      </c>
      <c r="E907" s="323"/>
      <c r="F907" s="324">
        <f>F908</f>
        <v>1259538</v>
      </c>
      <c r="G907" s="323"/>
      <c r="H907" s="324"/>
      <c r="I907" s="227"/>
    </row>
    <row r="908" spans="1:9" ht="15.75" customHeight="1">
      <c r="A908" s="366"/>
      <c r="B908" s="292" t="s">
        <v>421</v>
      </c>
      <c r="C908" s="293">
        <f>SUM(C909:C912)</f>
        <v>1259538</v>
      </c>
      <c r="D908" s="294">
        <f>SUM(D909:D912)</f>
        <v>1259538</v>
      </c>
      <c r="E908" s="295"/>
      <c r="F908" s="317">
        <f>SUM(F909:F912)</f>
        <v>1259538</v>
      </c>
      <c r="G908" s="295"/>
      <c r="H908" s="317"/>
      <c r="I908" s="318"/>
    </row>
    <row r="909" spans="1:9" ht="12">
      <c r="A909" s="366"/>
      <c r="B909" s="300" t="s">
        <v>407</v>
      </c>
      <c r="C909" s="301">
        <f>SUM(D909:E909)</f>
        <v>79682</v>
      </c>
      <c r="D909" s="302">
        <f>F909+H909</f>
        <v>79682</v>
      </c>
      <c r="E909" s="295"/>
      <c r="F909" s="317">
        <v>79682</v>
      </c>
      <c r="G909" s="295"/>
      <c r="H909" s="317"/>
      <c r="I909" s="318"/>
    </row>
    <row r="910" spans="1:9" ht="12">
      <c r="A910" s="366"/>
      <c r="B910" s="300" t="s">
        <v>408</v>
      </c>
      <c r="C910" s="301"/>
      <c r="D910" s="302"/>
      <c r="E910" s="295"/>
      <c r="F910" s="317"/>
      <c r="G910" s="295"/>
      <c r="H910" s="317"/>
      <c r="I910" s="318"/>
    </row>
    <row r="911" spans="1:9" s="307" customFormat="1" ht="12.75" customHeight="1">
      <c r="A911" s="299"/>
      <c r="B911" s="300" t="s">
        <v>511</v>
      </c>
      <c r="C911" s="301">
        <f>SUM(D911:E911)</f>
        <v>446000</v>
      </c>
      <c r="D911" s="302">
        <f>F911+H911</f>
        <v>446000</v>
      </c>
      <c r="E911" s="303"/>
      <c r="F911" s="321">
        <v>446000</v>
      </c>
      <c r="G911" s="303"/>
      <c r="H911" s="321"/>
      <c r="I911" s="325"/>
    </row>
    <row r="912" spans="1:9" s="315" customFormat="1" ht="15.75" customHeight="1" thickBot="1">
      <c r="A912" s="416"/>
      <c r="B912" s="624" t="s">
        <v>383</v>
      </c>
      <c r="C912" s="417">
        <f>SUM(D912:E912)</f>
        <v>733856</v>
      </c>
      <c r="D912" s="418">
        <f>F912+H912</f>
        <v>733856</v>
      </c>
      <c r="E912" s="419"/>
      <c r="F912" s="420">
        <v>733856</v>
      </c>
      <c r="G912" s="434"/>
      <c r="H912" s="435"/>
      <c r="I912" s="436"/>
    </row>
    <row r="913" spans="1:9" s="315" customFormat="1" ht="13.5" customHeight="1" hidden="1" thickBot="1">
      <c r="A913" s="531">
        <v>925</v>
      </c>
      <c r="B913" s="682" t="s">
        <v>513</v>
      </c>
      <c r="C913" s="532">
        <f>C914</f>
        <v>0</v>
      </c>
      <c r="D913" s="533"/>
      <c r="E913" s="534">
        <f>E914</f>
        <v>0</v>
      </c>
      <c r="F913" s="536"/>
      <c r="G913" s="534"/>
      <c r="H913" s="536"/>
      <c r="I913" s="537"/>
    </row>
    <row r="914" spans="1:9" ht="13.5" customHeight="1" hidden="1" thickTop="1">
      <c r="A914" s="395">
        <v>92595</v>
      </c>
      <c r="B914" s="464" t="s">
        <v>389</v>
      </c>
      <c r="C914" s="465">
        <f>C915</f>
        <v>0</v>
      </c>
      <c r="D914" s="466"/>
      <c r="E914" s="467">
        <f>E915</f>
        <v>0</v>
      </c>
      <c r="F914" s="468"/>
      <c r="G914" s="467"/>
      <c r="H914" s="468"/>
      <c r="I914" s="469"/>
    </row>
    <row r="915" spans="1:9" ht="13.5" customHeight="1" hidden="1">
      <c r="A915" s="366"/>
      <c r="B915" s="292" t="s">
        <v>421</v>
      </c>
      <c r="C915" s="293">
        <f>C916</f>
        <v>0</v>
      </c>
      <c r="D915" s="294"/>
      <c r="E915" s="295">
        <f>E916</f>
        <v>0</v>
      </c>
      <c r="F915" s="317"/>
      <c r="G915" s="295"/>
      <c r="H915" s="317"/>
      <c r="I915" s="318"/>
    </row>
    <row r="916" spans="1:9" s="315" customFormat="1" ht="13.5" customHeight="1" hidden="1" thickBot="1">
      <c r="A916" s="291"/>
      <c r="B916" s="300" t="s">
        <v>383</v>
      </c>
      <c r="C916" s="301">
        <f>SUM(D916:E916)</f>
        <v>0</v>
      </c>
      <c r="D916" s="302"/>
      <c r="E916" s="303">
        <f>G916+I916</f>
        <v>0</v>
      </c>
      <c r="F916" s="304"/>
      <c r="G916" s="305"/>
      <c r="H916" s="304"/>
      <c r="I916" s="306"/>
    </row>
    <row r="917" spans="1:9" s="315" customFormat="1" ht="13.5" customHeight="1" hidden="1">
      <c r="A917" s="291"/>
      <c r="B917" s="300"/>
      <c r="C917" s="301"/>
      <c r="D917" s="302"/>
      <c r="E917" s="303"/>
      <c r="F917" s="304"/>
      <c r="G917" s="305"/>
      <c r="H917" s="304"/>
      <c r="I917" s="306"/>
    </row>
    <row r="918" spans="1:9" s="315" customFormat="1" ht="13.5" customHeight="1" hidden="1">
      <c r="A918" s="291"/>
      <c r="B918" s="300"/>
      <c r="C918" s="301"/>
      <c r="D918" s="302"/>
      <c r="E918" s="303"/>
      <c r="F918" s="304"/>
      <c r="G918" s="305"/>
      <c r="H918" s="304"/>
      <c r="I918" s="306"/>
    </row>
    <row r="919" spans="1:9" s="315" customFormat="1" ht="13.5" customHeight="1" hidden="1" thickBot="1">
      <c r="A919" s="291"/>
      <c r="B919" s="300"/>
      <c r="C919" s="301"/>
      <c r="D919" s="302"/>
      <c r="E919" s="303"/>
      <c r="F919" s="304"/>
      <c r="G919" s="305"/>
      <c r="H919" s="304"/>
      <c r="I919" s="306"/>
    </row>
    <row r="920" spans="1:9" s="290" customFormat="1" ht="31.5" customHeight="1" thickBot="1" thickTop="1">
      <c r="A920" s="345">
        <v>926</v>
      </c>
      <c r="B920" s="663" t="s">
        <v>289</v>
      </c>
      <c r="C920" s="286">
        <f>C931+C942+C945</f>
        <v>16093150</v>
      </c>
      <c r="D920" s="287">
        <f>D931+D942+D945</f>
        <v>16093150</v>
      </c>
      <c r="E920" s="288"/>
      <c r="F920" s="289">
        <f>F931+F942+F945</f>
        <v>16093150</v>
      </c>
      <c r="G920" s="288"/>
      <c r="H920" s="289"/>
      <c r="I920" s="234"/>
    </row>
    <row r="921" spans="1:9" s="290" customFormat="1" ht="15" customHeight="1" thickTop="1">
      <c r="A921" s="351"/>
      <c r="B921" s="604" t="s">
        <v>421</v>
      </c>
      <c r="C921" s="353">
        <f>D921+E921</f>
        <v>4447650</v>
      </c>
      <c r="D921" s="354">
        <f>F921+H921</f>
        <v>4447650</v>
      </c>
      <c r="E921" s="355"/>
      <c r="F921" s="371">
        <f>F943+F946</f>
        <v>4447650</v>
      </c>
      <c r="G921" s="355"/>
      <c r="H921" s="371"/>
      <c r="I921" s="372"/>
    </row>
    <row r="922" spans="1:9" s="307" customFormat="1" ht="12" customHeight="1">
      <c r="A922" s="645"/>
      <c r="B922" s="300" t="s">
        <v>407</v>
      </c>
      <c r="C922" s="361">
        <f>D922+E922</f>
        <v>12500</v>
      </c>
      <c r="D922" s="362">
        <f>F922+H922</f>
        <v>12500</v>
      </c>
      <c r="E922" s="305"/>
      <c r="F922" s="363">
        <f>F947</f>
        <v>12500</v>
      </c>
      <c r="G922" s="303"/>
      <c r="H922" s="321"/>
      <c r="I922" s="325"/>
    </row>
    <row r="923" spans="1:9" s="307" customFormat="1" ht="10.5" customHeight="1">
      <c r="A923" s="645"/>
      <c r="B923" s="300" t="s">
        <v>408</v>
      </c>
      <c r="C923" s="361"/>
      <c r="D923" s="362"/>
      <c r="E923" s="305"/>
      <c r="F923" s="363"/>
      <c r="G923" s="303"/>
      <c r="H923" s="321"/>
      <c r="I923" s="325"/>
    </row>
    <row r="924" spans="1:9" s="375" customFormat="1" ht="11.25" customHeight="1">
      <c r="A924" s="373"/>
      <c r="B924" s="559" t="s">
        <v>394</v>
      </c>
      <c r="C924" s="361">
        <f aca="true" t="shared" si="43" ref="C924:C929">D924</f>
        <v>4253000</v>
      </c>
      <c r="D924" s="362">
        <f aca="true" t="shared" si="44" ref="D924:D930">F924+H924</f>
        <v>4253000</v>
      </c>
      <c r="E924" s="305"/>
      <c r="F924" s="304">
        <f>F944+F949</f>
        <v>4253000</v>
      </c>
      <c r="G924" s="454"/>
      <c r="H924" s="455"/>
      <c r="I924" s="456"/>
    </row>
    <row r="925" spans="1:9" s="375" customFormat="1" ht="12" customHeight="1">
      <c r="A925" s="373"/>
      <c r="B925" s="559" t="s">
        <v>383</v>
      </c>
      <c r="C925" s="361">
        <f t="shared" si="43"/>
        <v>318150</v>
      </c>
      <c r="D925" s="362">
        <f t="shared" si="44"/>
        <v>318150</v>
      </c>
      <c r="E925" s="305"/>
      <c r="F925" s="304">
        <f>F950+F934</f>
        <v>318150</v>
      </c>
      <c r="G925" s="454"/>
      <c r="H925" s="455"/>
      <c r="I925" s="456"/>
    </row>
    <row r="926" spans="1:9" s="290" customFormat="1" ht="15" customHeight="1">
      <c r="A926" s="351"/>
      <c r="B926" s="604" t="s">
        <v>378</v>
      </c>
      <c r="C926" s="353">
        <f t="shared" si="43"/>
        <v>11509500</v>
      </c>
      <c r="D926" s="354">
        <f t="shared" si="44"/>
        <v>11509500</v>
      </c>
      <c r="E926" s="355"/>
      <c r="F926" s="371">
        <f>F936+F951</f>
        <v>11509500</v>
      </c>
      <c r="G926" s="355"/>
      <c r="H926" s="371"/>
      <c r="I926" s="372"/>
    </row>
    <row r="927" spans="1:9" s="451" customFormat="1" ht="12" customHeight="1">
      <c r="A927" s="448"/>
      <c r="B927" s="559" t="s">
        <v>391</v>
      </c>
      <c r="C927" s="361">
        <f t="shared" si="43"/>
        <v>4344500</v>
      </c>
      <c r="D927" s="362">
        <f t="shared" si="44"/>
        <v>4344500</v>
      </c>
      <c r="E927" s="305"/>
      <c r="F927" s="304">
        <f>F937</f>
        <v>4344500</v>
      </c>
      <c r="G927" s="374"/>
      <c r="H927" s="449"/>
      <c r="I927" s="450"/>
    </row>
    <row r="928" spans="1:9" s="451" customFormat="1" ht="12" customHeight="1">
      <c r="A928" s="448"/>
      <c r="B928" s="300" t="s">
        <v>379</v>
      </c>
      <c r="C928" s="361">
        <f t="shared" si="43"/>
        <v>65000</v>
      </c>
      <c r="D928" s="362">
        <f t="shared" si="44"/>
        <v>65000</v>
      </c>
      <c r="E928" s="305"/>
      <c r="F928" s="304">
        <f>F953</f>
        <v>65000</v>
      </c>
      <c r="G928" s="1925"/>
      <c r="H928" s="449"/>
      <c r="I928" s="450"/>
    </row>
    <row r="929" spans="1:9" s="451" customFormat="1" ht="12" customHeight="1">
      <c r="A929" s="448"/>
      <c r="B929" s="377" t="s">
        <v>395</v>
      </c>
      <c r="C929" s="361">
        <f t="shared" si="43"/>
        <v>65000</v>
      </c>
      <c r="D929" s="362">
        <f t="shared" si="44"/>
        <v>65000</v>
      </c>
      <c r="E929" s="305"/>
      <c r="F929" s="304">
        <f>F954</f>
        <v>65000</v>
      </c>
      <c r="G929" s="1925"/>
      <c r="H929" s="449"/>
      <c r="I929" s="450"/>
    </row>
    <row r="930" spans="1:9" s="364" customFormat="1" ht="12" customHeight="1">
      <c r="A930" s="683"/>
      <c r="B930" s="349" t="s">
        <v>396</v>
      </c>
      <c r="C930" s="509">
        <f>D930+E930</f>
        <v>7100000</v>
      </c>
      <c r="D930" s="510">
        <f t="shared" si="44"/>
        <v>7100000</v>
      </c>
      <c r="E930" s="434"/>
      <c r="F930" s="435">
        <f>F938</f>
        <v>7100000</v>
      </c>
      <c r="G930" s="418"/>
      <c r="H930" s="420"/>
      <c r="I930" s="428"/>
    </row>
    <row r="931" spans="1:9" ht="14.25" customHeight="1">
      <c r="A931" s="395">
        <v>92601</v>
      </c>
      <c r="B931" s="684" t="s">
        <v>514</v>
      </c>
      <c r="C931" s="465">
        <f>C932+C936</f>
        <v>11580500</v>
      </c>
      <c r="D931" s="466">
        <f>D932+D936</f>
        <v>11580500</v>
      </c>
      <c r="E931" s="467"/>
      <c r="F931" s="468">
        <f>F932+F936</f>
        <v>11580500</v>
      </c>
      <c r="G931" s="467"/>
      <c r="H931" s="567"/>
      <c r="I931" s="568"/>
    </row>
    <row r="932" spans="1:9" ht="12" customHeight="1">
      <c r="A932" s="685"/>
      <c r="B932" s="686" t="s">
        <v>421</v>
      </c>
      <c r="C932" s="447">
        <f>SUM(C933:C934)</f>
        <v>136000</v>
      </c>
      <c r="D932" s="481">
        <f>SUM(D933:D934)</f>
        <v>136000</v>
      </c>
      <c r="E932" s="482"/>
      <c r="F932" s="544">
        <f>SUM(F933:F934)</f>
        <v>136000</v>
      </c>
      <c r="G932" s="482"/>
      <c r="H932" s="544"/>
      <c r="I932" s="211"/>
    </row>
    <row r="933" spans="1:9" s="315" customFormat="1" ht="12.75" customHeight="1" hidden="1">
      <c r="A933" s="291"/>
      <c r="B933" s="559" t="s">
        <v>511</v>
      </c>
      <c r="C933" s="301">
        <f>SUM(D933:E933)</f>
        <v>0</v>
      </c>
      <c r="D933" s="302">
        <f>F933+H933</f>
        <v>0</v>
      </c>
      <c r="E933" s="303"/>
      <c r="F933" s="321">
        <v>0</v>
      </c>
      <c r="G933" s="303"/>
      <c r="H933" s="321"/>
      <c r="I933" s="325"/>
    </row>
    <row r="934" spans="1:9" s="315" customFormat="1" ht="12" customHeight="1">
      <c r="A934" s="291"/>
      <c r="B934" s="559" t="s">
        <v>383</v>
      </c>
      <c r="C934" s="301">
        <f>SUM(D934:E934)</f>
        <v>136000</v>
      </c>
      <c r="D934" s="302">
        <f>F934+H934</f>
        <v>136000</v>
      </c>
      <c r="E934" s="303"/>
      <c r="F934" s="321">
        <v>136000</v>
      </c>
      <c r="G934" s="303"/>
      <c r="H934" s="321"/>
      <c r="I934" s="325"/>
    </row>
    <row r="935" spans="1:9" s="315" customFormat="1" ht="12.75" customHeight="1" hidden="1">
      <c r="A935" s="291"/>
      <c r="B935" s="559" t="s">
        <v>390</v>
      </c>
      <c r="C935" s="301">
        <f>SUM(D935:E935)</f>
        <v>0</v>
      </c>
      <c r="D935" s="302">
        <f>F935+H935</f>
        <v>0</v>
      </c>
      <c r="E935" s="303"/>
      <c r="F935" s="321">
        <v>0</v>
      </c>
      <c r="G935" s="303"/>
      <c r="H935" s="321"/>
      <c r="I935" s="325"/>
    </row>
    <row r="936" spans="1:9" ht="12" customHeight="1">
      <c r="A936" s="291"/>
      <c r="B936" s="614" t="s">
        <v>378</v>
      </c>
      <c r="C936" s="452">
        <f>SUM(C937:C938)</f>
        <v>11444500</v>
      </c>
      <c r="D936" s="453">
        <f>SUM(D937:D938)</f>
        <v>11444500</v>
      </c>
      <c r="E936" s="297"/>
      <c r="F936" s="296">
        <f>SUM(F937:F938)</f>
        <v>11444500</v>
      </c>
      <c r="G936" s="297"/>
      <c r="H936" s="296"/>
      <c r="I936" s="298"/>
    </row>
    <row r="937" spans="1:9" s="307" customFormat="1" ht="11.25" customHeight="1">
      <c r="A937" s="299"/>
      <c r="B937" s="559" t="s">
        <v>391</v>
      </c>
      <c r="C937" s="301">
        <f>SUM(D937:E937)</f>
        <v>4344500</v>
      </c>
      <c r="D937" s="302">
        <f>F937+H937</f>
        <v>4344500</v>
      </c>
      <c r="E937" s="303"/>
      <c r="F937" s="321">
        <v>4344500</v>
      </c>
      <c r="G937" s="303"/>
      <c r="H937" s="321"/>
      <c r="I937" s="325"/>
    </row>
    <row r="938" spans="1:9" s="307" customFormat="1" ht="13.5" customHeight="1">
      <c r="A938" s="432"/>
      <c r="B938" s="349" t="s">
        <v>396</v>
      </c>
      <c r="C938" s="417">
        <f>D938+E938</f>
        <v>7100000</v>
      </c>
      <c r="D938" s="418">
        <f>F938+H938</f>
        <v>7100000</v>
      </c>
      <c r="E938" s="419"/>
      <c r="F938" s="420">
        <v>7100000</v>
      </c>
      <c r="G938" s="419"/>
      <c r="H938" s="420"/>
      <c r="I938" s="428"/>
    </row>
    <row r="939" spans="1:9" s="315" customFormat="1" ht="24" hidden="1">
      <c r="A939" s="395">
        <v>92604</v>
      </c>
      <c r="B939" s="684" t="s">
        <v>515</v>
      </c>
      <c r="C939" s="465">
        <f>SUM(C940)</f>
        <v>0</v>
      </c>
      <c r="D939" s="466">
        <f>SUM(D940)</f>
        <v>0</v>
      </c>
      <c r="E939" s="467"/>
      <c r="F939" s="468">
        <f>SUM(F940)</f>
        <v>0</v>
      </c>
      <c r="G939" s="467"/>
      <c r="H939" s="468"/>
      <c r="I939" s="469"/>
    </row>
    <row r="940" spans="1:9" ht="0.75" customHeight="1" hidden="1">
      <c r="A940" s="366"/>
      <c r="B940" s="292" t="s">
        <v>421</v>
      </c>
      <c r="C940" s="293">
        <f>C941</f>
        <v>0</v>
      </c>
      <c r="D940" s="294">
        <f>D941</f>
        <v>0</v>
      </c>
      <c r="E940" s="295"/>
      <c r="F940" s="317">
        <f>F941</f>
        <v>0</v>
      </c>
      <c r="G940" s="295"/>
      <c r="H940" s="317"/>
      <c r="I940" s="318"/>
    </row>
    <row r="941" spans="1:9" s="315" customFormat="1" ht="17.25" customHeight="1" hidden="1">
      <c r="A941" s="416"/>
      <c r="B941" s="349" t="s">
        <v>379</v>
      </c>
      <c r="C941" s="417">
        <f>SUM(D941:E941)</f>
        <v>0</v>
      </c>
      <c r="D941" s="418">
        <f>F941+H941</f>
        <v>0</v>
      </c>
      <c r="E941" s="419"/>
      <c r="F941" s="435">
        <v>0</v>
      </c>
      <c r="G941" s="434"/>
      <c r="H941" s="435"/>
      <c r="I941" s="436"/>
    </row>
    <row r="942" spans="1:9" s="315" customFormat="1" ht="33" customHeight="1">
      <c r="A942" s="346">
        <v>92605</v>
      </c>
      <c r="B942" s="470" t="s">
        <v>516</v>
      </c>
      <c r="C942" s="322">
        <f>C943</f>
        <v>3523000</v>
      </c>
      <c r="D942" s="225">
        <f>D943</f>
        <v>3523000</v>
      </c>
      <c r="E942" s="323"/>
      <c r="F942" s="324">
        <f>F943</f>
        <v>3523000</v>
      </c>
      <c r="G942" s="323"/>
      <c r="H942" s="324"/>
      <c r="I942" s="227"/>
    </row>
    <row r="943" spans="1:9" ht="12.75" customHeight="1">
      <c r="A943" s="366"/>
      <c r="B943" s="292" t="s">
        <v>421</v>
      </c>
      <c r="C943" s="293">
        <f>SUM(C944:C944)</f>
        <v>3523000</v>
      </c>
      <c r="D943" s="294">
        <f>SUM(D944:D944)</f>
        <v>3523000</v>
      </c>
      <c r="E943" s="295"/>
      <c r="F943" s="317">
        <f>SUM(F944:F944)</f>
        <v>3523000</v>
      </c>
      <c r="G943" s="295"/>
      <c r="H943" s="317"/>
      <c r="I943" s="318"/>
    </row>
    <row r="944" spans="1:9" s="307" customFormat="1" ht="11.25" customHeight="1">
      <c r="A944" s="448"/>
      <c r="B944" s="300" t="s">
        <v>394</v>
      </c>
      <c r="C944" s="301">
        <f>SUM(D944:E944)</f>
        <v>3523000</v>
      </c>
      <c r="D944" s="302">
        <f>F944+H944</f>
        <v>3523000</v>
      </c>
      <c r="E944" s="303"/>
      <c r="F944" s="321">
        <v>3523000</v>
      </c>
      <c r="G944" s="303"/>
      <c r="H944" s="321"/>
      <c r="I944" s="325"/>
    </row>
    <row r="945" spans="1:9" ht="14.25" customHeight="1">
      <c r="A945" s="346">
        <v>92695</v>
      </c>
      <c r="B945" s="470" t="s">
        <v>517</v>
      </c>
      <c r="C945" s="322">
        <f>C946+C951</f>
        <v>989650</v>
      </c>
      <c r="D945" s="225">
        <f>D946+D951</f>
        <v>989650</v>
      </c>
      <c r="E945" s="323"/>
      <c r="F945" s="324">
        <f>F946+F951</f>
        <v>989650</v>
      </c>
      <c r="G945" s="323"/>
      <c r="H945" s="324"/>
      <c r="I945" s="227"/>
    </row>
    <row r="946" spans="1:9" ht="11.25" customHeight="1">
      <c r="A946" s="366"/>
      <c r="B946" s="292" t="s">
        <v>421</v>
      </c>
      <c r="C946" s="293">
        <f>SUM(C947:C950)</f>
        <v>924650</v>
      </c>
      <c r="D946" s="294">
        <f>SUM(D947:D950)</f>
        <v>924650</v>
      </c>
      <c r="E946" s="482"/>
      <c r="F946" s="544">
        <f>SUM(F947:F950)</f>
        <v>924650</v>
      </c>
      <c r="G946" s="586"/>
      <c r="H946" s="317"/>
      <c r="I946" s="318"/>
    </row>
    <row r="947" spans="1:9" s="451" customFormat="1" ht="13.5" customHeight="1">
      <c r="A947" s="299"/>
      <c r="B947" s="300" t="s">
        <v>407</v>
      </c>
      <c r="C947" s="301">
        <f>SUM(D947:E947)</f>
        <v>12500</v>
      </c>
      <c r="D947" s="302">
        <f>F947+H947</f>
        <v>12500</v>
      </c>
      <c r="E947" s="303"/>
      <c r="F947" s="321">
        <v>12500</v>
      </c>
      <c r="G947" s="303"/>
      <c r="H947" s="321"/>
      <c r="I947" s="325"/>
    </row>
    <row r="948" spans="1:9" s="451" customFormat="1" ht="10.5" customHeight="1">
      <c r="A948" s="299"/>
      <c r="B948" s="300" t="s">
        <v>408</v>
      </c>
      <c r="C948" s="301"/>
      <c r="D948" s="302"/>
      <c r="E948" s="303"/>
      <c r="F948" s="321"/>
      <c r="G948" s="303"/>
      <c r="H948" s="321"/>
      <c r="I948" s="325"/>
    </row>
    <row r="949" spans="1:9" s="451" customFormat="1" ht="12" customHeight="1">
      <c r="A949" s="299"/>
      <c r="B949" s="300" t="s">
        <v>394</v>
      </c>
      <c r="C949" s="301">
        <f>SUM(D949:E949)</f>
        <v>730000</v>
      </c>
      <c r="D949" s="302">
        <f>F949+H949</f>
        <v>730000</v>
      </c>
      <c r="E949" s="303"/>
      <c r="F949" s="321">
        <v>730000</v>
      </c>
      <c r="G949" s="514"/>
      <c r="H949" s="321"/>
      <c r="I949" s="325"/>
    </row>
    <row r="950" spans="1:9" s="315" customFormat="1" ht="11.25" customHeight="1">
      <c r="A950" s="291"/>
      <c r="B950" s="300" t="s">
        <v>383</v>
      </c>
      <c r="C950" s="301">
        <f>SUM(D950:E950)</f>
        <v>182150</v>
      </c>
      <c r="D950" s="302">
        <f>F950+H950</f>
        <v>182150</v>
      </c>
      <c r="E950" s="303"/>
      <c r="F950" s="321">
        <v>182150</v>
      </c>
      <c r="G950" s="472"/>
      <c r="H950" s="363"/>
      <c r="I950" s="306"/>
    </row>
    <row r="951" spans="1:9" s="315" customFormat="1" ht="13.5" customHeight="1">
      <c r="A951" s="291"/>
      <c r="B951" s="292" t="s">
        <v>378</v>
      </c>
      <c r="C951" s="293">
        <f>C953</f>
        <v>65000</v>
      </c>
      <c r="D951" s="294">
        <f>D953</f>
        <v>65000</v>
      </c>
      <c r="E951" s="295"/>
      <c r="F951" s="317">
        <f>F953</f>
        <v>65000</v>
      </c>
      <c r="G951" s="472"/>
      <c r="H951" s="363"/>
      <c r="I951" s="306"/>
    </row>
    <row r="952" spans="1:9" s="315" customFormat="1" ht="12.75" customHeight="1" hidden="1">
      <c r="A952" s="291"/>
      <c r="B952" s="300" t="s">
        <v>391</v>
      </c>
      <c r="C952" s="301">
        <f>SUM(D952:E952)</f>
        <v>0</v>
      </c>
      <c r="D952" s="302">
        <f>F952+H952</f>
        <v>0</v>
      </c>
      <c r="E952" s="303"/>
      <c r="F952" s="304"/>
      <c r="G952" s="472"/>
      <c r="H952" s="363"/>
      <c r="I952" s="306"/>
    </row>
    <row r="953" spans="1:9" s="315" customFormat="1" ht="11.25" customHeight="1">
      <c r="A953" s="291"/>
      <c r="B953" s="300" t="s">
        <v>379</v>
      </c>
      <c r="C953" s="301">
        <f>SUM(D953:E953)</f>
        <v>65000</v>
      </c>
      <c r="D953" s="321">
        <f>F953+H953</f>
        <v>65000</v>
      </c>
      <c r="E953" s="303"/>
      <c r="F953" s="321">
        <v>65000</v>
      </c>
      <c r="G953" s="472"/>
      <c r="H953" s="363"/>
      <c r="I953" s="306"/>
    </row>
    <row r="954" spans="1:9" s="315" customFormat="1" ht="12.75" customHeight="1" thickBot="1">
      <c r="A954" s="291"/>
      <c r="B954" s="377" t="s">
        <v>395</v>
      </c>
      <c r="C954" s="301">
        <f>SUM(D954:E954)</f>
        <v>65000</v>
      </c>
      <c r="D954" s="347">
        <f>F954+H954</f>
        <v>65000</v>
      </c>
      <c r="E954" s="303"/>
      <c r="F954" s="321">
        <v>65000</v>
      </c>
      <c r="G954" s="472"/>
      <c r="H954" s="363"/>
      <c r="I954" s="306"/>
    </row>
    <row r="955" spans="1:9" ht="18" customHeight="1" thickBot="1" thickTop="1">
      <c r="A955" s="515"/>
      <c r="B955" s="687" t="s">
        <v>241</v>
      </c>
      <c r="C955" s="2046">
        <f>C12+C25+C32+C87+C99+C141+C177+C237+C252+C310+C316+C320+C329+C484+C497+C560+C664+C697+C778+C827+C920</f>
        <v>413320156.53999996</v>
      </c>
      <c r="D955" s="617">
        <f>D12+D25+D32+D87+D99+D141+D177+D237+D252+D310+D316+D320+D329+D484+D497+D560+D664+D697+D778+D827+D920</f>
        <v>380764338</v>
      </c>
      <c r="E955" s="2045">
        <f>E32+E25+E778+E99+E329+E484+E827+E497+E560+E920+E87+E177+E252+E316+E320+E697+E18+E12+E141+E913+E231+E664+E310+E238+E243+E247</f>
        <v>32555818.54</v>
      </c>
      <c r="F955" s="289">
        <f>F32+F25+F778+F99+F329+F484+F827+F497+F560+F920+F87+F177+F252+F316+F320+F697+F18+F12+F141+F913+F231+F664+F310+F238+F243</f>
        <v>250677848</v>
      </c>
      <c r="G955" s="2048">
        <f>G32+G25+G778+G99+G329+G484+G827+G497+G560+G920+G87+G177+G252+G316+G320+G697+G18+G12+G141+G913+G231+G664+G310+G238+G243+G247</f>
        <v>23559562.54</v>
      </c>
      <c r="H955" s="350">
        <f>H32+H25+H778+H99+H329+H484+H827+H497+H560+H920+H87+H177+H252+H316+H320+H697+H18+H12+H141+H913+H231+H664+H310+H238+H243</f>
        <v>130086490</v>
      </c>
      <c r="I955" s="234">
        <f>I32+I25+I778+I99+I329+I484+I827+I497+I560+I920+I87+I177+I252+I316+I320+I697+I18+I12+I141+I913+I231+I664+I310+I238+I243</f>
        <v>8996256</v>
      </c>
    </row>
    <row r="956" spans="1:9" s="691" customFormat="1" ht="16.5" customHeight="1" thickTop="1">
      <c r="A956" s="688"/>
      <c r="B956" s="689" t="s">
        <v>382</v>
      </c>
      <c r="C956" s="2057">
        <f>E956+D956</f>
        <v>308174856.54</v>
      </c>
      <c r="D956" s="1934">
        <f>D45+D16+D27+D50+D55+D63+D70+D79+D92+D112+D123+D133+D150+D155+D158+D161+D168+D175+D188+D193+D200+D203+D212+D225+D239+D245+D275+D286+D289+D312+D318+D322+D327+D342+D352+D364+D375+D381+D391+D408+D418+D424+D440+D449+D457+D466+D469+D475+D486+D490+D513+D524+D530+D546+D552+D571+D580+D583+D590+D596+D751+D605+D608+D613+D619+D626+D635+D642+D648+D654+D675+D681+D685+D708+D714+D728+D734+D743+D756+D767+D770+D789+D796+D800+D805+D812+D818+D851+D857+D866+D875+D886+D892+D899+D908+D932+D943+D946+D96+D358+D508+D219+D692+D397+D302+D764+D298+D266</f>
        <v>275745038</v>
      </c>
      <c r="E956" s="2049">
        <f>E23+E16+E27+E50+E55+E63+E70+E79+E92+E112+E123+E133+E150+E155+E158+E161+E168+E175+E188+E193+E200+E203+E212+E225+E239+E245+E275+E286+E289+E312+E318+E322+E327+E342+E352+E364+E375+E381+E391+E408+E418+E424+E440+E449+E457+E466+E469+E475+E486+E490+E513+E524+E530+E546+E552+E571+E580+E583+E590+E596+E751+E605+E608+E613+E619+E626+E635+E642+E648+E654+E675+E681+E685+E708+E714+E728+E734+E743+E756+E767+E770+E789+E796+E800+E805+E812+E818+E851+E857+E866+E875+E886+E892+E899+E908+E932+E943+E946+E96+E358+E508+E219+E692+E397+E302+E764+E298+E247</f>
        <v>32429818.54</v>
      </c>
      <c r="F956" s="690">
        <f>F957+F959+F962+F963</f>
        <v>182119948</v>
      </c>
      <c r="G956" s="2049">
        <f>G957+G959+G963</f>
        <v>23559562.54</v>
      </c>
      <c r="H956" s="690">
        <f>H957+H959+H963</f>
        <v>93625090</v>
      </c>
      <c r="I956" s="1935">
        <f>I957+I959+I963</f>
        <v>8870256</v>
      </c>
    </row>
    <row r="957" spans="1:9" s="326" customFormat="1" ht="12.75" customHeight="1">
      <c r="A957" s="692"/>
      <c r="B957" s="300" t="s">
        <v>407</v>
      </c>
      <c r="C957" s="2058">
        <f>SUM(E957+D957)</f>
        <v>127696144</v>
      </c>
      <c r="D957" s="693">
        <f>D34+D101+D143+D179+D240+D254+D313+D331+D499+D562+D666+D699+D780+D829+D922</f>
        <v>119048430</v>
      </c>
      <c r="E957" s="2050">
        <f>E34+E101+E143+E179+E240+E254+E313+E331+E499+E562+E666+E699+E780+E829+E922+E249</f>
        <v>8647714</v>
      </c>
      <c r="F957" s="695">
        <f>F34+F101+F143+F179+F240+F254+F313+F331+F499+F562+F666+F699+F780+F829+F922</f>
        <v>74146252</v>
      </c>
      <c r="G957" s="2050">
        <f>G34+G101+G143+G179+G240+G254+G313+G331+G499+G562+G666+G699+G780+G829+G922+G249</f>
        <v>1962981</v>
      </c>
      <c r="H957" s="695">
        <f>H34+H101+H143+H179+H240+H254+H313+H331+H499+H562+H666+H699+H780+H829+H922</f>
        <v>44902178</v>
      </c>
      <c r="I957" s="696">
        <f>I34+I101+I143+I179+I240+I254+I313+I331+I499+I562+I666+I699+I780+I829+I922</f>
        <v>6684733</v>
      </c>
    </row>
    <row r="958" spans="1:9" s="326" customFormat="1" ht="12.75" customHeight="1">
      <c r="A958" s="692"/>
      <c r="B958" s="300" t="s">
        <v>408</v>
      </c>
      <c r="C958" s="2058"/>
      <c r="D958" s="693"/>
      <c r="E958" s="2050"/>
      <c r="F958" s="695"/>
      <c r="G958" s="2050"/>
      <c r="H958" s="695"/>
      <c r="I958" s="696"/>
    </row>
    <row r="959" spans="1:9" s="326" customFormat="1" ht="12">
      <c r="A959" s="692"/>
      <c r="B959" s="300" t="s">
        <v>394</v>
      </c>
      <c r="C959" s="2058">
        <f>E959+D959</f>
        <v>60480856</v>
      </c>
      <c r="D959" s="713">
        <f>H959+F959</f>
        <v>60261856</v>
      </c>
      <c r="E959" s="2050">
        <f>E93+E113+E228+E287+E345+E367+E384+E411+E427+E472+E478+E491+E514+E525+E533+E553+E574+E593+E658+E676+E773+E854+E858+E869+E878+E887+E893+E933+E944+E197+E509+E638+E361+E682+E400+E586+E97+E765</f>
        <v>219000</v>
      </c>
      <c r="F959" s="693">
        <f>F93+F113+F228+F287+F345+F367+F384+F411+F427+F472+F478+F487+F491+F514+F525+F533+F553+F574+F593+F658+F676+F773+F854+F858+F869+F878+F887+F893+F902+F933+F944+F197+F509+F638+F361+F682+F400+F586+F97+F765+F46+F790+F949+F911+F806</f>
        <v>39122116</v>
      </c>
      <c r="G959" s="2051">
        <f>G93+G113+G228+G287+G345+G367+G384+G411+G427+G472+G478+G491+G514+G525+G533+G553+G574+G593+G658+G676+G773+G854+G858+G869+G878+G887+G893+G933+G944+G197+G509+G638+G361+G682+G400+G586+G97+G765</f>
        <v>219000</v>
      </c>
      <c r="H959" s="695">
        <f>H93+H113+H228+H287+H345+H367+H384+H411+H427+H472+H478+H491+H514+H525+H533+H553+H574+H593+H658+H676+H773+H854+H858+H869+H878+H887+H893+H933+H944+H197+H509+H638+H361+H682+H400+H586+H97+H765+H695</f>
        <v>21139740</v>
      </c>
      <c r="I959" s="1936"/>
    </row>
    <row r="960" spans="1:10" s="700" customFormat="1" ht="11.25" customHeight="1" hidden="1">
      <c r="A960" s="698"/>
      <c r="B960" s="377" t="s">
        <v>518</v>
      </c>
      <c r="C960" s="2059">
        <f>C114+C845+C894+C888+C859</f>
        <v>0</v>
      </c>
      <c r="D960" s="1937">
        <f>D114+D845+D894+D888+D859</f>
        <v>0</v>
      </c>
      <c r="E960" s="2055"/>
      <c r="F960" s="699">
        <f>F114+F845+F894+F888+F859</f>
        <v>0</v>
      </c>
      <c r="G960" s="2052"/>
      <c r="H960" s="1938">
        <f>H114+H845+H894+H888+H859</f>
        <v>0</v>
      </c>
      <c r="I960" s="1939"/>
      <c r="J960" s="326"/>
    </row>
    <row r="961" spans="1:10" s="319" customFormat="1" ht="12" hidden="1">
      <c r="A961" s="701"/>
      <c r="B961" s="292"/>
      <c r="C961" s="2060"/>
      <c r="D961" s="712"/>
      <c r="E961" s="2056"/>
      <c r="F961" s="702"/>
      <c r="G961" s="2053"/>
      <c r="H961" s="1941"/>
      <c r="I961" s="1942"/>
      <c r="J961" s="326"/>
    </row>
    <row r="962" spans="1:10" s="319" customFormat="1" ht="12">
      <c r="A962" s="701"/>
      <c r="B962" s="300" t="s">
        <v>519</v>
      </c>
      <c r="C962" s="2060">
        <f>C319</f>
        <v>3200000</v>
      </c>
      <c r="D962" s="712">
        <f>D319</f>
        <v>3200000</v>
      </c>
      <c r="E962" s="2056"/>
      <c r="F962" s="702">
        <f>F319</f>
        <v>3200000</v>
      </c>
      <c r="G962" s="2053"/>
      <c r="H962" s="1941"/>
      <c r="I962" s="1942"/>
      <c r="J962" s="326"/>
    </row>
    <row r="963" spans="1:9" s="326" customFormat="1" ht="13.5" customHeight="1">
      <c r="A963" s="692"/>
      <c r="B963" s="300" t="s">
        <v>383</v>
      </c>
      <c r="C963" s="2058">
        <f>E963+D963</f>
        <v>116797856.53999999</v>
      </c>
      <c r="D963" s="713">
        <f>F963+H963</f>
        <v>93234752</v>
      </c>
      <c r="E963" s="2050">
        <f>E17+E24+E28+E37+E90+E104+E145+E182+E242+E258+E315+E323+E328+E334+E488+E492+E502+E565+E669+E702+E783+E832+E925+E251</f>
        <v>23563104.54</v>
      </c>
      <c r="F963" s="693">
        <f>F17+F24+F28+F37+F90+F104+F145+F182+F242+F258+F315+F323+F328+F334+F488+F492+F502+F565+F669+F702+F783+F832+F925</f>
        <v>65651580</v>
      </c>
      <c r="G963" s="2050">
        <f>G17+G24+G28+G37+G90+G104+G145+G182+G242+G258+G315+G323+G328+G334+G488+G492+G502+G565+G669+G702+G783+G832+G925+G251</f>
        <v>21377581.54</v>
      </c>
      <c r="H963" s="695">
        <f>H17+H24+H28+H37+H90+H104+H145+H182+H242+H258+H315+H323+H328+H334+H488+H492+H502+H565+H669+H702+H783+H832+H925</f>
        <v>27583172</v>
      </c>
      <c r="I963" s="696">
        <f>I17+I24+I28+I37+I90+I104+I145+I182+I242+I258+I315+I323+I328+I334+I488+I492+I502+I565+I669+I702+I783+I832+I925</f>
        <v>2185523</v>
      </c>
    </row>
    <row r="964" spans="1:9" s="326" customFormat="1" ht="10.5" customHeight="1">
      <c r="A964" s="692"/>
      <c r="B964" s="300" t="s">
        <v>243</v>
      </c>
      <c r="C964" s="2058"/>
      <c r="D964" s="713"/>
      <c r="E964" s="2050"/>
      <c r="F964" s="1943"/>
      <c r="G964" s="2050"/>
      <c r="H964" s="693"/>
      <c r="I964" s="696"/>
    </row>
    <row r="965" spans="1:10" s="706" customFormat="1" ht="25.5" customHeight="1">
      <c r="A965" s="703"/>
      <c r="B965" s="704" t="s">
        <v>520</v>
      </c>
      <c r="C965" s="2061">
        <f>D965+E965</f>
        <v>78236</v>
      </c>
      <c r="D965" s="1944"/>
      <c r="E965" s="2054">
        <f>G965+I965</f>
        <v>78236</v>
      </c>
      <c r="F965" s="705"/>
      <c r="G965" s="2054">
        <f>G171+G217+G868</f>
        <v>21600</v>
      </c>
      <c r="H965" s="705"/>
      <c r="I965" s="1945">
        <f>I171+I217+I215+I657+I663+I305+I307</f>
        <v>56636</v>
      </c>
      <c r="J965" s="326"/>
    </row>
    <row r="966" spans="1:10" s="319" customFormat="1" ht="12.75" customHeight="1">
      <c r="A966" s="701"/>
      <c r="B966" s="292" t="s">
        <v>521</v>
      </c>
      <c r="C966" s="2060">
        <f>SUM(E966+D966)</f>
        <v>7067628</v>
      </c>
      <c r="D966" s="712">
        <f>H966+F966</f>
        <v>7025128</v>
      </c>
      <c r="E966" s="2056">
        <f>E59+E65+E72+E207+E223+E280+E347+E356+E379+E395+E413+E422+E429+E453+E461+E480+E576+E588+E630+E712+E718+E747+E808+E814+E822+E904+E29+E83+E386+E775+E792+E444+E640+E738+E760+E798+E402+E646+E300</f>
        <v>42500</v>
      </c>
      <c r="F966" s="1941">
        <f>F59+F65+F72+F207+F223+F280+F347+F356+F379+F395+F413+F422+F429+F453+F461+F480+F576+F588+F630+F712+F718+F747+F808+F814+F822+F904+F29+F83+F386+F775+F792+F444+F640+F738+F760+F798+F402+F646+F137+F535+F300+F555</f>
        <v>5536828</v>
      </c>
      <c r="G966" s="1940">
        <f>G59+G65+G72+G207+G223+G280+G347+G356+G379+G395+G413+G422+G429+G453+G461+G480+G576+G588+G630+G712+G718+G747+G808+G814+G822+G904+G29+G83+G386+G775+G792+G444+G640+G738+G760+G798+G402+G646+G137+G535+G300</f>
        <v>2500</v>
      </c>
      <c r="H966" s="712">
        <f>H59+H65+H72+H207+H223+H280+H347+H356+H379+H395+H413+H422+H429+H453+H461+H480+H576+H588+H630+H712+H718+H747+H808+H814+H822+H904+H29+H83+H386+H775+H792+H444+H640+H738+H760+H798+H402+H646+H732</f>
        <v>1488300</v>
      </c>
      <c r="I966" s="1942">
        <f>I59+I65+I72+I207+I223+I280+I347+I356+I379+I395+I413+I422+I429+I453+I461+I480+I576+I588+I630+I712+I718+I747+I808+I814+I822+I904+I29+I83+I386+I775+I792+I444+I640+I738+I760+I798+I402+I646</f>
        <v>40000</v>
      </c>
      <c r="J966" s="326"/>
    </row>
    <row r="967" spans="1:10" s="709" customFormat="1" ht="0.75" customHeight="1" hidden="1">
      <c r="A967" s="707"/>
      <c r="B967" s="500" t="s">
        <v>522</v>
      </c>
      <c r="C967" s="2062">
        <f>C960+C966</f>
        <v>7067628</v>
      </c>
      <c r="D967" s="1946">
        <f>D960+D966</f>
        <v>7025128</v>
      </c>
      <c r="E967" s="2065"/>
      <c r="F967" s="708">
        <f>F960+F966</f>
        <v>5536828</v>
      </c>
      <c r="G967" s="1947"/>
      <c r="H967" s="1946">
        <f>H960+H966</f>
        <v>1488300</v>
      </c>
      <c r="I967" s="1948"/>
      <c r="J967" s="326"/>
    </row>
    <row r="968" spans="1:10" s="691" customFormat="1" ht="15.75" customHeight="1">
      <c r="A968" s="688"/>
      <c r="B968" s="689" t="s">
        <v>378</v>
      </c>
      <c r="C968" s="2063">
        <f>E968+D968</f>
        <v>105145300</v>
      </c>
      <c r="D968" s="710">
        <f>D30+D60+D66+D84+D127+D130+D138+D208+D348+D414+D542+D623+D631+D660+D689+D724+D793+D815+D823+D860+D881+D889+D895+D905+D936+D281+D52+D73+D116+D387+D481+D556+D748+D776+D271+D809+D172+D76+D430+D462+D870+D403+D761+D324+D577+D802+D165+D739+D308+D719+D536+D677+D369+D47+D493+D527+D294+D454+D951</f>
        <v>105019300</v>
      </c>
      <c r="E968" s="2066">
        <f>E60+E66+E84+E127+E130+E138+E208+E348+E414+E542+E623+E631+E660+E689+E724+E793+E815+E823+E860+E881+E889+E895+E905+E936+E281+E52+E73+E116+E387+E481+E556+E748+E776+E271+E809+E172+E76+E430+E462+E870+E403+E761+E324+E577+E802+E165+E739+E308+E719+E601</f>
        <v>126000</v>
      </c>
      <c r="F968" s="710">
        <f>F30+F60+F66+F84+F127+F130+F138+F208+F348+F414+F542+F623+F631+F660+F689+F724+F793+F815+F823+F860+F881+F889+F895+F905+F936+F281+F52+F73+F116+F387+F481+F556+F748+F776+F271+F809+F172+F76+F430+F462+F870+F403+F761+F324+F577+F802+F165+F739+F308+F719+F536+F677+F369+F47+F493+F527+F294+F951</f>
        <v>68557900</v>
      </c>
      <c r="G968" s="1949"/>
      <c r="H968" s="1950">
        <f>H60+H66+H84+H127+H130+H138+H208+H348+H414+H542+H623+H631+H660+H689+H724+H793+H815+H823+H860+H881+H889+H895+H905+H936+H281+H52+H73+H116+H387+H481+H556+H748+H776+H271+H809+H172+H76+H430+H462+H870+H403+H761+H324+H577+H802+H165+H739+H308+H719+H455</f>
        <v>36461400</v>
      </c>
      <c r="I968" s="1951">
        <f>I60+I66+I84+I127+I130+I138+I208+I348+I414+I542+I623+I631+I660+I689+I724+I793+I815+I823+I860+I881+I889+I895+I905+I936+I281+I52+I73+I116+I387+I481+I556+I748+I776+I271+I809+I172+I76+I430+I462+I870+I403+I761+I324+I577+I802+I165+I739+I308+I719</f>
        <v>126000</v>
      </c>
      <c r="J968" s="326"/>
    </row>
    <row r="969" spans="1:9" s="326" customFormat="1" ht="13.5" customHeight="1">
      <c r="A969" s="692"/>
      <c r="B969" s="300" t="s">
        <v>379</v>
      </c>
      <c r="C969" s="2058">
        <f>E969+D969</f>
        <v>3282138</v>
      </c>
      <c r="D969" s="713">
        <f>F969+H969</f>
        <v>3206138</v>
      </c>
      <c r="E969" s="2050">
        <f>E210+E624+E633+E690+E725+E906+E941+E86+E884+E483+E128+E283+E350+E389+E416+E432+E464+E662+E871+E166+E405+E578+E741+E720+E603+E863</f>
        <v>76000</v>
      </c>
      <c r="F969" s="693">
        <f>F210+F624+F633+F690+F725+F906+F941+F86+F884+F483+F128+F283+F350+F389+F416+F432+F464+F662+F871+F166+F405+F578+F741+F720+F863+F273+F455+F372+F953+F544+F559</f>
        <v>2734038</v>
      </c>
      <c r="G969" s="713"/>
      <c r="H969" s="695">
        <f>H210+H624+H633+H690+H725+H906+H941+H86+H884+H483+H128+H283+H350+H389+H416+H432+H464+H662+H871+H166+H405+H578+H741+H720+H863+H273+H455</f>
        <v>472100</v>
      </c>
      <c r="I969" s="696">
        <f>I210+I624+I633+I690+I725+I906+I941+I86+I884+I483+I128+I283+I350+I389+I416+I432+I464+I662+I871+I166+I405+I578+I741+I720+I863</f>
        <v>76000</v>
      </c>
    </row>
    <row r="970" spans="1:10" s="319" customFormat="1" ht="12.75" customHeight="1">
      <c r="A970" s="701"/>
      <c r="B970" s="292" t="s">
        <v>395</v>
      </c>
      <c r="C970" s="2058">
        <f>E970+D970</f>
        <v>400000</v>
      </c>
      <c r="D970" s="713">
        <f>F970+H970</f>
        <v>332000</v>
      </c>
      <c r="E970" s="2050">
        <f>E864</f>
        <v>68000</v>
      </c>
      <c r="F970" s="712">
        <f>F373+F954</f>
        <v>72000</v>
      </c>
      <c r="G970" s="1940"/>
      <c r="H970" s="712">
        <f>H284+H864</f>
        <v>260000</v>
      </c>
      <c r="I970" s="1942">
        <f>I864</f>
        <v>68000</v>
      </c>
      <c r="J970" s="326"/>
    </row>
    <row r="971" spans="1:9" s="326" customFormat="1" ht="13.5" customHeight="1">
      <c r="A971" s="692"/>
      <c r="B971" s="300" t="s">
        <v>391</v>
      </c>
      <c r="C971" s="2058">
        <f>SUM(D971+E971)</f>
        <v>86746162</v>
      </c>
      <c r="D971" s="713">
        <f>H971+F971</f>
        <v>86696162</v>
      </c>
      <c r="E971" s="2050">
        <f>E61+E67+E139+E349+E415+E543+E661+E794+E816+E824+E861+E882+E890+E937+E282+E74+E117+E388+E482+E557+E749+E777+E85+E810+E272+E896+E173+E77+E431+E632+E873+E404+E762+E325+E803+E209+E463+E309+E602</f>
        <v>50000</v>
      </c>
      <c r="F971" s="713">
        <f>F31+F61+F67+F139+F349+F415+F543+F661+F794+F816+F824+F861+F882+F890+F937+F282+F74+F117+F388+F482+F557+F749+F777+F85+F810+F272+F896+F173+F77+F431+F632+F873+F404+F762+F325+F803+F209+F463+F309+F537+F678+F370+F48+F494</f>
        <v>50706862</v>
      </c>
      <c r="G971" s="694"/>
      <c r="H971" s="695">
        <f>H61+H67+H139+H349+H415+H543+H661+H794+H816+H824+H861+H882+H890+H937+H282+H74+H117+H388+H482+H557+H749+H777+H85+H810+H272+H896+H173+H77+H431+H632+H873+H404+H762+H325+H803+H209+H463+H309+H726+H740</f>
        <v>35989300</v>
      </c>
      <c r="I971" s="696">
        <f>I61+I67+I139+I349+I415+I543+I661+I794+I816+I824+I861+I882+I890+I937+I282+I74+I117+I388+I482+I557+I749+I777+I85+I810+I272+I896+I173+I77+I431+I632+I873+I404+I762+I325+I803+I209+I463+I309</f>
        <v>50000</v>
      </c>
    </row>
    <row r="972" spans="1:10" s="319" customFormat="1" ht="13.5" customHeight="1">
      <c r="A972" s="701"/>
      <c r="B972" s="292" t="s">
        <v>395</v>
      </c>
      <c r="C972" s="2060">
        <f>D972+E972</f>
        <v>2519000</v>
      </c>
      <c r="D972" s="712">
        <f>F972+H972</f>
        <v>2519000</v>
      </c>
      <c r="E972" s="1940"/>
      <c r="F972" s="712">
        <f>F883+F118+F897+F371+F679+F495+F825+F558</f>
        <v>2162000</v>
      </c>
      <c r="G972" s="1940"/>
      <c r="H972" s="712">
        <f>H897</f>
        <v>357000</v>
      </c>
      <c r="I972" s="1942"/>
      <c r="J972" s="326"/>
    </row>
    <row r="973" spans="1:9" s="326" customFormat="1" ht="13.5" customHeight="1" thickBot="1">
      <c r="A973" s="714"/>
      <c r="B973" s="715" t="s">
        <v>396</v>
      </c>
      <c r="C973" s="2064">
        <f>C131+C140+C53+C938+C496</f>
        <v>15117000</v>
      </c>
      <c r="D973" s="716">
        <f>D131+D140+D53+D938+D496</f>
        <v>15117000</v>
      </c>
      <c r="E973" s="1952"/>
      <c r="F973" s="716">
        <f>F131+F140+F53+F938+F496</f>
        <v>15117000</v>
      </c>
      <c r="G973" s="1952"/>
      <c r="H973" s="1953"/>
      <c r="I973" s="1954"/>
    </row>
    <row r="974" spans="1:9" ht="12.75" thickTop="1">
      <c r="A974" s="717"/>
      <c r="B974" s="718"/>
      <c r="C974" s="250"/>
      <c r="D974" s="250"/>
      <c r="E974" s="250"/>
      <c r="F974" s="250"/>
      <c r="G974" s="250"/>
      <c r="H974" s="250"/>
      <c r="I974" s="250"/>
    </row>
    <row r="975" spans="1:9" ht="12.75">
      <c r="A975" s="87" t="s">
        <v>523</v>
      </c>
      <c r="B975" s="718"/>
      <c r="C975" s="250"/>
      <c r="D975" s="250"/>
      <c r="E975" s="250"/>
      <c r="F975" s="250"/>
      <c r="G975" s="250"/>
      <c r="H975" s="250"/>
      <c r="I975" s="250"/>
    </row>
    <row r="976" spans="1:9" ht="12.75">
      <c r="A976" s="87" t="s">
        <v>296</v>
      </c>
      <c r="B976" s="718"/>
      <c r="C976" s="250"/>
      <c r="D976" s="250"/>
      <c r="E976" s="250"/>
      <c r="F976" s="250"/>
      <c r="G976" s="250"/>
      <c r="H976" s="250"/>
      <c r="I976" s="250"/>
    </row>
    <row r="977" spans="1:9" ht="12.75">
      <c r="A977" s="87" t="s">
        <v>811</v>
      </c>
      <c r="B977" s="718"/>
      <c r="C977" s="250"/>
      <c r="D977" s="250"/>
      <c r="E977" s="250"/>
      <c r="F977" s="250"/>
      <c r="G977" s="471"/>
      <c r="H977" s="250"/>
      <c r="I977" s="471"/>
    </row>
    <row r="978" spans="1:9" ht="12.75">
      <c r="A978" s="717"/>
      <c r="B978" s="718"/>
      <c r="C978" s="250"/>
      <c r="D978" s="250"/>
      <c r="E978" s="250"/>
      <c r="F978" s="250"/>
      <c r="G978" s="471"/>
      <c r="H978" s="250"/>
      <c r="I978" s="471"/>
    </row>
    <row r="979" spans="1:9" ht="12.75">
      <c r="A979" s="717"/>
      <c r="B979" s="718"/>
      <c r="C979" s="250"/>
      <c r="D979" s="250"/>
      <c r="E979" s="250"/>
      <c r="F979" s="250"/>
      <c r="G979" s="471"/>
      <c r="H979" s="250"/>
      <c r="I979" s="471"/>
    </row>
    <row r="980" spans="1:9" ht="12.75">
      <c r="A980" s="717"/>
      <c r="B980" s="718"/>
      <c r="C980" s="250"/>
      <c r="D980" s="250"/>
      <c r="E980" s="250"/>
      <c r="F980" s="250"/>
      <c r="G980" s="471"/>
      <c r="H980" s="250"/>
      <c r="I980" s="471"/>
    </row>
    <row r="981" spans="1:9" ht="12.75">
      <c r="A981" s="717"/>
      <c r="B981" s="718"/>
      <c r="C981" s="250"/>
      <c r="D981" s="250"/>
      <c r="E981" s="250"/>
      <c r="F981" s="250"/>
      <c r="G981" s="471"/>
      <c r="H981" s="250"/>
      <c r="I981" s="471"/>
    </row>
    <row r="982" spans="1:9" ht="12.75">
      <c r="A982" s="717"/>
      <c r="B982" s="718"/>
      <c r="C982" s="250"/>
      <c r="D982" s="250"/>
      <c r="E982" s="250"/>
      <c r="F982" s="250"/>
      <c r="G982" s="471"/>
      <c r="H982" s="250"/>
      <c r="I982" s="471"/>
    </row>
    <row r="983" spans="1:9" ht="12.75">
      <c r="A983" s="717"/>
      <c r="B983" s="718"/>
      <c r="C983" s="250"/>
      <c r="D983" s="250"/>
      <c r="E983" s="250"/>
      <c r="F983" s="250"/>
      <c r="G983" s="471"/>
      <c r="H983" s="250"/>
      <c r="I983" s="471"/>
    </row>
    <row r="984" spans="1:9" ht="12.75">
      <c r="A984" s="717"/>
      <c r="B984" s="718"/>
      <c r="C984" s="250"/>
      <c r="D984" s="250"/>
      <c r="E984" s="250"/>
      <c r="F984" s="250"/>
      <c r="G984" s="471"/>
      <c r="H984" s="250"/>
      <c r="I984" s="471"/>
    </row>
    <row r="985" spans="1:9" ht="12.75">
      <c r="A985" s="717"/>
      <c r="B985" s="718"/>
      <c r="C985" s="250"/>
      <c r="D985" s="250"/>
      <c r="E985" s="250"/>
      <c r="F985" s="250"/>
      <c r="G985" s="471"/>
      <c r="H985" s="250"/>
      <c r="I985" s="471"/>
    </row>
    <row r="986" spans="1:9" ht="12.75">
      <c r="A986" s="717"/>
      <c r="B986" s="718"/>
      <c r="C986" s="250"/>
      <c r="D986" s="250"/>
      <c r="E986" s="250"/>
      <c r="F986" s="250"/>
      <c r="G986" s="471"/>
      <c r="H986" s="250"/>
      <c r="I986" s="471"/>
    </row>
    <row r="987" spans="1:9" ht="12.75">
      <c r="A987" s="717"/>
      <c r="B987" s="718"/>
      <c r="C987" s="250"/>
      <c r="D987" s="250"/>
      <c r="E987" s="250"/>
      <c r="F987" s="250"/>
      <c r="G987" s="471"/>
      <c r="H987" s="250"/>
      <c r="I987" s="471"/>
    </row>
    <row r="988" spans="1:9" ht="12.75">
      <c r="A988" s="717"/>
      <c r="B988" s="718"/>
      <c r="C988" s="250"/>
      <c r="D988" s="250"/>
      <c r="E988" s="250"/>
      <c r="F988" s="250"/>
      <c r="G988" s="471"/>
      <c r="H988" s="250"/>
      <c r="I988" s="471"/>
    </row>
    <row r="989" spans="1:9" ht="12.75">
      <c r="A989" s="717"/>
      <c r="B989" s="718"/>
      <c r="C989" s="250"/>
      <c r="D989" s="250"/>
      <c r="E989" s="250"/>
      <c r="F989" s="250"/>
      <c r="G989" s="471"/>
      <c r="H989" s="250"/>
      <c r="I989" s="471"/>
    </row>
    <row r="990" spans="1:9" ht="12.75">
      <c r="A990" s="717"/>
      <c r="B990" s="718"/>
      <c r="C990" s="250"/>
      <c r="D990" s="250"/>
      <c r="E990" s="250"/>
      <c r="F990" s="250"/>
      <c r="G990" s="471"/>
      <c r="H990" s="250"/>
      <c r="I990" s="471"/>
    </row>
    <row r="991" spans="1:9" ht="12.75">
      <c r="A991" s="717"/>
      <c r="B991" s="718"/>
      <c r="C991" s="250"/>
      <c r="D991" s="250"/>
      <c r="E991" s="250"/>
      <c r="F991" s="250"/>
      <c r="G991" s="471"/>
      <c r="H991" s="250"/>
      <c r="I991" s="471"/>
    </row>
    <row r="992" spans="1:9" ht="12.75">
      <c r="A992" s="717"/>
      <c r="B992" s="718"/>
      <c r="C992" s="250"/>
      <c r="D992" s="250"/>
      <c r="E992" s="250"/>
      <c r="F992" s="250"/>
      <c r="G992" s="471"/>
      <c r="H992" s="250"/>
      <c r="I992" s="471"/>
    </row>
    <row r="993" spans="1:9" ht="12.75">
      <c r="A993" s="717"/>
      <c r="B993" s="718"/>
      <c r="C993" s="250"/>
      <c r="D993" s="250"/>
      <c r="E993" s="250"/>
      <c r="F993" s="250"/>
      <c r="G993" s="471"/>
      <c r="H993" s="250"/>
      <c r="I993" s="471"/>
    </row>
    <row r="994" spans="1:9" ht="12.75">
      <c r="A994" s="717"/>
      <c r="B994" s="718"/>
      <c r="C994" s="250"/>
      <c r="D994" s="250"/>
      <c r="E994" s="250"/>
      <c r="F994" s="250"/>
      <c r="G994" s="471"/>
      <c r="H994" s="250"/>
      <c r="I994" s="471"/>
    </row>
    <row r="995" spans="1:9" ht="12.75">
      <c r="A995" s="717"/>
      <c r="B995" s="718"/>
      <c r="C995" s="250"/>
      <c r="D995" s="250"/>
      <c r="E995" s="250"/>
      <c r="F995" s="250"/>
      <c r="G995" s="471"/>
      <c r="H995" s="250"/>
      <c r="I995" s="471"/>
    </row>
    <row r="996" spans="1:9" ht="12.75">
      <c r="A996" s="717"/>
      <c r="B996" s="718"/>
      <c r="C996" s="250"/>
      <c r="D996" s="250"/>
      <c r="E996" s="250"/>
      <c r="F996" s="250"/>
      <c r="G996" s="471"/>
      <c r="H996" s="250"/>
      <c r="I996" s="471"/>
    </row>
    <row r="997" spans="1:9" ht="12.75">
      <c r="A997" s="717"/>
      <c r="B997" s="718"/>
      <c r="C997" s="250"/>
      <c r="D997" s="250"/>
      <c r="E997" s="250"/>
      <c r="F997" s="250"/>
      <c r="G997" s="471"/>
      <c r="H997" s="250"/>
      <c r="I997" s="471"/>
    </row>
    <row r="998" spans="1:9" ht="12.75">
      <c r="A998" s="717"/>
      <c r="B998" s="718"/>
      <c r="C998" s="250"/>
      <c r="D998" s="250"/>
      <c r="E998" s="250"/>
      <c r="F998" s="250"/>
      <c r="G998" s="471"/>
      <c r="H998" s="250"/>
      <c r="I998" s="471"/>
    </row>
    <row r="999" spans="1:9" ht="12.75">
      <c r="A999" s="717"/>
      <c r="B999" s="718"/>
      <c r="C999" s="250"/>
      <c r="D999" s="250"/>
      <c r="E999" s="250"/>
      <c r="F999" s="250"/>
      <c r="G999" s="471"/>
      <c r="H999" s="250"/>
      <c r="I999" s="471"/>
    </row>
    <row r="1000" spans="1:9" ht="12.75">
      <c r="A1000" s="717"/>
      <c r="B1000" s="718"/>
      <c r="C1000" s="250"/>
      <c r="D1000" s="250"/>
      <c r="E1000" s="250"/>
      <c r="F1000" s="250"/>
      <c r="G1000" s="471"/>
      <c r="H1000" s="250"/>
      <c r="I1000" s="471"/>
    </row>
    <row r="1001" spans="1:9" ht="12.75">
      <c r="A1001" s="717"/>
      <c r="B1001" s="718"/>
      <c r="C1001" s="250"/>
      <c r="D1001" s="250"/>
      <c r="E1001" s="250"/>
      <c r="F1001" s="250"/>
      <c r="G1001" s="471"/>
      <c r="H1001" s="250"/>
      <c r="I1001" s="471"/>
    </row>
    <row r="1002" spans="1:9" ht="12.75">
      <c r="A1002" s="717"/>
      <c r="B1002" s="718"/>
      <c r="C1002" s="250"/>
      <c r="D1002" s="250"/>
      <c r="E1002" s="250"/>
      <c r="F1002" s="250"/>
      <c r="G1002" s="471"/>
      <c r="H1002" s="250"/>
      <c r="I1002" s="471"/>
    </row>
    <row r="1003" spans="1:9" ht="12.75">
      <c r="A1003" s="717"/>
      <c r="B1003" s="718"/>
      <c r="C1003" s="250"/>
      <c r="D1003" s="250"/>
      <c r="E1003" s="250"/>
      <c r="F1003" s="250"/>
      <c r="G1003" s="471"/>
      <c r="H1003" s="250"/>
      <c r="I1003" s="471"/>
    </row>
    <row r="1004" spans="1:9" ht="12.75">
      <c r="A1004" s="717"/>
      <c r="B1004" s="718"/>
      <c r="C1004" s="250"/>
      <c r="D1004" s="250"/>
      <c r="E1004" s="250"/>
      <c r="F1004" s="250"/>
      <c r="G1004" s="471"/>
      <c r="H1004" s="250"/>
      <c r="I1004" s="471"/>
    </row>
    <row r="1005" spans="1:9" ht="12.75">
      <c r="A1005" s="717"/>
      <c r="B1005" s="718"/>
      <c r="C1005" s="250"/>
      <c r="D1005" s="250"/>
      <c r="E1005" s="250"/>
      <c r="F1005" s="250"/>
      <c r="G1005" s="471"/>
      <c r="H1005" s="250"/>
      <c r="I1005" s="471"/>
    </row>
    <row r="1006" spans="1:9" ht="12.75">
      <c r="A1006" s="717"/>
      <c r="B1006" s="718"/>
      <c r="C1006" s="250"/>
      <c r="D1006" s="250"/>
      <c r="E1006" s="250"/>
      <c r="F1006" s="250"/>
      <c r="G1006" s="471"/>
      <c r="H1006" s="250"/>
      <c r="I1006" s="471"/>
    </row>
    <row r="1007" spans="1:9" ht="12.75">
      <c r="A1007" s="717"/>
      <c r="B1007" s="718"/>
      <c r="C1007" s="250"/>
      <c r="D1007" s="250"/>
      <c r="E1007" s="250"/>
      <c r="F1007" s="250"/>
      <c r="G1007" s="471"/>
      <c r="H1007" s="250"/>
      <c r="I1007" s="471"/>
    </row>
    <row r="1008" spans="1:9" ht="12.75">
      <c r="A1008" s="717"/>
      <c r="B1008" s="718"/>
      <c r="C1008" s="250"/>
      <c r="D1008" s="250"/>
      <c r="E1008" s="250"/>
      <c r="F1008" s="250"/>
      <c r="G1008" s="471"/>
      <c r="H1008" s="250"/>
      <c r="I1008" s="471"/>
    </row>
    <row r="1009" spans="1:9" ht="12.75">
      <c r="A1009" s="717"/>
      <c r="B1009" s="718"/>
      <c r="C1009" s="250"/>
      <c r="D1009" s="250"/>
      <c r="E1009" s="250"/>
      <c r="F1009" s="250"/>
      <c r="G1009" s="471"/>
      <c r="H1009" s="250"/>
      <c r="I1009" s="471"/>
    </row>
    <row r="1010" spans="1:9" ht="12.75">
      <c r="A1010" s="717"/>
      <c r="B1010" s="718"/>
      <c r="C1010" s="250"/>
      <c r="D1010" s="250"/>
      <c r="E1010" s="250"/>
      <c r="F1010" s="250"/>
      <c r="G1010" s="471"/>
      <c r="H1010" s="250"/>
      <c r="I1010" s="471"/>
    </row>
    <row r="1011" spans="1:9" ht="12.75">
      <c r="A1011" s="717"/>
      <c r="B1011" s="718"/>
      <c r="C1011" s="250"/>
      <c r="D1011" s="250"/>
      <c r="E1011" s="250"/>
      <c r="F1011" s="250"/>
      <c r="G1011" s="471"/>
      <c r="H1011" s="250"/>
      <c r="I1011" s="471"/>
    </row>
    <row r="1012" spans="1:9" ht="12.75">
      <c r="A1012" s="717"/>
      <c r="B1012" s="718"/>
      <c r="C1012" s="250"/>
      <c r="D1012" s="250"/>
      <c r="E1012" s="250"/>
      <c r="F1012" s="250"/>
      <c r="G1012" s="471"/>
      <c r="H1012" s="250"/>
      <c r="I1012" s="471"/>
    </row>
    <row r="1013" spans="1:9" ht="12.75">
      <c r="A1013" s="717"/>
      <c r="B1013" s="718"/>
      <c r="C1013" s="250"/>
      <c r="D1013" s="250"/>
      <c r="E1013" s="250"/>
      <c r="F1013" s="250"/>
      <c r="G1013" s="471"/>
      <c r="H1013" s="250"/>
      <c r="I1013" s="471"/>
    </row>
    <row r="1014" spans="1:9" ht="12.75">
      <c r="A1014" s="717"/>
      <c r="B1014" s="718"/>
      <c r="C1014" s="250"/>
      <c r="D1014" s="250"/>
      <c r="E1014" s="250"/>
      <c r="F1014" s="250"/>
      <c r="G1014" s="471"/>
      <c r="H1014" s="250"/>
      <c r="I1014" s="471"/>
    </row>
    <row r="1015" spans="1:9" ht="12.75">
      <c r="A1015" s="717"/>
      <c r="B1015" s="718"/>
      <c r="C1015" s="250"/>
      <c r="D1015" s="250"/>
      <c r="E1015" s="250"/>
      <c r="F1015" s="250"/>
      <c r="G1015" s="471"/>
      <c r="H1015" s="250"/>
      <c r="I1015" s="471"/>
    </row>
    <row r="1016" spans="1:9" ht="12.75">
      <c r="A1016" s="717"/>
      <c r="B1016" s="718"/>
      <c r="C1016" s="250"/>
      <c r="D1016" s="250"/>
      <c r="E1016" s="250"/>
      <c r="F1016" s="250"/>
      <c r="G1016" s="471"/>
      <c r="H1016" s="250"/>
      <c r="I1016" s="471"/>
    </row>
    <row r="1017" spans="1:9" ht="12.75">
      <c r="A1017" s="717"/>
      <c r="B1017" s="718"/>
      <c r="C1017" s="250"/>
      <c r="D1017" s="250"/>
      <c r="E1017" s="250"/>
      <c r="F1017" s="250"/>
      <c r="G1017" s="471"/>
      <c r="H1017" s="250"/>
      <c r="I1017" s="471"/>
    </row>
    <row r="1018" spans="1:9" ht="12.75">
      <c r="A1018" s="717"/>
      <c r="B1018" s="718"/>
      <c r="C1018" s="250"/>
      <c r="D1018" s="250"/>
      <c r="E1018" s="250"/>
      <c r="F1018" s="250"/>
      <c r="G1018" s="471"/>
      <c r="H1018" s="250"/>
      <c r="I1018" s="471"/>
    </row>
    <row r="1019" spans="1:9" ht="12.75">
      <c r="A1019" s="717"/>
      <c r="B1019" s="718"/>
      <c r="C1019" s="250"/>
      <c r="D1019" s="250"/>
      <c r="E1019" s="250"/>
      <c r="F1019" s="250"/>
      <c r="G1019" s="471"/>
      <c r="H1019" s="250"/>
      <c r="I1019" s="471"/>
    </row>
    <row r="1020" spans="1:9" ht="12.75">
      <c r="A1020" s="717"/>
      <c r="B1020" s="718"/>
      <c r="C1020" s="250"/>
      <c r="D1020" s="250"/>
      <c r="E1020" s="250"/>
      <c r="F1020" s="250"/>
      <c r="G1020" s="471"/>
      <c r="H1020" s="250"/>
      <c r="I1020" s="471"/>
    </row>
    <row r="1021" spans="1:9" ht="12.75">
      <c r="A1021" s="717"/>
      <c r="B1021" s="718"/>
      <c r="C1021" s="250"/>
      <c r="D1021" s="250"/>
      <c r="E1021" s="250"/>
      <c r="F1021" s="250"/>
      <c r="G1021" s="471"/>
      <c r="H1021" s="250"/>
      <c r="I1021" s="471"/>
    </row>
    <row r="1022" spans="1:9" ht="12.75">
      <c r="A1022" s="717"/>
      <c r="B1022" s="718"/>
      <c r="C1022" s="250"/>
      <c r="D1022" s="250"/>
      <c r="E1022" s="250"/>
      <c r="F1022" s="250"/>
      <c r="G1022" s="471"/>
      <c r="H1022" s="250"/>
      <c r="I1022" s="471"/>
    </row>
    <row r="1023" spans="1:9" ht="12.75">
      <c r="A1023" s="717"/>
      <c r="B1023" s="718"/>
      <c r="C1023" s="250"/>
      <c r="D1023" s="250"/>
      <c r="E1023" s="250"/>
      <c r="F1023" s="250"/>
      <c r="G1023" s="471"/>
      <c r="H1023" s="250"/>
      <c r="I1023" s="471"/>
    </row>
    <row r="1024" spans="1:9" ht="12.75">
      <c r="A1024" s="717"/>
      <c r="B1024" s="718"/>
      <c r="C1024" s="250"/>
      <c r="D1024" s="250"/>
      <c r="E1024" s="250"/>
      <c r="F1024" s="250"/>
      <c r="G1024" s="471"/>
      <c r="H1024" s="250"/>
      <c r="I1024" s="471"/>
    </row>
    <row r="1025" spans="1:9" ht="12.75">
      <c r="A1025" s="717"/>
      <c r="B1025" s="718"/>
      <c r="C1025" s="250"/>
      <c r="D1025" s="250"/>
      <c r="E1025" s="250"/>
      <c r="F1025" s="250"/>
      <c r="G1025" s="471"/>
      <c r="H1025" s="250"/>
      <c r="I1025" s="471"/>
    </row>
    <row r="1026" spans="1:9" ht="12.75">
      <c r="A1026" s="717"/>
      <c r="B1026" s="718"/>
      <c r="C1026" s="250"/>
      <c r="D1026" s="250"/>
      <c r="E1026" s="250"/>
      <c r="F1026" s="250"/>
      <c r="G1026" s="471"/>
      <c r="H1026" s="250"/>
      <c r="I1026" s="471"/>
    </row>
    <row r="1027" spans="1:9" ht="12.75">
      <c r="A1027" s="717"/>
      <c r="B1027" s="718"/>
      <c r="C1027" s="250"/>
      <c r="D1027" s="250"/>
      <c r="E1027" s="250"/>
      <c r="F1027" s="250"/>
      <c r="G1027" s="471"/>
      <c r="H1027" s="250"/>
      <c r="I1027" s="471"/>
    </row>
    <row r="1028" spans="1:9" ht="12.75">
      <c r="A1028" s="717"/>
      <c r="B1028" s="718"/>
      <c r="C1028" s="250"/>
      <c r="D1028" s="250"/>
      <c r="E1028" s="250"/>
      <c r="F1028" s="250"/>
      <c r="G1028" s="471"/>
      <c r="H1028" s="250"/>
      <c r="I1028" s="471"/>
    </row>
    <row r="1029" spans="1:9" ht="12.75">
      <c r="A1029" s="717"/>
      <c r="B1029" s="718"/>
      <c r="C1029" s="250"/>
      <c r="D1029" s="250"/>
      <c r="E1029" s="250"/>
      <c r="F1029" s="250"/>
      <c r="G1029" s="471"/>
      <c r="H1029" s="250"/>
      <c r="I1029" s="471"/>
    </row>
    <row r="1030" spans="1:9" ht="12.75">
      <c r="A1030" s="717"/>
      <c r="B1030" s="718"/>
      <c r="C1030" s="250"/>
      <c r="D1030" s="250"/>
      <c r="E1030" s="250"/>
      <c r="F1030" s="250"/>
      <c r="G1030" s="471"/>
      <c r="H1030" s="250"/>
      <c r="I1030" s="471"/>
    </row>
    <row r="1031" spans="1:9" ht="12.75">
      <c r="A1031" s="717"/>
      <c r="B1031" s="718"/>
      <c r="C1031" s="250"/>
      <c r="D1031" s="250"/>
      <c r="E1031" s="250"/>
      <c r="F1031" s="250"/>
      <c r="G1031" s="471"/>
      <c r="H1031" s="250"/>
      <c r="I1031" s="471"/>
    </row>
    <row r="1032" spans="1:9" ht="12.75">
      <c r="A1032" s="717"/>
      <c r="B1032" s="718"/>
      <c r="C1032" s="250"/>
      <c r="D1032" s="250"/>
      <c r="E1032" s="250"/>
      <c r="F1032" s="250"/>
      <c r="G1032" s="471"/>
      <c r="H1032" s="250"/>
      <c r="I1032" s="471"/>
    </row>
    <row r="1033" spans="1:9" ht="12.75">
      <c r="A1033" s="717"/>
      <c r="B1033" s="718"/>
      <c r="C1033" s="250"/>
      <c r="D1033" s="250"/>
      <c r="E1033" s="250"/>
      <c r="F1033" s="250"/>
      <c r="G1033" s="471"/>
      <c r="H1033" s="250"/>
      <c r="I1033" s="471"/>
    </row>
    <row r="1034" spans="1:9" ht="12.75">
      <c r="A1034" s="717"/>
      <c r="B1034" s="718"/>
      <c r="C1034" s="250"/>
      <c r="D1034" s="250"/>
      <c r="E1034" s="250"/>
      <c r="F1034" s="250"/>
      <c r="G1034" s="471"/>
      <c r="H1034" s="250"/>
      <c r="I1034" s="471"/>
    </row>
    <row r="1035" spans="1:9" ht="12.75">
      <c r="A1035" s="717"/>
      <c r="B1035" s="718"/>
      <c r="C1035" s="250"/>
      <c r="D1035" s="250"/>
      <c r="E1035" s="250"/>
      <c r="F1035" s="250"/>
      <c r="G1035" s="471"/>
      <c r="H1035" s="250"/>
      <c r="I1035" s="471"/>
    </row>
    <row r="1036" spans="1:9" ht="12.75">
      <c r="A1036" s="717"/>
      <c r="B1036" s="718"/>
      <c r="C1036" s="250"/>
      <c r="D1036" s="250"/>
      <c r="E1036" s="250"/>
      <c r="F1036" s="250"/>
      <c r="G1036" s="471"/>
      <c r="H1036" s="250"/>
      <c r="I1036" s="471"/>
    </row>
    <row r="1037" spans="1:9" ht="12.75">
      <c r="A1037" s="717"/>
      <c r="B1037" s="718"/>
      <c r="C1037" s="250"/>
      <c r="D1037" s="250"/>
      <c r="E1037" s="250"/>
      <c r="F1037" s="250"/>
      <c r="G1037" s="471"/>
      <c r="H1037" s="250"/>
      <c r="I1037" s="471"/>
    </row>
    <row r="1038" spans="1:9" ht="12.75">
      <c r="A1038" s="717"/>
      <c r="B1038" s="718"/>
      <c r="C1038" s="250"/>
      <c r="D1038" s="250"/>
      <c r="E1038" s="250"/>
      <c r="F1038" s="250"/>
      <c r="G1038" s="471"/>
      <c r="H1038" s="250"/>
      <c r="I1038" s="471"/>
    </row>
    <row r="1039" spans="1:9" ht="12.75">
      <c r="A1039" s="717"/>
      <c r="B1039" s="718"/>
      <c r="C1039" s="250"/>
      <c r="D1039" s="250"/>
      <c r="E1039" s="250"/>
      <c r="F1039" s="250"/>
      <c r="G1039" s="471"/>
      <c r="H1039" s="250"/>
      <c r="I1039" s="471"/>
    </row>
    <row r="1040" spans="1:9" ht="12.75">
      <c r="A1040" s="717"/>
      <c r="B1040" s="718"/>
      <c r="C1040" s="250"/>
      <c r="D1040" s="250"/>
      <c r="E1040" s="250"/>
      <c r="F1040" s="250"/>
      <c r="G1040" s="471"/>
      <c r="H1040" s="250"/>
      <c r="I1040" s="471"/>
    </row>
    <row r="1041" spans="1:9" ht="12.75">
      <c r="A1041" s="717"/>
      <c r="B1041" s="718"/>
      <c r="C1041" s="250"/>
      <c r="D1041" s="250"/>
      <c r="E1041" s="250"/>
      <c r="F1041" s="250"/>
      <c r="G1041" s="471"/>
      <c r="H1041" s="250"/>
      <c r="I1041" s="471"/>
    </row>
    <row r="1042" spans="1:9" ht="12.75">
      <c r="A1042" s="717"/>
      <c r="B1042" s="718"/>
      <c r="C1042" s="250"/>
      <c r="D1042" s="250"/>
      <c r="E1042" s="250"/>
      <c r="F1042" s="250"/>
      <c r="G1042" s="471"/>
      <c r="H1042" s="250"/>
      <c r="I1042" s="471"/>
    </row>
    <row r="1043" spans="1:9" ht="12.75">
      <c r="A1043" s="717"/>
      <c r="B1043" s="718"/>
      <c r="C1043" s="250"/>
      <c r="D1043" s="250"/>
      <c r="E1043" s="250"/>
      <c r="F1043" s="250"/>
      <c r="G1043" s="471"/>
      <c r="H1043" s="250"/>
      <c r="I1043" s="471"/>
    </row>
    <row r="1044" spans="1:9" ht="12.75">
      <c r="A1044" s="717"/>
      <c r="B1044" s="718"/>
      <c r="C1044" s="250"/>
      <c r="D1044" s="250"/>
      <c r="E1044" s="250"/>
      <c r="F1044" s="250"/>
      <c r="G1044" s="471"/>
      <c r="H1044" s="250"/>
      <c r="I1044" s="471"/>
    </row>
    <row r="1045" spans="1:9" ht="12.75">
      <c r="A1045" s="717"/>
      <c r="B1045" s="718"/>
      <c r="C1045" s="250"/>
      <c r="D1045" s="250"/>
      <c r="E1045" s="250"/>
      <c r="F1045" s="250"/>
      <c r="G1045" s="471"/>
      <c r="H1045" s="250"/>
      <c r="I1045" s="471"/>
    </row>
    <row r="1046" spans="1:9" ht="12.75">
      <c r="A1046" s="717"/>
      <c r="B1046" s="718"/>
      <c r="C1046" s="250"/>
      <c r="D1046" s="250"/>
      <c r="E1046" s="250"/>
      <c r="F1046" s="250"/>
      <c r="G1046" s="471"/>
      <c r="H1046" s="250"/>
      <c r="I1046" s="471"/>
    </row>
    <row r="1047" spans="1:9" ht="12.75">
      <c r="A1047" s="717"/>
      <c r="B1047" s="718"/>
      <c r="C1047" s="250"/>
      <c r="D1047" s="250"/>
      <c r="E1047" s="250"/>
      <c r="F1047" s="250"/>
      <c r="G1047" s="471"/>
      <c r="H1047" s="250"/>
      <c r="I1047" s="471"/>
    </row>
    <row r="1048" spans="1:9" ht="12.75">
      <c r="A1048" s="717"/>
      <c r="B1048" s="718"/>
      <c r="C1048" s="250"/>
      <c r="D1048" s="250"/>
      <c r="E1048" s="250"/>
      <c r="F1048" s="250"/>
      <c r="G1048" s="471"/>
      <c r="H1048" s="250"/>
      <c r="I1048" s="471"/>
    </row>
    <row r="1049" spans="1:9" ht="12.75">
      <c r="A1049" s="717"/>
      <c r="B1049" s="718"/>
      <c r="C1049" s="250"/>
      <c r="D1049" s="250"/>
      <c r="E1049" s="250"/>
      <c r="F1049" s="250"/>
      <c r="G1049" s="471"/>
      <c r="H1049" s="250"/>
      <c r="I1049" s="471"/>
    </row>
    <row r="1050" spans="1:9" ht="12.75">
      <c r="A1050" s="717"/>
      <c r="B1050" s="718"/>
      <c r="C1050" s="250"/>
      <c r="D1050" s="250"/>
      <c r="E1050" s="250"/>
      <c r="F1050" s="250"/>
      <c r="G1050" s="471"/>
      <c r="H1050" s="250"/>
      <c r="I1050" s="471"/>
    </row>
    <row r="1051" spans="1:9" ht="12.75">
      <c r="A1051" s="717"/>
      <c r="B1051" s="718"/>
      <c r="C1051" s="250"/>
      <c r="D1051" s="250"/>
      <c r="E1051" s="250"/>
      <c r="F1051" s="250"/>
      <c r="G1051" s="471"/>
      <c r="H1051" s="250"/>
      <c r="I1051" s="471"/>
    </row>
    <row r="1052" spans="1:9" ht="12.75">
      <c r="A1052" s="717"/>
      <c r="B1052" s="718"/>
      <c r="C1052" s="250"/>
      <c r="D1052" s="250"/>
      <c r="E1052" s="250"/>
      <c r="F1052" s="250"/>
      <c r="G1052" s="471"/>
      <c r="H1052" s="250"/>
      <c r="I1052" s="471"/>
    </row>
    <row r="1053" spans="1:9" ht="12.75">
      <c r="A1053" s="717"/>
      <c r="B1053" s="718"/>
      <c r="C1053" s="250"/>
      <c r="D1053" s="250"/>
      <c r="E1053" s="250"/>
      <c r="F1053" s="250"/>
      <c r="G1053" s="471"/>
      <c r="H1053" s="250"/>
      <c r="I1053" s="471"/>
    </row>
    <row r="1054" spans="1:9" ht="12.75">
      <c r="A1054" s="717"/>
      <c r="B1054" s="718"/>
      <c r="C1054" s="250"/>
      <c r="D1054" s="250"/>
      <c r="E1054" s="250"/>
      <c r="F1054" s="250"/>
      <c r="G1054" s="471"/>
      <c r="H1054" s="250"/>
      <c r="I1054" s="471"/>
    </row>
    <row r="1055" spans="1:9" ht="12.75">
      <c r="A1055" s="717"/>
      <c r="B1055" s="718"/>
      <c r="C1055" s="250"/>
      <c r="D1055" s="250"/>
      <c r="E1055" s="250"/>
      <c r="F1055" s="250"/>
      <c r="G1055" s="471"/>
      <c r="H1055" s="250"/>
      <c r="I1055" s="471"/>
    </row>
    <row r="1056" spans="1:9" ht="12.75">
      <c r="A1056" s="717"/>
      <c r="B1056" s="718"/>
      <c r="C1056" s="250"/>
      <c r="D1056" s="250"/>
      <c r="E1056" s="250"/>
      <c r="F1056" s="250"/>
      <c r="G1056" s="471"/>
      <c r="H1056" s="250"/>
      <c r="I1056" s="471"/>
    </row>
    <row r="1057" spans="1:9" ht="12.75">
      <c r="A1057" s="717"/>
      <c r="B1057" s="718"/>
      <c r="C1057" s="250"/>
      <c r="D1057" s="250"/>
      <c r="E1057" s="250"/>
      <c r="F1057" s="250"/>
      <c r="G1057" s="471"/>
      <c r="H1057" s="250"/>
      <c r="I1057" s="471"/>
    </row>
    <row r="1058" spans="1:9" ht="12.75">
      <c r="A1058" s="717"/>
      <c r="B1058" s="718"/>
      <c r="C1058" s="250"/>
      <c r="D1058" s="250"/>
      <c r="E1058" s="250"/>
      <c r="F1058" s="250"/>
      <c r="G1058" s="471"/>
      <c r="H1058" s="250"/>
      <c r="I1058" s="471"/>
    </row>
    <row r="1059" spans="1:9" ht="12.75">
      <c r="A1059" s="717"/>
      <c r="B1059" s="718"/>
      <c r="C1059" s="250"/>
      <c r="D1059" s="250"/>
      <c r="E1059" s="250"/>
      <c r="F1059" s="250"/>
      <c r="G1059" s="471"/>
      <c r="H1059" s="250"/>
      <c r="I1059" s="471"/>
    </row>
    <row r="1060" spans="1:9" ht="12.75">
      <c r="A1060" s="717"/>
      <c r="B1060" s="718"/>
      <c r="C1060" s="250"/>
      <c r="D1060" s="250"/>
      <c r="E1060" s="250"/>
      <c r="F1060" s="250"/>
      <c r="G1060" s="471"/>
      <c r="H1060" s="250"/>
      <c r="I1060" s="471"/>
    </row>
    <row r="1061" spans="1:9" ht="12.75">
      <c r="A1061" s="717"/>
      <c r="B1061" s="718"/>
      <c r="C1061" s="250"/>
      <c r="D1061" s="250"/>
      <c r="E1061" s="250"/>
      <c r="F1061" s="250"/>
      <c r="G1061" s="471"/>
      <c r="H1061" s="250"/>
      <c r="I1061" s="471"/>
    </row>
    <row r="1062" spans="1:9" ht="12.75">
      <c r="A1062" s="717"/>
      <c r="B1062" s="718"/>
      <c r="C1062" s="250"/>
      <c r="D1062" s="250"/>
      <c r="E1062" s="250"/>
      <c r="F1062" s="250"/>
      <c r="G1062" s="471"/>
      <c r="H1062" s="250"/>
      <c r="I1062" s="471"/>
    </row>
    <row r="1063" spans="1:9" ht="12.75">
      <c r="A1063" s="717"/>
      <c r="B1063" s="718"/>
      <c r="C1063" s="250"/>
      <c r="D1063" s="250"/>
      <c r="E1063" s="250"/>
      <c r="F1063" s="250"/>
      <c r="G1063" s="471"/>
      <c r="H1063" s="250"/>
      <c r="I1063" s="471"/>
    </row>
    <row r="1064" spans="1:9" ht="12.75">
      <c r="A1064" s="717"/>
      <c r="B1064" s="718"/>
      <c r="C1064" s="250"/>
      <c r="D1064" s="250"/>
      <c r="E1064" s="250"/>
      <c r="F1064" s="250"/>
      <c r="G1064" s="471"/>
      <c r="H1064" s="250"/>
      <c r="I1064" s="471"/>
    </row>
    <row r="1065" spans="1:9" ht="12.75">
      <c r="A1065" s="717"/>
      <c r="B1065" s="718"/>
      <c r="C1065" s="250"/>
      <c r="D1065" s="250"/>
      <c r="E1065" s="250"/>
      <c r="F1065" s="250"/>
      <c r="G1065" s="471"/>
      <c r="H1065" s="250"/>
      <c r="I1065" s="471"/>
    </row>
    <row r="1066" spans="1:9" ht="12.75">
      <c r="A1066" s="717"/>
      <c r="B1066" s="718"/>
      <c r="C1066" s="250"/>
      <c r="D1066" s="250"/>
      <c r="E1066" s="250"/>
      <c r="F1066" s="250"/>
      <c r="G1066" s="471"/>
      <c r="H1066" s="250"/>
      <c r="I1066" s="471"/>
    </row>
    <row r="1067" spans="1:9" ht="12.75">
      <c r="A1067" s="717"/>
      <c r="B1067" s="718"/>
      <c r="C1067" s="250"/>
      <c r="D1067" s="250"/>
      <c r="E1067" s="250"/>
      <c r="F1067" s="250"/>
      <c r="G1067" s="471"/>
      <c r="H1067" s="250"/>
      <c r="I1067" s="471"/>
    </row>
    <row r="1068" spans="1:9" ht="12.75">
      <c r="A1068" s="717"/>
      <c r="B1068" s="718"/>
      <c r="C1068" s="250"/>
      <c r="D1068" s="250"/>
      <c r="E1068" s="250"/>
      <c r="F1068" s="250"/>
      <c r="G1068" s="471"/>
      <c r="H1068" s="250"/>
      <c r="I1068" s="471"/>
    </row>
    <row r="1069" spans="1:9" ht="12.75">
      <c r="A1069" s="717"/>
      <c r="B1069" s="718"/>
      <c r="C1069" s="250"/>
      <c r="D1069" s="250"/>
      <c r="E1069" s="250"/>
      <c r="F1069" s="250"/>
      <c r="G1069" s="471"/>
      <c r="H1069" s="250"/>
      <c r="I1069" s="471"/>
    </row>
    <row r="1070" spans="1:9" ht="12.75">
      <c r="A1070" s="717"/>
      <c r="B1070" s="718"/>
      <c r="C1070" s="250"/>
      <c r="D1070" s="250"/>
      <c r="E1070" s="250"/>
      <c r="F1070" s="250"/>
      <c r="G1070" s="471"/>
      <c r="H1070" s="250"/>
      <c r="I1070" s="471"/>
    </row>
    <row r="1071" spans="1:9" ht="12.75">
      <c r="A1071" s="717"/>
      <c r="B1071" s="718"/>
      <c r="C1071" s="250"/>
      <c r="D1071" s="250"/>
      <c r="E1071" s="250"/>
      <c r="F1071" s="250"/>
      <c r="G1071" s="471"/>
      <c r="H1071" s="250"/>
      <c r="I1071" s="471"/>
    </row>
    <row r="1072" spans="1:9" ht="12.75">
      <c r="A1072" s="717"/>
      <c r="B1072" s="718"/>
      <c r="C1072" s="250"/>
      <c r="D1072" s="250"/>
      <c r="E1072" s="250"/>
      <c r="F1072" s="250"/>
      <c r="G1072" s="471"/>
      <c r="H1072" s="250"/>
      <c r="I1072" s="471"/>
    </row>
    <row r="1073" spans="1:9" ht="12.75">
      <c r="A1073" s="717"/>
      <c r="B1073" s="718"/>
      <c r="C1073" s="250"/>
      <c r="D1073" s="250"/>
      <c r="E1073" s="250"/>
      <c r="F1073" s="250"/>
      <c r="G1073" s="471"/>
      <c r="H1073" s="250"/>
      <c r="I1073" s="471"/>
    </row>
    <row r="1074" spans="1:9" ht="12.75">
      <c r="A1074" s="717"/>
      <c r="B1074" s="718"/>
      <c r="C1074" s="250"/>
      <c r="D1074" s="250"/>
      <c r="E1074" s="250"/>
      <c r="F1074" s="250"/>
      <c r="G1074" s="471"/>
      <c r="H1074" s="250"/>
      <c r="I1074" s="471"/>
    </row>
    <row r="1075" spans="1:9" ht="12.75">
      <c r="A1075" s="717"/>
      <c r="B1075" s="718"/>
      <c r="C1075" s="250"/>
      <c r="D1075" s="250"/>
      <c r="E1075" s="250"/>
      <c r="F1075" s="250"/>
      <c r="G1075" s="471"/>
      <c r="H1075" s="250"/>
      <c r="I1075" s="471"/>
    </row>
    <row r="1076" spans="1:9" ht="12.75">
      <c r="A1076" s="717"/>
      <c r="B1076" s="718"/>
      <c r="C1076" s="250"/>
      <c r="D1076" s="250"/>
      <c r="E1076" s="250"/>
      <c r="F1076" s="250"/>
      <c r="G1076" s="471"/>
      <c r="H1076" s="250"/>
      <c r="I1076" s="471"/>
    </row>
    <row r="1077" spans="1:9" ht="12.75">
      <c r="A1077" s="717"/>
      <c r="B1077" s="718"/>
      <c r="C1077" s="250"/>
      <c r="D1077" s="250"/>
      <c r="E1077" s="250"/>
      <c r="F1077" s="250"/>
      <c r="G1077" s="471"/>
      <c r="H1077" s="250"/>
      <c r="I1077" s="471"/>
    </row>
    <row r="1078" spans="1:9" ht="12.75">
      <c r="A1078" s="717"/>
      <c r="B1078" s="718"/>
      <c r="C1078" s="250"/>
      <c r="D1078" s="250"/>
      <c r="E1078" s="250"/>
      <c r="F1078" s="250"/>
      <c r="G1078" s="471"/>
      <c r="H1078" s="250"/>
      <c r="I1078" s="471"/>
    </row>
    <row r="1079" spans="1:9" ht="12.75">
      <c r="A1079" s="717"/>
      <c r="B1079" s="718"/>
      <c r="C1079" s="250"/>
      <c r="D1079" s="250"/>
      <c r="E1079" s="250"/>
      <c r="F1079" s="250"/>
      <c r="G1079" s="471"/>
      <c r="H1079" s="250"/>
      <c r="I1079" s="471"/>
    </row>
    <row r="1080" spans="1:9" ht="12.75">
      <c r="A1080" s="717"/>
      <c r="B1080" s="718"/>
      <c r="C1080" s="250"/>
      <c r="D1080" s="250"/>
      <c r="E1080" s="250"/>
      <c r="F1080" s="250"/>
      <c r="G1080" s="471"/>
      <c r="H1080" s="250"/>
      <c r="I1080" s="471"/>
    </row>
    <row r="1081" spans="1:9" ht="12.75">
      <c r="A1081" s="717"/>
      <c r="B1081" s="718"/>
      <c r="C1081" s="250"/>
      <c r="D1081" s="250"/>
      <c r="E1081" s="250"/>
      <c r="F1081" s="250"/>
      <c r="G1081" s="471"/>
      <c r="H1081" s="250"/>
      <c r="I1081" s="471"/>
    </row>
    <row r="1082" spans="1:9" ht="12.75">
      <c r="A1082" s="717"/>
      <c r="B1082" s="718"/>
      <c r="C1082" s="250"/>
      <c r="D1082" s="250"/>
      <c r="E1082" s="250"/>
      <c r="F1082" s="250"/>
      <c r="G1082" s="471"/>
      <c r="H1082" s="250"/>
      <c r="I1082" s="471"/>
    </row>
    <row r="1083" spans="1:9" ht="12.75">
      <c r="A1083" s="717"/>
      <c r="B1083" s="718"/>
      <c r="C1083" s="250"/>
      <c r="D1083" s="250"/>
      <c r="E1083" s="250"/>
      <c r="F1083" s="250"/>
      <c r="G1083" s="471"/>
      <c r="H1083" s="250"/>
      <c r="I1083" s="471"/>
    </row>
    <row r="1084" spans="1:9" ht="12.75">
      <c r="A1084" s="717"/>
      <c r="B1084" s="718"/>
      <c r="C1084" s="250"/>
      <c r="D1084" s="250"/>
      <c r="E1084" s="250"/>
      <c r="F1084" s="250"/>
      <c r="G1084" s="471"/>
      <c r="H1084" s="250"/>
      <c r="I1084" s="471"/>
    </row>
    <row r="1085" spans="1:9" ht="12.75">
      <c r="A1085" s="717"/>
      <c r="B1085" s="718"/>
      <c r="C1085" s="250"/>
      <c r="D1085" s="250"/>
      <c r="E1085" s="250"/>
      <c r="F1085" s="250"/>
      <c r="G1085" s="471"/>
      <c r="H1085" s="250"/>
      <c r="I1085" s="471"/>
    </row>
    <row r="1086" spans="1:9" ht="12.75">
      <c r="A1086" s="717"/>
      <c r="B1086" s="718"/>
      <c r="C1086" s="250"/>
      <c r="D1086" s="250"/>
      <c r="E1086" s="250"/>
      <c r="F1086" s="250"/>
      <c r="G1086" s="471"/>
      <c r="H1086" s="250"/>
      <c r="I1086" s="471"/>
    </row>
    <row r="1087" spans="1:9" ht="12.75">
      <c r="A1087" s="717"/>
      <c r="B1087" s="718"/>
      <c r="C1087" s="250"/>
      <c r="D1087" s="250"/>
      <c r="E1087" s="250"/>
      <c r="F1087" s="250"/>
      <c r="G1087" s="471"/>
      <c r="H1087" s="250"/>
      <c r="I1087" s="471"/>
    </row>
    <row r="1088" spans="1:9" ht="12.75">
      <c r="A1088" s="717"/>
      <c r="B1088" s="718"/>
      <c r="C1088" s="250"/>
      <c r="D1088" s="250"/>
      <c r="E1088" s="250"/>
      <c r="F1088" s="250"/>
      <c r="G1088" s="471"/>
      <c r="H1088" s="250"/>
      <c r="I1088" s="471"/>
    </row>
    <row r="1089" spans="1:9" ht="12.75">
      <c r="A1089" s="717"/>
      <c r="B1089" s="718"/>
      <c r="C1089" s="250"/>
      <c r="D1089" s="250"/>
      <c r="E1089" s="250"/>
      <c r="F1089" s="250"/>
      <c r="G1089" s="471"/>
      <c r="H1089" s="250"/>
      <c r="I1089" s="471"/>
    </row>
    <row r="1090" spans="1:9" ht="12.75">
      <c r="A1090" s="717"/>
      <c r="B1090" s="718"/>
      <c r="C1090" s="250"/>
      <c r="D1090" s="250"/>
      <c r="E1090" s="250"/>
      <c r="F1090" s="250"/>
      <c r="G1090" s="471"/>
      <c r="H1090" s="250"/>
      <c r="I1090" s="471"/>
    </row>
    <row r="1091" spans="1:9" ht="12.75">
      <c r="A1091" s="717"/>
      <c r="B1091" s="718"/>
      <c r="C1091" s="250"/>
      <c r="D1091" s="250"/>
      <c r="E1091" s="250"/>
      <c r="F1091" s="250"/>
      <c r="G1091" s="471"/>
      <c r="H1091" s="250"/>
      <c r="I1091" s="471"/>
    </row>
    <row r="1092" spans="1:9" ht="12.75">
      <c r="A1092" s="717"/>
      <c r="B1092" s="718"/>
      <c r="C1092" s="250"/>
      <c r="D1092" s="250"/>
      <c r="E1092" s="250"/>
      <c r="F1092" s="250"/>
      <c r="G1092" s="471"/>
      <c r="H1092" s="250"/>
      <c r="I1092" s="471"/>
    </row>
    <row r="1093" spans="1:9" ht="12.75">
      <c r="A1093" s="717"/>
      <c r="B1093" s="718"/>
      <c r="C1093" s="250"/>
      <c r="D1093" s="250"/>
      <c r="E1093" s="250"/>
      <c r="F1093" s="250"/>
      <c r="G1093" s="471"/>
      <c r="H1093" s="250"/>
      <c r="I1093" s="471"/>
    </row>
    <row r="1094" spans="1:9" ht="12.75">
      <c r="A1094" s="717"/>
      <c r="B1094" s="718"/>
      <c r="C1094" s="250"/>
      <c r="D1094" s="250"/>
      <c r="E1094" s="250"/>
      <c r="F1094" s="250"/>
      <c r="G1094" s="471"/>
      <c r="H1094" s="250"/>
      <c r="I1094" s="471"/>
    </row>
    <row r="1095" spans="1:9" ht="12.75">
      <c r="A1095" s="717"/>
      <c r="B1095" s="718"/>
      <c r="C1095" s="250"/>
      <c r="D1095" s="250"/>
      <c r="E1095" s="250"/>
      <c r="F1095" s="250"/>
      <c r="G1095" s="471"/>
      <c r="H1095" s="250"/>
      <c r="I1095" s="471"/>
    </row>
    <row r="1096" spans="1:9" ht="12.75">
      <c r="A1096" s="717"/>
      <c r="B1096" s="718"/>
      <c r="C1096" s="250"/>
      <c r="D1096" s="250"/>
      <c r="E1096" s="250"/>
      <c r="F1096" s="250"/>
      <c r="G1096" s="471"/>
      <c r="H1096" s="250"/>
      <c r="I1096" s="471"/>
    </row>
    <row r="1097" spans="1:9" ht="12.75">
      <c r="A1097" s="717"/>
      <c r="B1097" s="718"/>
      <c r="C1097" s="250"/>
      <c r="D1097" s="250"/>
      <c r="E1097" s="250"/>
      <c r="F1097" s="250"/>
      <c r="G1097" s="471"/>
      <c r="H1097" s="250"/>
      <c r="I1097" s="471"/>
    </row>
    <row r="1098" spans="1:9" ht="12.75">
      <c r="A1098" s="717"/>
      <c r="B1098" s="718"/>
      <c r="C1098" s="250"/>
      <c r="D1098" s="250"/>
      <c r="E1098" s="250"/>
      <c r="F1098" s="250"/>
      <c r="G1098" s="471"/>
      <c r="H1098" s="250"/>
      <c r="I1098" s="471"/>
    </row>
    <row r="1099" spans="1:9" ht="12.75">
      <c r="A1099" s="717"/>
      <c r="B1099" s="718"/>
      <c r="C1099" s="250"/>
      <c r="D1099" s="250"/>
      <c r="E1099" s="250"/>
      <c r="F1099" s="250"/>
      <c r="G1099" s="471"/>
      <c r="H1099" s="250"/>
      <c r="I1099" s="471"/>
    </row>
    <row r="1100" spans="1:9" ht="12.75">
      <c r="A1100" s="717"/>
      <c r="B1100" s="718"/>
      <c r="C1100" s="250"/>
      <c r="D1100" s="250"/>
      <c r="E1100" s="250"/>
      <c r="F1100" s="250"/>
      <c r="G1100" s="471"/>
      <c r="H1100" s="250"/>
      <c r="I1100" s="471"/>
    </row>
    <row r="1101" spans="1:9" ht="12.75">
      <c r="A1101" s="717"/>
      <c r="B1101" s="718"/>
      <c r="C1101" s="250"/>
      <c r="D1101" s="250"/>
      <c r="E1101" s="250"/>
      <c r="F1101" s="250"/>
      <c r="G1101" s="471"/>
      <c r="H1101" s="250"/>
      <c r="I1101" s="471"/>
    </row>
    <row r="1102" spans="1:9" ht="12.75">
      <c r="A1102" s="717"/>
      <c r="B1102" s="718"/>
      <c r="C1102" s="250"/>
      <c r="D1102" s="250"/>
      <c r="E1102" s="250"/>
      <c r="F1102" s="250"/>
      <c r="G1102" s="471"/>
      <c r="H1102" s="250"/>
      <c r="I1102" s="471"/>
    </row>
    <row r="1103" spans="1:9" ht="12.75">
      <c r="A1103" s="717"/>
      <c r="B1103" s="718"/>
      <c r="C1103" s="250"/>
      <c r="D1103" s="250"/>
      <c r="E1103" s="250"/>
      <c r="F1103" s="250"/>
      <c r="G1103" s="471"/>
      <c r="H1103" s="250"/>
      <c r="I1103" s="471"/>
    </row>
    <row r="1104" spans="1:9" ht="12.75">
      <c r="A1104" s="717"/>
      <c r="B1104" s="718"/>
      <c r="C1104" s="250"/>
      <c r="D1104" s="250"/>
      <c r="E1104" s="250"/>
      <c r="F1104" s="250"/>
      <c r="G1104" s="471"/>
      <c r="H1104" s="250"/>
      <c r="I1104" s="471"/>
    </row>
    <row r="1105" spans="1:9" ht="12.75">
      <c r="A1105" s="717"/>
      <c r="B1105" s="718"/>
      <c r="C1105" s="250"/>
      <c r="D1105" s="250"/>
      <c r="E1105" s="250"/>
      <c r="F1105" s="250"/>
      <c r="G1105" s="471"/>
      <c r="H1105" s="250"/>
      <c r="I1105" s="471"/>
    </row>
    <row r="1106" spans="1:9" ht="12.75">
      <c r="A1106" s="717"/>
      <c r="B1106" s="718"/>
      <c r="C1106" s="250"/>
      <c r="D1106" s="250"/>
      <c r="E1106" s="250"/>
      <c r="F1106" s="250"/>
      <c r="G1106" s="471"/>
      <c r="H1106" s="250"/>
      <c r="I1106" s="471"/>
    </row>
    <row r="1107" spans="1:9" ht="12.75">
      <c r="A1107" s="717"/>
      <c r="B1107" s="718"/>
      <c r="C1107" s="250"/>
      <c r="D1107" s="250"/>
      <c r="E1107" s="250"/>
      <c r="F1107" s="250"/>
      <c r="G1107" s="471"/>
      <c r="H1107" s="250"/>
      <c r="I1107" s="471"/>
    </row>
    <row r="1108" spans="1:9" ht="12.75">
      <c r="A1108" s="717"/>
      <c r="B1108" s="718"/>
      <c r="C1108" s="250"/>
      <c r="D1108" s="250"/>
      <c r="E1108" s="250"/>
      <c r="F1108" s="250"/>
      <c r="G1108" s="471"/>
      <c r="H1108" s="250"/>
      <c r="I1108" s="471"/>
    </row>
    <row r="1109" spans="1:9" ht="12.75">
      <c r="A1109" s="717"/>
      <c r="B1109" s="718"/>
      <c r="C1109" s="250"/>
      <c r="D1109" s="250"/>
      <c r="E1109" s="250"/>
      <c r="F1109" s="250"/>
      <c r="G1109" s="471"/>
      <c r="H1109" s="250"/>
      <c r="I1109" s="471"/>
    </row>
    <row r="1110" spans="1:9" ht="12.75">
      <c r="A1110" s="717"/>
      <c r="B1110" s="718"/>
      <c r="C1110" s="250"/>
      <c r="D1110" s="250"/>
      <c r="E1110" s="250"/>
      <c r="F1110" s="250"/>
      <c r="G1110" s="471"/>
      <c r="H1110" s="250"/>
      <c r="I1110" s="471"/>
    </row>
    <row r="1111" spans="1:9" ht="12.75">
      <c r="A1111" s="717"/>
      <c r="B1111" s="718"/>
      <c r="C1111" s="250"/>
      <c r="D1111" s="250"/>
      <c r="E1111" s="250"/>
      <c r="F1111" s="250"/>
      <c r="G1111" s="471"/>
      <c r="H1111" s="250"/>
      <c r="I1111" s="471"/>
    </row>
    <row r="1112" spans="1:9" ht="12.75">
      <c r="A1112" s="717"/>
      <c r="B1112" s="718"/>
      <c r="C1112" s="250"/>
      <c r="D1112" s="250"/>
      <c r="E1112" s="250"/>
      <c r="F1112" s="250"/>
      <c r="G1112" s="471"/>
      <c r="H1112" s="250"/>
      <c r="I1112" s="471"/>
    </row>
    <row r="1113" spans="1:9" ht="12.75">
      <c r="A1113" s="717"/>
      <c r="B1113" s="718"/>
      <c r="C1113" s="250"/>
      <c r="D1113" s="250"/>
      <c r="E1113" s="250"/>
      <c r="F1113" s="250"/>
      <c r="G1113" s="471"/>
      <c r="H1113" s="250"/>
      <c r="I1113" s="471"/>
    </row>
    <row r="1114" spans="1:9" ht="12.75">
      <c r="A1114" s="717"/>
      <c r="B1114" s="718"/>
      <c r="C1114" s="250"/>
      <c r="D1114" s="250"/>
      <c r="E1114" s="250"/>
      <c r="F1114" s="250"/>
      <c r="G1114" s="471"/>
      <c r="H1114" s="250"/>
      <c r="I1114" s="471"/>
    </row>
    <row r="1115" spans="1:9" ht="12.75">
      <c r="A1115" s="717"/>
      <c r="B1115" s="718"/>
      <c r="C1115" s="250"/>
      <c r="D1115" s="250"/>
      <c r="E1115" s="250"/>
      <c r="F1115" s="250"/>
      <c r="G1115" s="471"/>
      <c r="H1115" s="250"/>
      <c r="I1115" s="471"/>
    </row>
    <row r="1116" spans="1:9" ht="12.75">
      <c r="A1116" s="717"/>
      <c r="B1116" s="718"/>
      <c r="C1116" s="250"/>
      <c r="D1116" s="250"/>
      <c r="E1116" s="250"/>
      <c r="F1116" s="250"/>
      <c r="G1116" s="471"/>
      <c r="H1116" s="250"/>
      <c r="I1116" s="471"/>
    </row>
    <row r="1117" spans="1:9" ht="12.75">
      <c r="A1117" s="717"/>
      <c r="B1117" s="718"/>
      <c r="C1117" s="250"/>
      <c r="D1117" s="250"/>
      <c r="E1117" s="250"/>
      <c r="F1117" s="250"/>
      <c r="G1117" s="471"/>
      <c r="H1117" s="250"/>
      <c r="I1117" s="471"/>
    </row>
    <row r="1118" spans="1:9" ht="12.75">
      <c r="A1118" s="717"/>
      <c r="B1118" s="718"/>
      <c r="C1118" s="250"/>
      <c r="D1118" s="250"/>
      <c r="E1118" s="250"/>
      <c r="F1118" s="250"/>
      <c r="G1118" s="471"/>
      <c r="H1118" s="250"/>
      <c r="I1118" s="471"/>
    </row>
    <row r="1119" spans="1:9" ht="12.75">
      <c r="A1119" s="717"/>
      <c r="B1119" s="718"/>
      <c r="C1119" s="250"/>
      <c r="D1119" s="250"/>
      <c r="E1119" s="250"/>
      <c r="F1119" s="250"/>
      <c r="G1119" s="471"/>
      <c r="H1119" s="250"/>
      <c r="I1119" s="471"/>
    </row>
    <row r="1120" spans="1:9" ht="12.75">
      <c r="A1120" s="717"/>
      <c r="B1120" s="718"/>
      <c r="C1120" s="250"/>
      <c r="D1120" s="250"/>
      <c r="E1120" s="250"/>
      <c r="F1120" s="250"/>
      <c r="G1120" s="471"/>
      <c r="H1120" s="250"/>
      <c r="I1120" s="471"/>
    </row>
    <row r="1121" spans="1:9" ht="12.75">
      <c r="A1121" s="717"/>
      <c r="B1121" s="718"/>
      <c r="C1121" s="250"/>
      <c r="D1121" s="250"/>
      <c r="E1121" s="250"/>
      <c r="F1121" s="250"/>
      <c r="G1121" s="471"/>
      <c r="H1121" s="250"/>
      <c r="I1121" s="471"/>
    </row>
    <row r="1122" spans="1:9" ht="12.75">
      <c r="A1122" s="717"/>
      <c r="B1122" s="718"/>
      <c r="C1122" s="250"/>
      <c r="D1122" s="250"/>
      <c r="E1122" s="250"/>
      <c r="F1122" s="250"/>
      <c r="G1122" s="471"/>
      <c r="H1122" s="250"/>
      <c r="I1122" s="471"/>
    </row>
    <row r="1123" spans="1:9" ht="12.75">
      <c r="A1123" s="717"/>
      <c r="B1123" s="718"/>
      <c r="C1123" s="250"/>
      <c r="D1123" s="250"/>
      <c r="E1123" s="250"/>
      <c r="F1123" s="250"/>
      <c r="G1123" s="471"/>
      <c r="H1123" s="250"/>
      <c r="I1123" s="471"/>
    </row>
    <row r="1124" spans="1:9" ht="12.75">
      <c r="A1124" s="717"/>
      <c r="B1124" s="718"/>
      <c r="C1124" s="250"/>
      <c r="D1124" s="250"/>
      <c r="E1124" s="250"/>
      <c r="F1124" s="250"/>
      <c r="G1124" s="471"/>
      <c r="H1124" s="250"/>
      <c r="I1124" s="471"/>
    </row>
    <row r="1125" spans="1:9" ht="12.75">
      <c r="A1125" s="717"/>
      <c r="B1125" s="718"/>
      <c r="C1125" s="250"/>
      <c r="D1125" s="250"/>
      <c r="E1125" s="250"/>
      <c r="F1125" s="250"/>
      <c r="G1125" s="471"/>
      <c r="H1125" s="250"/>
      <c r="I1125" s="471"/>
    </row>
    <row r="1126" spans="1:9" ht="12.75">
      <c r="A1126" s="717"/>
      <c r="B1126" s="718"/>
      <c r="C1126" s="250"/>
      <c r="D1126" s="250"/>
      <c r="E1126" s="250"/>
      <c r="F1126" s="250"/>
      <c r="G1126" s="471"/>
      <c r="H1126" s="250"/>
      <c r="I1126" s="471"/>
    </row>
    <row r="1127" spans="1:9" ht="12.75">
      <c r="A1127" s="717"/>
      <c r="B1127" s="718"/>
      <c r="C1127" s="250"/>
      <c r="D1127" s="250"/>
      <c r="E1127" s="250"/>
      <c r="F1127" s="250"/>
      <c r="G1127" s="471"/>
      <c r="H1127" s="250"/>
      <c r="I1127" s="471"/>
    </row>
    <row r="1128" spans="1:9" ht="12.75">
      <c r="A1128" s="717"/>
      <c r="B1128" s="718"/>
      <c r="C1128" s="250"/>
      <c r="D1128" s="250"/>
      <c r="E1128" s="250"/>
      <c r="F1128" s="250"/>
      <c r="G1128" s="471"/>
      <c r="H1128" s="250"/>
      <c r="I1128" s="471"/>
    </row>
    <row r="1129" spans="1:9" ht="12.75">
      <c r="A1129" s="717"/>
      <c r="B1129" s="718"/>
      <c r="C1129" s="250"/>
      <c r="D1129" s="250"/>
      <c r="E1129" s="250"/>
      <c r="F1129" s="250"/>
      <c r="G1129" s="471"/>
      <c r="H1129" s="250"/>
      <c r="I1129" s="471"/>
    </row>
    <row r="1130" spans="1:9" ht="12.75">
      <c r="A1130" s="717"/>
      <c r="B1130" s="718"/>
      <c r="C1130" s="250"/>
      <c r="D1130" s="250"/>
      <c r="E1130" s="250"/>
      <c r="F1130" s="250"/>
      <c r="G1130" s="471"/>
      <c r="H1130" s="250"/>
      <c r="I1130" s="471"/>
    </row>
    <row r="1131" spans="1:9" ht="12.75">
      <c r="A1131" s="717"/>
      <c r="B1131" s="718"/>
      <c r="C1131" s="250"/>
      <c r="D1131" s="250"/>
      <c r="E1131" s="250"/>
      <c r="F1131" s="250"/>
      <c r="G1131" s="471"/>
      <c r="H1131" s="250"/>
      <c r="I1131" s="471"/>
    </row>
    <row r="1132" spans="1:9" ht="12.75">
      <c r="A1132" s="717"/>
      <c r="B1132" s="718"/>
      <c r="C1132" s="250"/>
      <c r="D1132" s="250"/>
      <c r="E1132" s="250"/>
      <c r="F1132" s="250"/>
      <c r="G1132" s="471"/>
      <c r="H1132" s="250"/>
      <c r="I1132" s="471"/>
    </row>
    <row r="1133" spans="1:9" ht="12.75">
      <c r="A1133" s="717"/>
      <c r="B1133" s="718"/>
      <c r="C1133" s="250"/>
      <c r="D1133" s="250"/>
      <c r="E1133" s="250"/>
      <c r="F1133" s="250"/>
      <c r="G1133" s="471"/>
      <c r="H1133" s="250"/>
      <c r="I1133" s="471"/>
    </row>
    <row r="1134" spans="1:9" ht="12.75">
      <c r="A1134" s="717"/>
      <c r="B1134" s="718"/>
      <c r="C1134" s="250"/>
      <c r="D1134" s="250"/>
      <c r="E1134" s="250"/>
      <c r="F1134" s="250"/>
      <c r="G1134" s="471"/>
      <c r="H1134" s="250"/>
      <c r="I1134" s="471"/>
    </row>
    <row r="1135" spans="1:9" ht="12.75">
      <c r="A1135" s="717"/>
      <c r="B1135" s="718"/>
      <c r="C1135" s="250"/>
      <c r="D1135" s="250"/>
      <c r="E1135" s="250"/>
      <c r="F1135" s="250"/>
      <c r="G1135" s="471"/>
      <c r="H1135" s="250"/>
      <c r="I1135" s="471"/>
    </row>
    <row r="1136" spans="1:9" ht="12.75">
      <c r="A1136" s="717"/>
      <c r="B1136" s="718"/>
      <c r="C1136" s="250"/>
      <c r="D1136" s="250"/>
      <c r="E1136" s="250"/>
      <c r="F1136" s="250"/>
      <c r="G1136" s="471"/>
      <c r="H1136" s="250"/>
      <c r="I1136" s="471"/>
    </row>
    <row r="1137" spans="1:9" ht="12.75">
      <c r="A1137" s="717"/>
      <c r="B1137" s="718"/>
      <c r="C1137" s="250"/>
      <c r="D1137" s="250"/>
      <c r="E1137" s="250"/>
      <c r="F1137" s="250"/>
      <c r="G1137" s="471"/>
      <c r="H1137" s="250"/>
      <c r="I1137" s="471"/>
    </row>
    <row r="1138" spans="1:9" ht="12.75">
      <c r="A1138" s="717"/>
      <c r="B1138" s="718"/>
      <c r="C1138" s="250"/>
      <c r="D1138" s="250"/>
      <c r="E1138" s="250"/>
      <c r="F1138" s="250"/>
      <c r="G1138" s="471"/>
      <c r="H1138" s="250"/>
      <c r="I1138" s="471"/>
    </row>
    <row r="1139" spans="1:9" ht="12.75">
      <c r="A1139" s="717"/>
      <c r="B1139" s="718"/>
      <c r="C1139" s="250"/>
      <c r="D1139" s="250"/>
      <c r="E1139" s="250"/>
      <c r="F1139" s="250"/>
      <c r="G1139" s="471"/>
      <c r="H1139" s="250"/>
      <c r="I1139" s="471"/>
    </row>
    <row r="1140" spans="1:9" ht="12.75">
      <c r="A1140" s="717"/>
      <c r="B1140" s="718"/>
      <c r="C1140" s="250"/>
      <c r="D1140" s="250"/>
      <c r="E1140" s="250"/>
      <c r="F1140" s="250"/>
      <c r="G1140" s="471"/>
      <c r="H1140" s="250"/>
      <c r="I1140" s="471"/>
    </row>
    <row r="1141" spans="1:9" ht="12.75">
      <c r="A1141" s="717"/>
      <c r="B1141" s="718"/>
      <c r="C1141" s="250"/>
      <c r="D1141" s="250"/>
      <c r="E1141" s="250"/>
      <c r="F1141" s="250"/>
      <c r="G1141" s="471"/>
      <c r="H1141" s="250"/>
      <c r="I1141" s="471"/>
    </row>
    <row r="1142" spans="1:9" ht="12.75">
      <c r="A1142" s="717"/>
      <c r="B1142" s="718"/>
      <c r="C1142" s="250"/>
      <c r="D1142" s="250"/>
      <c r="E1142" s="250"/>
      <c r="F1142" s="250"/>
      <c r="G1142" s="471"/>
      <c r="H1142" s="250"/>
      <c r="I1142" s="471"/>
    </row>
    <row r="1143" spans="1:9" ht="12.75">
      <c r="A1143" s="717"/>
      <c r="B1143" s="718"/>
      <c r="C1143" s="250"/>
      <c r="D1143" s="250"/>
      <c r="E1143" s="250"/>
      <c r="F1143" s="250"/>
      <c r="G1143" s="471"/>
      <c r="H1143" s="250"/>
      <c r="I1143" s="471"/>
    </row>
    <row r="1144" spans="1:9" ht="12.75">
      <c r="A1144" s="717"/>
      <c r="B1144" s="718"/>
      <c r="C1144" s="250"/>
      <c r="D1144" s="250"/>
      <c r="E1144" s="250"/>
      <c r="F1144" s="250"/>
      <c r="G1144" s="471"/>
      <c r="H1144" s="250"/>
      <c r="I1144" s="471"/>
    </row>
    <row r="1145" spans="1:9" ht="12.75">
      <c r="A1145" s="717"/>
      <c r="B1145" s="718"/>
      <c r="C1145" s="250"/>
      <c r="D1145" s="250"/>
      <c r="E1145" s="250"/>
      <c r="F1145" s="250"/>
      <c r="G1145" s="471"/>
      <c r="H1145" s="250"/>
      <c r="I1145" s="471"/>
    </row>
    <row r="1146" spans="1:9" ht="12.75">
      <c r="A1146" s="717"/>
      <c r="B1146" s="718"/>
      <c r="C1146" s="250"/>
      <c r="D1146" s="250"/>
      <c r="E1146" s="250"/>
      <c r="F1146" s="250"/>
      <c r="G1146" s="471"/>
      <c r="H1146" s="250"/>
      <c r="I1146" s="471"/>
    </row>
    <row r="1147" spans="1:9" ht="12.75">
      <c r="A1147" s="717"/>
      <c r="B1147" s="718"/>
      <c r="C1147" s="250"/>
      <c r="D1147" s="250"/>
      <c r="E1147" s="250"/>
      <c r="F1147" s="250"/>
      <c r="G1147" s="471"/>
      <c r="H1147" s="250"/>
      <c r="I1147" s="471"/>
    </row>
    <row r="1148" spans="1:9" ht="12.75">
      <c r="A1148" s="717"/>
      <c r="B1148" s="718"/>
      <c r="C1148" s="250"/>
      <c r="D1148" s="250"/>
      <c r="E1148" s="250"/>
      <c r="F1148" s="250"/>
      <c r="G1148" s="471"/>
      <c r="H1148" s="250"/>
      <c r="I1148" s="471"/>
    </row>
    <row r="1149" spans="1:9" ht="12.75">
      <c r="A1149" s="717"/>
      <c r="B1149" s="718"/>
      <c r="C1149" s="250"/>
      <c r="D1149" s="250"/>
      <c r="E1149" s="250"/>
      <c r="F1149" s="250"/>
      <c r="G1149" s="471"/>
      <c r="H1149" s="250"/>
      <c r="I1149" s="471"/>
    </row>
    <row r="1150" spans="1:9" ht="12.75">
      <c r="A1150" s="717"/>
      <c r="B1150" s="718"/>
      <c r="C1150" s="250"/>
      <c r="D1150" s="250"/>
      <c r="E1150" s="250"/>
      <c r="F1150" s="250"/>
      <c r="G1150" s="471"/>
      <c r="H1150" s="250"/>
      <c r="I1150" s="471"/>
    </row>
    <row r="1151" spans="1:9" ht="12.75">
      <c r="A1151" s="717"/>
      <c r="B1151" s="718"/>
      <c r="C1151" s="250"/>
      <c r="D1151" s="250"/>
      <c r="E1151" s="250"/>
      <c r="F1151" s="250"/>
      <c r="G1151" s="471"/>
      <c r="H1151" s="250"/>
      <c r="I1151" s="471"/>
    </row>
    <row r="1152" spans="1:9" ht="12.75">
      <c r="A1152" s="717"/>
      <c r="B1152" s="718"/>
      <c r="C1152" s="250"/>
      <c r="D1152" s="250"/>
      <c r="E1152" s="250"/>
      <c r="F1152" s="250"/>
      <c r="G1152" s="471"/>
      <c r="H1152" s="250"/>
      <c r="I1152" s="471"/>
    </row>
    <row r="1153" spans="1:9" ht="12.75">
      <c r="A1153" s="717"/>
      <c r="B1153" s="718"/>
      <c r="C1153" s="250"/>
      <c r="D1153" s="250"/>
      <c r="E1153" s="250"/>
      <c r="F1153" s="250"/>
      <c r="G1153" s="471"/>
      <c r="H1153" s="250"/>
      <c r="I1153" s="471"/>
    </row>
    <row r="1154" spans="1:9" ht="12.75">
      <c r="A1154" s="717"/>
      <c r="B1154" s="718"/>
      <c r="C1154" s="250"/>
      <c r="D1154" s="250"/>
      <c r="E1154" s="250"/>
      <c r="F1154" s="250"/>
      <c r="G1154" s="471"/>
      <c r="H1154" s="250"/>
      <c r="I1154" s="471"/>
    </row>
    <row r="1155" spans="1:9" ht="12.75">
      <c r="A1155" s="717"/>
      <c r="B1155" s="718"/>
      <c r="C1155" s="250"/>
      <c r="D1155" s="250"/>
      <c r="E1155" s="250"/>
      <c r="F1155" s="250"/>
      <c r="G1155" s="471"/>
      <c r="H1155" s="250"/>
      <c r="I1155" s="471"/>
    </row>
    <row r="1156" spans="1:9" ht="12.75">
      <c r="A1156" s="717"/>
      <c r="B1156" s="718"/>
      <c r="C1156" s="250"/>
      <c r="D1156" s="250"/>
      <c r="E1156" s="250"/>
      <c r="F1156" s="250"/>
      <c r="G1156" s="471"/>
      <c r="H1156" s="250"/>
      <c r="I1156" s="471"/>
    </row>
    <row r="1157" spans="1:9" ht="12.75">
      <c r="A1157" s="717"/>
      <c r="B1157" s="718"/>
      <c r="C1157" s="250"/>
      <c r="D1157" s="250"/>
      <c r="E1157" s="250"/>
      <c r="F1157" s="250"/>
      <c r="G1157" s="471"/>
      <c r="H1157" s="250"/>
      <c r="I1157" s="471"/>
    </row>
    <row r="1158" spans="1:9" ht="12.75">
      <c r="A1158" s="717"/>
      <c r="B1158" s="718"/>
      <c r="C1158" s="250"/>
      <c r="D1158" s="250"/>
      <c r="E1158" s="250"/>
      <c r="F1158" s="250"/>
      <c r="G1158" s="471"/>
      <c r="H1158" s="250"/>
      <c r="I1158" s="471"/>
    </row>
    <row r="1159" spans="1:9" ht="12.75">
      <c r="A1159" s="717"/>
      <c r="B1159" s="718"/>
      <c r="C1159" s="250"/>
      <c r="D1159" s="250"/>
      <c r="E1159" s="250"/>
      <c r="F1159" s="250"/>
      <c r="G1159" s="471"/>
      <c r="H1159" s="250"/>
      <c r="I1159" s="471"/>
    </row>
    <row r="1160" spans="1:9" ht="12.75">
      <c r="A1160" s="717"/>
      <c r="B1160" s="718"/>
      <c r="C1160" s="250"/>
      <c r="D1160" s="250"/>
      <c r="E1160" s="250"/>
      <c r="F1160" s="250"/>
      <c r="G1160" s="471"/>
      <c r="H1160" s="250"/>
      <c r="I1160" s="471"/>
    </row>
    <row r="1161" spans="1:9" ht="12.75">
      <c r="A1161" s="717"/>
      <c r="B1161" s="718"/>
      <c r="C1161" s="250"/>
      <c r="D1161" s="250"/>
      <c r="E1161" s="250"/>
      <c r="F1161" s="250"/>
      <c r="G1161" s="471"/>
      <c r="H1161" s="250"/>
      <c r="I1161" s="471"/>
    </row>
    <row r="1162" spans="1:9" ht="12.75">
      <c r="A1162" s="717"/>
      <c r="B1162" s="718"/>
      <c r="C1162" s="250"/>
      <c r="D1162" s="250"/>
      <c r="E1162" s="250"/>
      <c r="F1162" s="250"/>
      <c r="G1162" s="471"/>
      <c r="H1162" s="250"/>
      <c r="I1162" s="471"/>
    </row>
    <row r="1163" spans="1:9" ht="12.75">
      <c r="A1163" s="717"/>
      <c r="B1163" s="718"/>
      <c r="C1163" s="250"/>
      <c r="D1163" s="250"/>
      <c r="E1163" s="250"/>
      <c r="F1163" s="250"/>
      <c r="G1163" s="471"/>
      <c r="H1163" s="250"/>
      <c r="I1163" s="471"/>
    </row>
    <row r="1164" spans="1:9" ht="12.75">
      <c r="A1164" s="717"/>
      <c r="B1164" s="718"/>
      <c r="C1164" s="250"/>
      <c r="D1164" s="250"/>
      <c r="E1164" s="250"/>
      <c r="F1164" s="250"/>
      <c r="G1164" s="471"/>
      <c r="H1164" s="250"/>
      <c r="I1164" s="471"/>
    </row>
    <row r="1165" spans="1:9" ht="12.75">
      <c r="A1165" s="717"/>
      <c r="B1165" s="718"/>
      <c r="C1165" s="250"/>
      <c r="D1165" s="250"/>
      <c r="E1165" s="250"/>
      <c r="F1165" s="250"/>
      <c r="G1165" s="471"/>
      <c r="H1165" s="250"/>
      <c r="I1165" s="471"/>
    </row>
    <row r="1166" spans="1:9" ht="12.75">
      <c r="A1166" s="717"/>
      <c r="B1166" s="718"/>
      <c r="C1166" s="250"/>
      <c r="D1166" s="250"/>
      <c r="E1166" s="250"/>
      <c r="F1166" s="250"/>
      <c r="G1166" s="471"/>
      <c r="H1166" s="250"/>
      <c r="I1166" s="471"/>
    </row>
    <row r="1167" spans="1:9" ht="12.75">
      <c r="A1167" s="717"/>
      <c r="B1167" s="718"/>
      <c r="C1167" s="250"/>
      <c r="D1167" s="250"/>
      <c r="E1167" s="250"/>
      <c r="F1167" s="250"/>
      <c r="G1167" s="471"/>
      <c r="H1167" s="250"/>
      <c r="I1167" s="471"/>
    </row>
    <row r="1168" spans="1:9" ht="12.75">
      <c r="A1168" s="717"/>
      <c r="B1168" s="718"/>
      <c r="C1168" s="250"/>
      <c r="D1168" s="250"/>
      <c r="E1168" s="250"/>
      <c r="F1168" s="250"/>
      <c r="G1168" s="471"/>
      <c r="H1168" s="250"/>
      <c r="I1168" s="471"/>
    </row>
    <row r="1169" spans="1:9" ht="12.75">
      <c r="A1169" s="717"/>
      <c r="B1169" s="718"/>
      <c r="C1169" s="250"/>
      <c r="D1169" s="250"/>
      <c r="E1169" s="250"/>
      <c r="F1169" s="250"/>
      <c r="G1169" s="471"/>
      <c r="H1169" s="250"/>
      <c r="I1169" s="471"/>
    </row>
    <row r="1170" spans="1:9" ht="12.75">
      <c r="A1170" s="717"/>
      <c r="B1170" s="718"/>
      <c r="C1170" s="250"/>
      <c r="D1170" s="250"/>
      <c r="E1170" s="250"/>
      <c r="F1170" s="250"/>
      <c r="G1170" s="471"/>
      <c r="H1170" s="250"/>
      <c r="I1170" s="471"/>
    </row>
    <row r="1171" spans="1:9" ht="12.75">
      <c r="A1171" s="717"/>
      <c r="B1171" s="718"/>
      <c r="C1171" s="250"/>
      <c r="D1171" s="250"/>
      <c r="E1171" s="250"/>
      <c r="F1171" s="250"/>
      <c r="G1171" s="471"/>
      <c r="H1171" s="250"/>
      <c r="I1171" s="471"/>
    </row>
    <row r="1172" spans="1:9" ht="12.75">
      <c r="A1172" s="717"/>
      <c r="B1172" s="718"/>
      <c r="C1172" s="250"/>
      <c r="D1172" s="250"/>
      <c r="E1172" s="250"/>
      <c r="F1172" s="250"/>
      <c r="G1172" s="471"/>
      <c r="H1172" s="250"/>
      <c r="I1172" s="471"/>
    </row>
    <row r="1173" spans="1:9" ht="12.75">
      <c r="A1173" s="717"/>
      <c r="B1173" s="718"/>
      <c r="C1173" s="250"/>
      <c r="D1173" s="250"/>
      <c r="E1173" s="250"/>
      <c r="F1173" s="250"/>
      <c r="G1173" s="471"/>
      <c r="H1173" s="250"/>
      <c r="I1173" s="471"/>
    </row>
    <row r="1174" spans="1:9" ht="12.75">
      <c r="A1174" s="717"/>
      <c r="B1174" s="718"/>
      <c r="C1174" s="250"/>
      <c r="D1174" s="250"/>
      <c r="E1174" s="250"/>
      <c r="F1174" s="250"/>
      <c r="G1174" s="471"/>
      <c r="H1174" s="250"/>
      <c r="I1174" s="471"/>
    </row>
    <row r="1175" spans="1:9" ht="12.75">
      <c r="A1175" s="717"/>
      <c r="B1175" s="718"/>
      <c r="C1175" s="250"/>
      <c r="D1175" s="250"/>
      <c r="E1175" s="250"/>
      <c r="F1175" s="250"/>
      <c r="G1175" s="471"/>
      <c r="H1175" s="250"/>
      <c r="I1175" s="471"/>
    </row>
    <row r="1176" spans="1:9" ht="12.75">
      <c r="A1176" s="717"/>
      <c r="B1176" s="718"/>
      <c r="C1176" s="250"/>
      <c r="D1176" s="250"/>
      <c r="E1176" s="250"/>
      <c r="F1176" s="250"/>
      <c r="G1176" s="471"/>
      <c r="H1176" s="250"/>
      <c r="I1176" s="471"/>
    </row>
    <row r="1177" spans="1:9" ht="12.75">
      <c r="A1177" s="717"/>
      <c r="B1177" s="718"/>
      <c r="C1177" s="250"/>
      <c r="D1177" s="250"/>
      <c r="E1177" s="250"/>
      <c r="F1177" s="250"/>
      <c r="G1177" s="471"/>
      <c r="H1177" s="250"/>
      <c r="I1177" s="471"/>
    </row>
    <row r="1178" spans="1:9" ht="12.75">
      <c r="A1178" s="717"/>
      <c r="B1178" s="718"/>
      <c r="C1178" s="250"/>
      <c r="D1178" s="250"/>
      <c r="E1178" s="250"/>
      <c r="F1178" s="250"/>
      <c r="G1178" s="471"/>
      <c r="H1178" s="250"/>
      <c r="I1178" s="471"/>
    </row>
    <row r="1179" spans="1:9" ht="12.75">
      <c r="A1179" s="717"/>
      <c r="B1179" s="718"/>
      <c r="C1179" s="250"/>
      <c r="D1179" s="250"/>
      <c r="E1179" s="250"/>
      <c r="F1179" s="250"/>
      <c r="G1179" s="471"/>
      <c r="H1179" s="250"/>
      <c r="I1179" s="471"/>
    </row>
    <row r="1180" spans="1:9" ht="12.75">
      <c r="A1180" s="717"/>
      <c r="B1180" s="718"/>
      <c r="C1180" s="250"/>
      <c r="D1180" s="250"/>
      <c r="E1180" s="250"/>
      <c r="F1180" s="250"/>
      <c r="G1180" s="471"/>
      <c r="H1180" s="250"/>
      <c r="I1180" s="471"/>
    </row>
    <row r="1181" spans="1:9" ht="12.75">
      <c r="A1181" s="717"/>
      <c r="B1181" s="718"/>
      <c r="C1181" s="250"/>
      <c r="D1181" s="250"/>
      <c r="E1181" s="250"/>
      <c r="F1181" s="250"/>
      <c r="G1181" s="471"/>
      <c r="H1181" s="250"/>
      <c r="I1181" s="471"/>
    </row>
    <row r="1182" spans="1:9" ht="12.75">
      <c r="A1182" s="717"/>
      <c r="B1182" s="718"/>
      <c r="C1182" s="250"/>
      <c r="D1182" s="250"/>
      <c r="E1182" s="250"/>
      <c r="F1182" s="250"/>
      <c r="G1182" s="471"/>
      <c r="H1182" s="250"/>
      <c r="I1182" s="471"/>
    </row>
    <row r="1183" spans="1:9" ht="12.75">
      <c r="A1183" s="717"/>
      <c r="B1183" s="718"/>
      <c r="C1183" s="250"/>
      <c r="D1183" s="250"/>
      <c r="E1183" s="250"/>
      <c r="F1183" s="250"/>
      <c r="G1183" s="471"/>
      <c r="H1183" s="250"/>
      <c r="I1183" s="471"/>
    </row>
    <row r="1184" spans="1:9" ht="12.75">
      <c r="A1184" s="717"/>
      <c r="B1184" s="718"/>
      <c r="C1184" s="250"/>
      <c r="D1184" s="250"/>
      <c r="E1184" s="250"/>
      <c r="F1184" s="250"/>
      <c r="G1184" s="471"/>
      <c r="H1184" s="250"/>
      <c r="I1184" s="471"/>
    </row>
    <row r="1185" spans="1:9" ht="12.75">
      <c r="A1185" s="717"/>
      <c r="B1185" s="718"/>
      <c r="C1185" s="250"/>
      <c r="D1185" s="250"/>
      <c r="E1185" s="250"/>
      <c r="F1185" s="250"/>
      <c r="G1185" s="471"/>
      <c r="H1185" s="250"/>
      <c r="I1185" s="471"/>
    </row>
    <row r="1186" spans="1:9" ht="12.75">
      <c r="A1186" s="717"/>
      <c r="B1186" s="718"/>
      <c r="C1186" s="250"/>
      <c r="D1186" s="250"/>
      <c r="E1186" s="250"/>
      <c r="F1186" s="250"/>
      <c r="G1186" s="471"/>
      <c r="H1186" s="250"/>
      <c r="I1186" s="471"/>
    </row>
    <row r="1187" spans="1:9" ht="12.75">
      <c r="A1187" s="717"/>
      <c r="B1187" s="718"/>
      <c r="C1187" s="250"/>
      <c r="D1187" s="250"/>
      <c r="E1187" s="250"/>
      <c r="F1187" s="250"/>
      <c r="G1187" s="471"/>
      <c r="H1187" s="250"/>
      <c r="I1187" s="471"/>
    </row>
    <row r="1188" spans="1:9" ht="12.75">
      <c r="A1188" s="717"/>
      <c r="B1188" s="718"/>
      <c r="C1188" s="250"/>
      <c r="D1188" s="250"/>
      <c r="E1188" s="250"/>
      <c r="F1188" s="250"/>
      <c r="G1188" s="471"/>
      <c r="H1188" s="250"/>
      <c r="I1188" s="471"/>
    </row>
    <row r="1189" spans="1:9" ht="12.75">
      <c r="A1189" s="717"/>
      <c r="B1189" s="718"/>
      <c r="C1189" s="250"/>
      <c r="D1189" s="250"/>
      <c r="E1189" s="250"/>
      <c r="F1189" s="250"/>
      <c r="G1189" s="471"/>
      <c r="H1189" s="250"/>
      <c r="I1189" s="471"/>
    </row>
    <row r="1190" spans="1:9" ht="12.75">
      <c r="A1190" s="717"/>
      <c r="B1190" s="718"/>
      <c r="C1190" s="250"/>
      <c r="D1190" s="250"/>
      <c r="E1190" s="250"/>
      <c r="F1190" s="250"/>
      <c r="G1190" s="471"/>
      <c r="H1190" s="250"/>
      <c r="I1190" s="471"/>
    </row>
    <row r="1191" spans="1:9" ht="12.75">
      <c r="A1191" s="717"/>
      <c r="B1191" s="718"/>
      <c r="C1191" s="250"/>
      <c r="D1191" s="250"/>
      <c r="E1191" s="250"/>
      <c r="F1191" s="250"/>
      <c r="G1191" s="471"/>
      <c r="H1191" s="250"/>
      <c r="I1191" s="471"/>
    </row>
    <row r="1192" spans="1:9" ht="12.75">
      <c r="A1192" s="717"/>
      <c r="B1192" s="718"/>
      <c r="C1192" s="250"/>
      <c r="D1192" s="250"/>
      <c r="E1192" s="250"/>
      <c r="F1192" s="250"/>
      <c r="G1192" s="471"/>
      <c r="H1192" s="250"/>
      <c r="I1192" s="471"/>
    </row>
    <row r="1193" spans="1:9" ht="12.75">
      <c r="A1193" s="717"/>
      <c r="B1193" s="718"/>
      <c r="C1193" s="250"/>
      <c r="D1193" s="250"/>
      <c r="E1193" s="250"/>
      <c r="F1193" s="250"/>
      <c r="G1193" s="471"/>
      <c r="H1193" s="250"/>
      <c r="I1193" s="471"/>
    </row>
    <row r="1194" spans="1:9" ht="12.75">
      <c r="A1194" s="717"/>
      <c r="B1194" s="718"/>
      <c r="C1194" s="250"/>
      <c r="D1194" s="250"/>
      <c r="E1194" s="250"/>
      <c r="F1194" s="250"/>
      <c r="G1194" s="471"/>
      <c r="H1194" s="250"/>
      <c r="I1194" s="471"/>
    </row>
    <row r="1195" spans="1:9" ht="12.75">
      <c r="A1195" s="717"/>
      <c r="B1195" s="718"/>
      <c r="C1195" s="250"/>
      <c r="D1195" s="250"/>
      <c r="E1195" s="250"/>
      <c r="F1195" s="250"/>
      <c r="G1195" s="471"/>
      <c r="H1195" s="250"/>
      <c r="I1195" s="471"/>
    </row>
    <row r="1196" spans="1:9" ht="12.75">
      <c r="A1196" s="717"/>
      <c r="B1196" s="718"/>
      <c r="C1196" s="250"/>
      <c r="D1196" s="250"/>
      <c r="E1196" s="250"/>
      <c r="F1196" s="250"/>
      <c r="G1196" s="471"/>
      <c r="H1196" s="250"/>
      <c r="I1196" s="471"/>
    </row>
    <row r="1197" spans="1:9" ht="12.75">
      <c r="A1197" s="717"/>
      <c r="B1197" s="718"/>
      <c r="C1197" s="250"/>
      <c r="D1197" s="250"/>
      <c r="E1197" s="250"/>
      <c r="F1197" s="250"/>
      <c r="G1197" s="471"/>
      <c r="H1197" s="250"/>
      <c r="I1197" s="471"/>
    </row>
    <row r="1198" spans="1:9" ht="12.75">
      <c r="A1198" s="717"/>
      <c r="B1198" s="718"/>
      <c r="C1198" s="250"/>
      <c r="D1198" s="250"/>
      <c r="E1198" s="250"/>
      <c r="F1198" s="250"/>
      <c r="G1198" s="471"/>
      <c r="H1198" s="250"/>
      <c r="I1198" s="471"/>
    </row>
    <row r="1199" spans="1:9" ht="12.75">
      <c r="A1199" s="717"/>
      <c r="B1199" s="718"/>
      <c r="C1199" s="250"/>
      <c r="D1199" s="250"/>
      <c r="E1199" s="250"/>
      <c r="F1199" s="250"/>
      <c r="G1199" s="471"/>
      <c r="H1199" s="250"/>
      <c r="I1199" s="471"/>
    </row>
    <row r="1200" spans="1:9" ht="12.75">
      <c r="A1200" s="717"/>
      <c r="B1200" s="718"/>
      <c r="C1200" s="250"/>
      <c r="D1200" s="250"/>
      <c r="E1200" s="250"/>
      <c r="F1200" s="250"/>
      <c r="G1200" s="471"/>
      <c r="H1200" s="250"/>
      <c r="I1200" s="471"/>
    </row>
    <row r="1201" spans="1:9" ht="12.75">
      <c r="A1201" s="717"/>
      <c r="B1201" s="718"/>
      <c r="C1201" s="250"/>
      <c r="D1201" s="250"/>
      <c r="E1201" s="250"/>
      <c r="F1201" s="250"/>
      <c r="G1201" s="471"/>
      <c r="H1201" s="250"/>
      <c r="I1201" s="471"/>
    </row>
    <row r="1202" spans="1:9" ht="12.75">
      <c r="A1202" s="717"/>
      <c r="B1202" s="718"/>
      <c r="C1202" s="250"/>
      <c r="D1202" s="250"/>
      <c r="E1202" s="250"/>
      <c r="F1202" s="250"/>
      <c r="G1202" s="471"/>
      <c r="H1202" s="250"/>
      <c r="I1202" s="471"/>
    </row>
    <row r="1203" spans="1:9" ht="12.75">
      <c r="A1203" s="717"/>
      <c r="B1203" s="718"/>
      <c r="C1203" s="250"/>
      <c r="D1203" s="250"/>
      <c r="E1203" s="250"/>
      <c r="F1203" s="250"/>
      <c r="G1203" s="471"/>
      <c r="H1203" s="250"/>
      <c r="I1203" s="471"/>
    </row>
    <row r="1204" spans="1:9" ht="12.75">
      <c r="A1204" s="717"/>
      <c r="B1204" s="718"/>
      <c r="C1204" s="250"/>
      <c r="D1204" s="250"/>
      <c r="E1204" s="250"/>
      <c r="F1204" s="250"/>
      <c r="G1204" s="471"/>
      <c r="H1204" s="250"/>
      <c r="I1204" s="471"/>
    </row>
    <row r="1205" spans="1:9" ht="12.75">
      <c r="A1205" s="717"/>
      <c r="B1205" s="718"/>
      <c r="C1205" s="250"/>
      <c r="D1205" s="250"/>
      <c r="E1205" s="250"/>
      <c r="F1205" s="250"/>
      <c r="G1205" s="471"/>
      <c r="H1205" s="250"/>
      <c r="I1205" s="471"/>
    </row>
    <row r="1206" spans="1:9" ht="12.75">
      <c r="A1206" s="717"/>
      <c r="B1206" s="718"/>
      <c r="C1206" s="250"/>
      <c r="D1206" s="250"/>
      <c r="E1206" s="250"/>
      <c r="F1206" s="250"/>
      <c r="G1206" s="471"/>
      <c r="H1206" s="250"/>
      <c r="I1206" s="471"/>
    </row>
    <row r="1207" spans="1:9" ht="12.75">
      <c r="A1207" s="717"/>
      <c r="B1207" s="718"/>
      <c r="C1207" s="250"/>
      <c r="D1207" s="250"/>
      <c r="E1207" s="250"/>
      <c r="F1207" s="250"/>
      <c r="G1207" s="471"/>
      <c r="H1207" s="250"/>
      <c r="I1207" s="471"/>
    </row>
    <row r="1208" spans="1:9" ht="12.75">
      <c r="A1208" s="717"/>
      <c r="B1208" s="718"/>
      <c r="C1208" s="250"/>
      <c r="D1208" s="250"/>
      <c r="E1208" s="250"/>
      <c r="F1208" s="250"/>
      <c r="G1208" s="471"/>
      <c r="H1208" s="250"/>
      <c r="I1208" s="471"/>
    </row>
    <row r="1209" spans="1:9" ht="12.75">
      <c r="A1209" s="717"/>
      <c r="B1209" s="718"/>
      <c r="C1209" s="250"/>
      <c r="D1209" s="250"/>
      <c r="E1209" s="250"/>
      <c r="F1209" s="250"/>
      <c r="G1209" s="471"/>
      <c r="H1209" s="250"/>
      <c r="I1209" s="471"/>
    </row>
    <row r="1210" spans="1:9" ht="12.75">
      <c r="A1210" s="717"/>
      <c r="B1210" s="718"/>
      <c r="C1210" s="250"/>
      <c r="D1210" s="250"/>
      <c r="E1210" s="250"/>
      <c r="F1210" s="250"/>
      <c r="G1210" s="471"/>
      <c r="H1210" s="250"/>
      <c r="I1210" s="471"/>
    </row>
    <row r="1211" spans="1:9" ht="12.75">
      <c r="A1211" s="717"/>
      <c r="B1211" s="718"/>
      <c r="C1211" s="250"/>
      <c r="D1211" s="250"/>
      <c r="E1211" s="250"/>
      <c r="F1211" s="250"/>
      <c r="G1211" s="471"/>
      <c r="H1211" s="250"/>
      <c r="I1211" s="471"/>
    </row>
    <row r="1212" spans="1:9" ht="12.75">
      <c r="A1212" s="717"/>
      <c r="B1212" s="718"/>
      <c r="C1212" s="250"/>
      <c r="D1212" s="250"/>
      <c r="E1212" s="250"/>
      <c r="F1212" s="250"/>
      <c r="G1212" s="471"/>
      <c r="H1212" s="250"/>
      <c r="I1212" s="471"/>
    </row>
    <row r="1213" spans="1:9" ht="12.75">
      <c r="A1213" s="717"/>
      <c r="B1213" s="718"/>
      <c r="C1213" s="250"/>
      <c r="D1213" s="250"/>
      <c r="E1213" s="250"/>
      <c r="F1213" s="250"/>
      <c r="G1213" s="471"/>
      <c r="H1213" s="250"/>
      <c r="I1213" s="471"/>
    </row>
    <row r="1214" spans="1:9" ht="12.75">
      <c r="A1214" s="717"/>
      <c r="B1214" s="718"/>
      <c r="C1214" s="250"/>
      <c r="D1214" s="250"/>
      <c r="E1214" s="250"/>
      <c r="F1214" s="250"/>
      <c r="G1214" s="471"/>
      <c r="H1214" s="250"/>
      <c r="I1214" s="471"/>
    </row>
    <row r="1215" spans="1:9" ht="12.75">
      <c r="A1215" s="717"/>
      <c r="B1215" s="718"/>
      <c r="C1215" s="250"/>
      <c r="D1215" s="250"/>
      <c r="E1215" s="250"/>
      <c r="F1215" s="250"/>
      <c r="G1215" s="471"/>
      <c r="H1215" s="250"/>
      <c r="I1215" s="471"/>
    </row>
    <row r="1216" spans="1:9" ht="12.75">
      <c r="A1216" s="717"/>
      <c r="B1216" s="718"/>
      <c r="C1216" s="250"/>
      <c r="D1216" s="250"/>
      <c r="E1216" s="250"/>
      <c r="F1216" s="250"/>
      <c r="G1216" s="471"/>
      <c r="H1216" s="250"/>
      <c r="I1216" s="471"/>
    </row>
    <row r="1217" spans="1:9" ht="12.75">
      <c r="A1217" s="717"/>
      <c r="B1217" s="718"/>
      <c r="C1217" s="250"/>
      <c r="D1217" s="250"/>
      <c r="E1217" s="250"/>
      <c r="F1217" s="250"/>
      <c r="G1217" s="471"/>
      <c r="H1217" s="250"/>
      <c r="I1217" s="471"/>
    </row>
    <row r="1218" spans="1:9" ht="12.75">
      <c r="A1218" s="717"/>
      <c r="B1218" s="718"/>
      <c r="C1218" s="250"/>
      <c r="D1218" s="250"/>
      <c r="E1218" s="250"/>
      <c r="F1218" s="250"/>
      <c r="G1218" s="471"/>
      <c r="H1218" s="250"/>
      <c r="I1218" s="471"/>
    </row>
    <row r="1219" spans="1:9" ht="12.75">
      <c r="A1219" s="717"/>
      <c r="B1219" s="718"/>
      <c r="C1219" s="250"/>
      <c r="D1219" s="250"/>
      <c r="E1219" s="250"/>
      <c r="F1219" s="250"/>
      <c r="G1219" s="471"/>
      <c r="H1219" s="250"/>
      <c r="I1219" s="471"/>
    </row>
    <row r="1220" spans="1:9" ht="12.75">
      <c r="A1220" s="717"/>
      <c r="B1220" s="718"/>
      <c r="C1220" s="250"/>
      <c r="D1220" s="250"/>
      <c r="E1220" s="250"/>
      <c r="F1220" s="250"/>
      <c r="G1220" s="471"/>
      <c r="H1220" s="250"/>
      <c r="I1220" s="471"/>
    </row>
    <row r="1221" spans="1:9" ht="12.75">
      <c r="A1221" s="717"/>
      <c r="B1221" s="718"/>
      <c r="C1221" s="250"/>
      <c r="D1221" s="250"/>
      <c r="E1221" s="250"/>
      <c r="F1221" s="250"/>
      <c r="G1221" s="471"/>
      <c r="H1221" s="250"/>
      <c r="I1221" s="471"/>
    </row>
    <row r="1222" spans="1:9" ht="12.75">
      <c r="A1222" s="717"/>
      <c r="B1222" s="718"/>
      <c r="C1222" s="250"/>
      <c r="D1222" s="250"/>
      <c r="E1222" s="250"/>
      <c r="F1222" s="250"/>
      <c r="G1222" s="471"/>
      <c r="H1222" s="250"/>
      <c r="I1222" s="471"/>
    </row>
    <row r="1223" spans="1:9" ht="12.75">
      <c r="A1223" s="717"/>
      <c r="B1223" s="718"/>
      <c r="C1223" s="250"/>
      <c r="D1223" s="250"/>
      <c r="E1223" s="250"/>
      <c r="F1223" s="250"/>
      <c r="G1223" s="471"/>
      <c r="H1223" s="250"/>
      <c r="I1223" s="471"/>
    </row>
    <row r="1224" spans="1:9" ht="12.75">
      <c r="A1224" s="717"/>
      <c r="B1224" s="718"/>
      <c r="C1224" s="250"/>
      <c r="D1224" s="250"/>
      <c r="E1224" s="250"/>
      <c r="F1224" s="250"/>
      <c r="G1224" s="471"/>
      <c r="H1224" s="250"/>
      <c r="I1224" s="471"/>
    </row>
    <row r="1225" spans="1:9" ht="12.75">
      <c r="A1225" s="717"/>
      <c r="B1225" s="718"/>
      <c r="C1225" s="250"/>
      <c r="D1225" s="250"/>
      <c r="E1225" s="250"/>
      <c r="F1225" s="250"/>
      <c r="G1225" s="471"/>
      <c r="H1225" s="250"/>
      <c r="I1225" s="471"/>
    </row>
    <row r="1226" spans="1:9" ht="12.75">
      <c r="A1226" s="717"/>
      <c r="B1226" s="718"/>
      <c r="C1226" s="250"/>
      <c r="D1226" s="250"/>
      <c r="E1226" s="250"/>
      <c r="F1226" s="250"/>
      <c r="G1226" s="471"/>
      <c r="H1226" s="250"/>
      <c r="I1226" s="471"/>
    </row>
    <row r="1227" spans="1:9" ht="12.75">
      <c r="A1227" s="717"/>
      <c r="B1227" s="718"/>
      <c r="C1227" s="250"/>
      <c r="D1227" s="250"/>
      <c r="E1227" s="250"/>
      <c r="F1227" s="250"/>
      <c r="G1227" s="471"/>
      <c r="H1227" s="250"/>
      <c r="I1227" s="471"/>
    </row>
    <row r="1228" spans="1:9" ht="12.75">
      <c r="A1228" s="717"/>
      <c r="B1228" s="718"/>
      <c r="C1228" s="250"/>
      <c r="D1228" s="250"/>
      <c r="E1228" s="250"/>
      <c r="F1228" s="250"/>
      <c r="G1228" s="471"/>
      <c r="H1228" s="250"/>
      <c r="I1228" s="471"/>
    </row>
    <row r="1229" spans="1:9" ht="12.75">
      <c r="A1229" s="717"/>
      <c r="B1229" s="718"/>
      <c r="C1229" s="250"/>
      <c r="D1229" s="250"/>
      <c r="E1229" s="250"/>
      <c r="F1229" s="250"/>
      <c r="G1229" s="471"/>
      <c r="H1229" s="250"/>
      <c r="I1229" s="471"/>
    </row>
    <row r="1230" spans="1:9" ht="12.75">
      <c r="A1230" s="717"/>
      <c r="B1230" s="718"/>
      <c r="C1230" s="250"/>
      <c r="D1230" s="250"/>
      <c r="E1230" s="250"/>
      <c r="F1230" s="250"/>
      <c r="G1230" s="471"/>
      <c r="H1230" s="250"/>
      <c r="I1230" s="471"/>
    </row>
    <row r="1231" spans="1:9" ht="12.75">
      <c r="A1231" s="717"/>
      <c r="B1231" s="718"/>
      <c r="C1231" s="250"/>
      <c r="D1231" s="250"/>
      <c r="E1231" s="250"/>
      <c r="F1231" s="250"/>
      <c r="G1231" s="471"/>
      <c r="H1231" s="250"/>
      <c r="I1231" s="471"/>
    </row>
    <row r="1232" spans="1:9" ht="12.75">
      <c r="A1232" s="717"/>
      <c r="B1232" s="718"/>
      <c r="C1232" s="250"/>
      <c r="D1232" s="250"/>
      <c r="E1232" s="250"/>
      <c r="F1232" s="250"/>
      <c r="G1232" s="471"/>
      <c r="H1232" s="250"/>
      <c r="I1232" s="471"/>
    </row>
    <row r="1233" spans="1:9" ht="12.75">
      <c r="A1233" s="717"/>
      <c r="B1233" s="718"/>
      <c r="C1233" s="250"/>
      <c r="D1233" s="250"/>
      <c r="E1233" s="250"/>
      <c r="F1233" s="250"/>
      <c r="G1233" s="471"/>
      <c r="H1233" s="250"/>
      <c r="I1233" s="471"/>
    </row>
    <row r="1234" spans="1:9" ht="12.75">
      <c r="A1234" s="717"/>
      <c r="B1234" s="718"/>
      <c r="C1234" s="250"/>
      <c r="D1234" s="250"/>
      <c r="E1234" s="250"/>
      <c r="F1234" s="250"/>
      <c r="G1234" s="471"/>
      <c r="H1234" s="250"/>
      <c r="I1234" s="471"/>
    </row>
    <row r="1235" spans="1:9" ht="12.75">
      <c r="A1235" s="717"/>
      <c r="B1235" s="718"/>
      <c r="C1235" s="250"/>
      <c r="D1235" s="250"/>
      <c r="E1235" s="250"/>
      <c r="F1235" s="250"/>
      <c r="G1235" s="471"/>
      <c r="H1235" s="250"/>
      <c r="I1235" s="471"/>
    </row>
    <row r="1236" spans="1:9" ht="12.75">
      <c r="A1236" s="717"/>
      <c r="B1236" s="718"/>
      <c r="C1236" s="250"/>
      <c r="D1236" s="250"/>
      <c r="E1236" s="250"/>
      <c r="F1236" s="250"/>
      <c r="G1236" s="471"/>
      <c r="H1236" s="250"/>
      <c r="I1236" s="471"/>
    </row>
    <row r="1237" spans="1:9" ht="12.75">
      <c r="A1237" s="717"/>
      <c r="B1237" s="718"/>
      <c r="C1237" s="250"/>
      <c r="D1237" s="250"/>
      <c r="E1237" s="250"/>
      <c r="F1237" s="250"/>
      <c r="G1237" s="471"/>
      <c r="H1237" s="250"/>
      <c r="I1237" s="471"/>
    </row>
    <row r="1238" spans="1:9" ht="12.75">
      <c r="A1238" s="717"/>
      <c r="B1238" s="718"/>
      <c r="C1238" s="250"/>
      <c r="D1238" s="250"/>
      <c r="E1238" s="250"/>
      <c r="F1238" s="250"/>
      <c r="G1238" s="471"/>
      <c r="H1238" s="250"/>
      <c r="I1238" s="471"/>
    </row>
    <row r="1239" spans="1:9" ht="12.75">
      <c r="A1239" s="717"/>
      <c r="B1239" s="718"/>
      <c r="C1239" s="250"/>
      <c r="D1239" s="250"/>
      <c r="E1239" s="250"/>
      <c r="F1239" s="250"/>
      <c r="G1239" s="471"/>
      <c r="H1239" s="250"/>
      <c r="I1239" s="471"/>
    </row>
    <row r="1240" spans="1:9" ht="12.75">
      <c r="A1240" s="717"/>
      <c r="B1240" s="718"/>
      <c r="C1240" s="250"/>
      <c r="D1240" s="250"/>
      <c r="E1240" s="250"/>
      <c r="F1240" s="250"/>
      <c r="G1240" s="471"/>
      <c r="H1240" s="250"/>
      <c r="I1240" s="471"/>
    </row>
    <row r="1241" spans="1:9" ht="12.75">
      <c r="A1241" s="717"/>
      <c r="B1241" s="718"/>
      <c r="C1241" s="250"/>
      <c r="D1241" s="250"/>
      <c r="E1241" s="250"/>
      <c r="F1241" s="250"/>
      <c r="G1241" s="471"/>
      <c r="H1241" s="250"/>
      <c r="I1241" s="471"/>
    </row>
    <row r="1242" spans="1:9" ht="12.75">
      <c r="A1242" s="717"/>
      <c r="B1242" s="718"/>
      <c r="C1242" s="250"/>
      <c r="D1242" s="250"/>
      <c r="E1242" s="250"/>
      <c r="F1242" s="250"/>
      <c r="G1242" s="471"/>
      <c r="H1242" s="250"/>
      <c r="I1242" s="471"/>
    </row>
    <row r="1243" spans="1:9" ht="12.75">
      <c r="A1243" s="717"/>
      <c r="B1243" s="718"/>
      <c r="C1243" s="250"/>
      <c r="D1243" s="250"/>
      <c r="E1243" s="250"/>
      <c r="F1243" s="250"/>
      <c r="G1243" s="471"/>
      <c r="H1243" s="250"/>
      <c r="I1243" s="471"/>
    </row>
    <row r="1244" spans="1:9" ht="12.75">
      <c r="A1244" s="717"/>
      <c r="B1244" s="718"/>
      <c r="C1244" s="250"/>
      <c r="D1244" s="250"/>
      <c r="E1244" s="250"/>
      <c r="F1244" s="250"/>
      <c r="G1244" s="471"/>
      <c r="H1244" s="250"/>
      <c r="I1244" s="471"/>
    </row>
    <row r="1245" spans="1:9" ht="12.75">
      <c r="A1245" s="717"/>
      <c r="B1245" s="718"/>
      <c r="C1245" s="250"/>
      <c r="D1245" s="250"/>
      <c r="E1245" s="250"/>
      <c r="F1245" s="250"/>
      <c r="G1245" s="471"/>
      <c r="H1245" s="250"/>
      <c r="I1245" s="471"/>
    </row>
    <row r="1246" spans="1:9" ht="12.75">
      <c r="A1246" s="717"/>
      <c r="B1246" s="718"/>
      <c r="C1246" s="250"/>
      <c r="D1246" s="250"/>
      <c r="E1246" s="250"/>
      <c r="F1246" s="250"/>
      <c r="G1246" s="471"/>
      <c r="H1246" s="250"/>
      <c r="I1246" s="471"/>
    </row>
    <row r="1247" spans="1:9" ht="12.75">
      <c r="A1247" s="717"/>
      <c r="B1247" s="718"/>
      <c r="C1247" s="250"/>
      <c r="D1247" s="250"/>
      <c r="E1247" s="250"/>
      <c r="F1247" s="250"/>
      <c r="G1247" s="471"/>
      <c r="H1247" s="250"/>
      <c r="I1247" s="471"/>
    </row>
    <row r="1248" spans="1:9" ht="12.75">
      <c r="A1248" s="717"/>
      <c r="B1248" s="718"/>
      <c r="C1248" s="250"/>
      <c r="D1248" s="250"/>
      <c r="E1248" s="250"/>
      <c r="F1248" s="250"/>
      <c r="G1248" s="471"/>
      <c r="H1248" s="250"/>
      <c r="I1248" s="471"/>
    </row>
    <row r="1249" spans="1:9" ht="12.75">
      <c r="A1249" s="717"/>
      <c r="B1249" s="718"/>
      <c r="C1249" s="250"/>
      <c r="D1249" s="250"/>
      <c r="E1249" s="250"/>
      <c r="F1249" s="250"/>
      <c r="G1249" s="471"/>
      <c r="H1249" s="250"/>
      <c r="I1249" s="471"/>
    </row>
    <row r="1250" spans="1:9" ht="12.75">
      <c r="A1250" s="717"/>
      <c r="B1250" s="718"/>
      <c r="C1250" s="250"/>
      <c r="D1250" s="250"/>
      <c r="E1250" s="250"/>
      <c r="F1250" s="250"/>
      <c r="G1250" s="471"/>
      <c r="H1250" s="250"/>
      <c r="I1250" s="471"/>
    </row>
    <row r="1251" spans="1:9" ht="12.75">
      <c r="A1251" s="717"/>
      <c r="B1251" s="718"/>
      <c r="C1251" s="250"/>
      <c r="D1251" s="250"/>
      <c r="E1251" s="250"/>
      <c r="F1251" s="250"/>
      <c r="G1251" s="471"/>
      <c r="H1251" s="250"/>
      <c r="I1251" s="471"/>
    </row>
    <row r="1252" spans="1:9" ht="12.75">
      <c r="A1252" s="717"/>
      <c r="B1252" s="718"/>
      <c r="C1252" s="250"/>
      <c r="D1252" s="250"/>
      <c r="E1252" s="250"/>
      <c r="F1252" s="250"/>
      <c r="G1252" s="471"/>
      <c r="H1252" s="250"/>
      <c r="I1252" s="471"/>
    </row>
    <row r="1253" spans="1:9" ht="12.75">
      <c r="A1253" s="717"/>
      <c r="B1253" s="718"/>
      <c r="C1253" s="250"/>
      <c r="D1253" s="250"/>
      <c r="E1253" s="250"/>
      <c r="F1253" s="250"/>
      <c r="G1253" s="471"/>
      <c r="H1253" s="250"/>
      <c r="I1253" s="471"/>
    </row>
    <row r="1254" spans="1:9" ht="12.75">
      <c r="A1254" s="717"/>
      <c r="B1254" s="718"/>
      <c r="C1254" s="250"/>
      <c r="D1254" s="250"/>
      <c r="E1254" s="250"/>
      <c r="F1254" s="250"/>
      <c r="G1254" s="471"/>
      <c r="H1254" s="250"/>
      <c r="I1254" s="471"/>
    </row>
    <row r="1255" spans="1:9" ht="12.75">
      <c r="A1255" s="717"/>
      <c r="B1255" s="718"/>
      <c r="C1255" s="250"/>
      <c r="D1255" s="250"/>
      <c r="E1255" s="250"/>
      <c r="F1255" s="250"/>
      <c r="G1255" s="471"/>
      <c r="H1255" s="250"/>
      <c r="I1255" s="471"/>
    </row>
    <row r="1256" spans="1:9" ht="12.75">
      <c r="A1256" s="717"/>
      <c r="B1256" s="718"/>
      <c r="C1256" s="250"/>
      <c r="D1256" s="250"/>
      <c r="E1256" s="250"/>
      <c r="F1256" s="250"/>
      <c r="G1256" s="471"/>
      <c r="H1256" s="250"/>
      <c r="I1256" s="471"/>
    </row>
    <row r="1257" spans="1:9" ht="12.75">
      <c r="A1257" s="717"/>
      <c r="B1257" s="718"/>
      <c r="C1257" s="250"/>
      <c r="D1257" s="250"/>
      <c r="E1257" s="250"/>
      <c r="F1257" s="250"/>
      <c r="G1257" s="471"/>
      <c r="H1257" s="250"/>
      <c r="I1257" s="471"/>
    </row>
    <row r="1258" spans="1:9" ht="12.75">
      <c r="A1258" s="717"/>
      <c r="B1258" s="718"/>
      <c r="C1258" s="250"/>
      <c r="D1258" s="250"/>
      <c r="E1258" s="250"/>
      <c r="F1258" s="250"/>
      <c r="G1258" s="471"/>
      <c r="H1258" s="250"/>
      <c r="I1258" s="471"/>
    </row>
    <row r="1259" spans="1:9" ht="12.75">
      <c r="A1259" s="717"/>
      <c r="B1259" s="718"/>
      <c r="C1259" s="250"/>
      <c r="D1259" s="250"/>
      <c r="E1259" s="250"/>
      <c r="F1259" s="250"/>
      <c r="G1259" s="471"/>
      <c r="H1259" s="250"/>
      <c r="I1259" s="471"/>
    </row>
    <row r="1260" spans="1:9" ht="12.75">
      <c r="A1260" s="717"/>
      <c r="B1260" s="718"/>
      <c r="C1260" s="250"/>
      <c r="D1260" s="250"/>
      <c r="E1260" s="250"/>
      <c r="F1260" s="250"/>
      <c r="G1260" s="471"/>
      <c r="H1260" s="250"/>
      <c r="I1260" s="471"/>
    </row>
    <row r="1261" spans="1:9" ht="12.75">
      <c r="A1261" s="717"/>
      <c r="B1261" s="718"/>
      <c r="C1261" s="250"/>
      <c r="D1261" s="250"/>
      <c r="E1261" s="250"/>
      <c r="F1261" s="250"/>
      <c r="G1261" s="471"/>
      <c r="H1261" s="250"/>
      <c r="I1261" s="471"/>
    </row>
    <row r="1262" spans="1:9" ht="12.75">
      <c r="A1262" s="717"/>
      <c r="B1262" s="718"/>
      <c r="C1262" s="250"/>
      <c r="D1262" s="250"/>
      <c r="E1262" s="250"/>
      <c r="F1262" s="250"/>
      <c r="G1262" s="471"/>
      <c r="H1262" s="250"/>
      <c r="I1262" s="471"/>
    </row>
    <row r="1263" spans="1:9" ht="12.75">
      <c r="A1263" s="717"/>
      <c r="B1263" s="718"/>
      <c r="C1263" s="250"/>
      <c r="D1263" s="250"/>
      <c r="E1263" s="250"/>
      <c r="F1263" s="250"/>
      <c r="G1263" s="471"/>
      <c r="H1263" s="250"/>
      <c r="I1263" s="471"/>
    </row>
    <row r="1264" spans="1:9" ht="12.75">
      <c r="A1264" s="717"/>
      <c r="B1264" s="718"/>
      <c r="C1264" s="250"/>
      <c r="D1264" s="250"/>
      <c r="E1264" s="250"/>
      <c r="F1264" s="250"/>
      <c r="G1264" s="471"/>
      <c r="H1264" s="250"/>
      <c r="I1264" s="471"/>
    </row>
    <row r="1265" spans="1:9" ht="12.75">
      <c r="A1265" s="717"/>
      <c r="B1265" s="718"/>
      <c r="C1265" s="250"/>
      <c r="D1265" s="250"/>
      <c r="E1265" s="250"/>
      <c r="F1265" s="250"/>
      <c r="G1265" s="471"/>
      <c r="H1265" s="250"/>
      <c r="I1265" s="471"/>
    </row>
    <row r="1266" spans="1:9" ht="12.75">
      <c r="A1266" s="717"/>
      <c r="B1266" s="718"/>
      <c r="C1266" s="250"/>
      <c r="D1266" s="250"/>
      <c r="E1266" s="250"/>
      <c r="F1266" s="250"/>
      <c r="G1266" s="471"/>
      <c r="H1266" s="250"/>
      <c r="I1266" s="471"/>
    </row>
    <row r="1267" spans="1:9" ht="12.75">
      <c r="A1267" s="717"/>
      <c r="B1267" s="718"/>
      <c r="C1267" s="250"/>
      <c r="D1267" s="250"/>
      <c r="E1267" s="250"/>
      <c r="F1267" s="250"/>
      <c r="G1267" s="471"/>
      <c r="H1267" s="250"/>
      <c r="I1267" s="471"/>
    </row>
    <row r="1268" spans="1:9" ht="12.75">
      <c r="A1268" s="717"/>
      <c r="B1268" s="718"/>
      <c r="C1268" s="250"/>
      <c r="D1268" s="250"/>
      <c r="E1268" s="250"/>
      <c r="F1268" s="250"/>
      <c r="G1268" s="471"/>
      <c r="H1268" s="250"/>
      <c r="I1268" s="471"/>
    </row>
    <row r="1269" spans="1:9" ht="12.75">
      <c r="A1269" s="717"/>
      <c r="B1269" s="718"/>
      <c r="C1269" s="250"/>
      <c r="D1269" s="250"/>
      <c r="E1269" s="250"/>
      <c r="F1269" s="250"/>
      <c r="G1269" s="471"/>
      <c r="H1269" s="250"/>
      <c r="I1269" s="471"/>
    </row>
    <row r="1270" spans="1:9" ht="12.75">
      <c r="A1270" s="717"/>
      <c r="B1270" s="718"/>
      <c r="C1270" s="250"/>
      <c r="D1270" s="250"/>
      <c r="E1270" s="250"/>
      <c r="F1270" s="250"/>
      <c r="G1270" s="471"/>
      <c r="H1270" s="250"/>
      <c r="I1270" s="471"/>
    </row>
    <row r="1271" spans="1:9" ht="12.75">
      <c r="A1271" s="717"/>
      <c r="B1271" s="718"/>
      <c r="C1271" s="250"/>
      <c r="D1271" s="250"/>
      <c r="E1271" s="250"/>
      <c r="F1271" s="250"/>
      <c r="G1271" s="471"/>
      <c r="H1271" s="250"/>
      <c r="I1271" s="471"/>
    </row>
    <row r="1272" spans="1:9" ht="12.75">
      <c r="A1272" s="717"/>
      <c r="B1272" s="718"/>
      <c r="C1272" s="250"/>
      <c r="D1272" s="250"/>
      <c r="E1272" s="250"/>
      <c r="F1272" s="250"/>
      <c r="G1272" s="471"/>
      <c r="H1272" s="250"/>
      <c r="I1272" s="471"/>
    </row>
    <row r="1273" spans="1:9" ht="12.75">
      <c r="A1273" s="717"/>
      <c r="B1273" s="718"/>
      <c r="C1273" s="250"/>
      <c r="D1273" s="250"/>
      <c r="E1273" s="250"/>
      <c r="F1273" s="250"/>
      <c r="G1273" s="471"/>
      <c r="H1273" s="250"/>
      <c r="I1273" s="471"/>
    </row>
    <row r="1274" spans="1:9" ht="12.75">
      <c r="A1274" s="717"/>
      <c r="B1274" s="718"/>
      <c r="C1274" s="250"/>
      <c r="D1274" s="250"/>
      <c r="E1274" s="250"/>
      <c r="F1274" s="250"/>
      <c r="G1274" s="471"/>
      <c r="H1274" s="250"/>
      <c r="I1274" s="471"/>
    </row>
    <row r="1275" spans="1:9" ht="12.75">
      <c r="A1275" s="717"/>
      <c r="B1275" s="718"/>
      <c r="C1275" s="250"/>
      <c r="D1275" s="250"/>
      <c r="E1275" s="250"/>
      <c r="F1275" s="250"/>
      <c r="G1275" s="471"/>
      <c r="H1275" s="250"/>
      <c r="I1275" s="471"/>
    </row>
    <row r="1276" spans="1:9" ht="12.75">
      <c r="A1276" s="717"/>
      <c r="B1276" s="718"/>
      <c r="C1276" s="250"/>
      <c r="D1276" s="250"/>
      <c r="E1276" s="250"/>
      <c r="F1276" s="250"/>
      <c r="G1276" s="471"/>
      <c r="H1276" s="250"/>
      <c r="I1276" s="471"/>
    </row>
    <row r="1277" spans="1:9" ht="12.75">
      <c r="A1277" s="717"/>
      <c r="B1277" s="718"/>
      <c r="C1277" s="250"/>
      <c r="D1277" s="250"/>
      <c r="E1277" s="250"/>
      <c r="F1277" s="250"/>
      <c r="G1277" s="471"/>
      <c r="H1277" s="250"/>
      <c r="I1277" s="471"/>
    </row>
    <row r="1278" spans="1:9" ht="12.75">
      <c r="A1278" s="717"/>
      <c r="B1278" s="718"/>
      <c r="C1278" s="250"/>
      <c r="D1278" s="250"/>
      <c r="E1278" s="250"/>
      <c r="F1278" s="250"/>
      <c r="G1278" s="471"/>
      <c r="H1278" s="250"/>
      <c r="I1278" s="471"/>
    </row>
    <row r="1279" spans="1:9" ht="12.75">
      <c r="A1279" s="717"/>
      <c r="B1279" s="718"/>
      <c r="C1279" s="250"/>
      <c r="D1279" s="250"/>
      <c r="E1279" s="250"/>
      <c r="F1279" s="250"/>
      <c r="G1279" s="471"/>
      <c r="H1279" s="250"/>
      <c r="I1279" s="471"/>
    </row>
    <row r="1280" spans="1:9" ht="12.75">
      <c r="A1280" s="717"/>
      <c r="B1280" s="718"/>
      <c r="C1280" s="250"/>
      <c r="D1280" s="250"/>
      <c r="E1280" s="250"/>
      <c r="F1280" s="250"/>
      <c r="G1280" s="471"/>
      <c r="H1280" s="250"/>
      <c r="I1280" s="471"/>
    </row>
    <row r="1281" spans="1:9" ht="12.75">
      <c r="A1281" s="717"/>
      <c r="B1281" s="718"/>
      <c r="C1281" s="250"/>
      <c r="D1281" s="250"/>
      <c r="E1281" s="250"/>
      <c r="F1281" s="250"/>
      <c r="G1281" s="471"/>
      <c r="H1281" s="250"/>
      <c r="I1281" s="471"/>
    </row>
    <row r="1282" spans="1:9" ht="12.75">
      <c r="A1282" s="717"/>
      <c r="B1282" s="718"/>
      <c r="C1282" s="250"/>
      <c r="D1282" s="250"/>
      <c r="E1282" s="250"/>
      <c r="F1282" s="250"/>
      <c r="G1282" s="471"/>
      <c r="H1282" s="250"/>
      <c r="I1282" s="471"/>
    </row>
    <row r="1283" spans="1:9" ht="12.75">
      <c r="A1283" s="717"/>
      <c r="B1283" s="718"/>
      <c r="C1283" s="250"/>
      <c r="D1283" s="250"/>
      <c r="E1283" s="250"/>
      <c r="F1283" s="250"/>
      <c r="G1283" s="471"/>
      <c r="H1283" s="250"/>
      <c r="I1283" s="471"/>
    </row>
    <row r="1284" spans="1:9" ht="12.75">
      <c r="A1284" s="717"/>
      <c r="B1284" s="718"/>
      <c r="C1284" s="250"/>
      <c r="D1284" s="250"/>
      <c r="E1284" s="250"/>
      <c r="F1284" s="250"/>
      <c r="G1284" s="471"/>
      <c r="H1284" s="250"/>
      <c r="I1284" s="471"/>
    </row>
    <row r="1285" spans="1:9" ht="12.75">
      <c r="A1285" s="717"/>
      <c r="B1285" s="718"/>
      <c r="C1285" s="250"/>
      <c r="D1285" s="250"/>
      <c r="E1285" s="250"/>
      <c r="F1285" s="250"/>
      <c r="G1285" s="471"/>
      <c r="H1285" s="250"/>
      <c r="I1285" s="471"/>
    </row>
    <row r="1286" spans="1:9" ht="12.75">
      <c r="A1286" s="717"/>
      <c r="B1286" s="718"/>
      <c r="C1286" s="250"/>
      <c r="D1286" s="250"/>
      <c r="E1286" s="250"/>
      <c r="F1286" s="250"/>
      <c r="G1286" s="471"/>
      <c r="H1286" s="250"/>
      <c r="I1286" s="471"/>
    </row>
    <row r="1287" spans="1:9" ht="12.75">
      <c r="A1287" s="717"/>
      <c r="B1287" s="718"/>
      <c r="C1287" s="250"/>
      <c r="D1287" s="250"/>
      <c r="E1287" s="250"/>
      <c r="F1287" s="250"/>
      <c r="G1287" s="471"/>
      <c r="H1287" s="250"/>
      <c r="I1287" s="471"/>
    </row>
    <row r="1288" spans="1:9" ht="12.75">
      <c r="A1288" s="717"/>
      <c r="B1288" s="718"/>
      <c r="C1288" s="250"/>
      <c r="D1288" s="250"/>
      <c r="E1288" s="250"/>
      <c r="F1288" s="250"/>
      <c r="G1288" s="471"/>
      <c r="H1288" s="250"/>
      <c r="I1288" s="471"/>
    </row>
    <row r="1289" spans="1:9" ht="12.75">
      <c r="A1289" s="717"/>
      <c r="B1289" s="718"/>
      <c r="C1289" s="250"/>
      <c r="D1289" s="250"/>
      <c r="E1289" s="250"/>
      <c r="F1289" s="250"/>
      <c r="G1289" s="471"/>
      <c r="H1289" s="250"/>
      <c r="I1289" s="471"/>
    </row>
    <row r="1290" spans="1:9" ht="12.75">
      <c r="A1290" s="717"/>
      <c r="B1290" s="718"/>
      <c r="C1290" s="250"/>
      <c r="D1290" s="250"/>
      <c r="E1290" s="250"/>
      <c r="F1290" s="250"/>
      <c r="G1290" s="471"/>
      <c r="H1290" s="250"/>
      <c r="I1290" s="471"/>
    </row>
    <row r="1291" spans="1:9" ht="12.75">
      <c r="A1291" s="717"/>
      <c r="B1291" s="718"/>
      <c r="C1291" s="250"/>
      <c r="D1291" s="250"/>
      <c r="E1291" s="250"/>
      <c r="F1291" s="250"/>
      <c r="G1291" s="471"/>
      <c r="H1291" s="250"/>
      <c r="I1291" s="471"/>
    </row>
    <row r="1292" spans="1:9" ht="12.75">
      <c r="A1292" s="717"/>
      <c r="B1292" s="718"/>
      <c r="C1292" s="250"/>
      <c r="D1292" s="250"/>
      <c r="E1292" s="250"/>
      <c r="F1292" s="250"/>
      <c r="G1292" s="471"/>
      <c r="H1292" s="250"/>
      <c r="I1292" s="471"/>
    </row>
    <row r="1293" spans="1:9" ht="12.75">
      <c r="A1293" s="717"/>
      <c r="B1293" s="718"/>
      <c r="C1293" s="250"/>
      <c r="D1293" s="250"/>
      <c r="E1293" s="250"/>
      <c r="F1293" s="250"/>
      <c r="G1293" s="471"/>
      <c r="H1293" s="250"/>
      <c r="I1293" s="471"/>
    </row>
    <row r="1294" spans="1:9" ht="12.75">
      <c r="A1294" s="717"/>
      <c r="B1294" s="718"/>
      <c r="C1294" s="250"/>
      <c r="D1294" s="250"/>
      <c r="E1294" s="250"/>
      <c r="F1294" s="250"/>
      <c r="G1294" s="471"/>
      <c r="H1294" s="250"/>
      <c r="I1294" s="471"/>
    </row>
    <row r="1295" spans="1:9" ht="12.75">
      <c r="A1295" s="717"/>
      <c r="B1295" s="718"/>
      <c r="C1295" s="250"/>
      <c r="D1295" s="250"/>
      <c r="E1295" s="250"/>
      <c r="F1295" s="250"/>
      <c r="G1295" s="471"/>
      <c r="H1295" s="250"/>
      <c r="I1295" s="471"/>
    </row>
    <row r="1296" spans="1:9" ht="12.75">
      <c r="A1296" s="717"/>
      <c r="B1296" s="718"/>
      <c r="C1296" s="250"/>
      <c r="D1296" s="250"/>
      <c r="E1296" s="250"/>
      <c r="F1296" s="250"/>
      <c r="G1296" s="471"/>
      <c r="H1296" s="250"/>
      <c r="I1296" s="471"/>
    </row>
    <row r="1297" spans="1:9" ht="12.75">
      <c r="A1297" s="717"/>
      <c r="B1297" s="718"/>
      <c r="C1297" s="250"/>
      <c r="D1297" s="250"/>
      <c r="E1297" s="250"/>
      <c r="F1297" s="250"/>
      <c r="G1297" s="471"/>
      <c r="H1297" s="250"/>
      <c r="I1297" s="471"/>
    </row>
    <row r="1298" spans="1:9" ht="12.75">
      <c r="A1298" s="717"/>
      <c r="B1298" s="718"/>
      <c r="C1298" s="250"/>
      <c r="D1298" s="250"/>
      <c r="E1298" s="250"/>
      <c r="F1298" s="250"/>
      <c r="G1298" s="471"/>
      <c r="H1298" s="250"/>
      <c r="I1298" s="471"/>
    </row>
    <row r="1299" spans="1:9" ht="12.75">
      <c r="A1299" s="717"/>
      <c r="B1299" s="718"/>
      <c r="C1299" s="250"/>
      <c r="D1299" s="250"/>
      <c r="E1299" s="250"/>
      <c r="F1299" s="250"/>
      <c r="G1299" s="471"/>
      <c r="H1299" s="250"/>
      <c r="I1299" s="471"/>
    </row>
    <row r="1300" spans="1:9" ht="12.75">
      <c r="A1300" s="717"/>
      <c r="B1300" s="718"/>
      <c r="C1300" s="250"/>
      <c r="D1300" s="250"/>
      <c r="E1300" s="250"/>
      <c r="F1300" s="250"/>
      <c r="G1300" s="471"/>
      <c r="H1300" s="250"/>
      <c r="I1300" s="471"/>
    </row>
    <row r="1301" spans="1:9" ht="12.75">
      <c r="A1301" s="717"/>
      <c r="B1301" s="718"/>
      <c r="C1301" s="250"/>
      <c r="D1301" s="250"/>
      <c r="E1301" s="250"/>
      <c r="F1301" s="250"/>
      <c r="G1301" s="471"/>
      <c r="H1301" s="250"/>
      <c r="I1301" s="471"/>
    </row>
    <row r="1302" spans="1:9" ht="12.75">
      <c r="A1302" s="717"/>
      <c r="B1302" s="718"/>
      <c r="C1302" s="250"/>
      <c r="D1302" s="250"/>
      <c r="E1302" s="250"/>
      <c r="F1302" s="250"/>
      <c r="G1302" s="471"/>
      <c r="H1302" s="250"/>
      <c r="I1302" s="471"/>
    </row>
    <row r="1303" spans="1:9" ht="12.75">
      <c r="A1303" s="717"/>
      <c r="B1303" s="718"/>
      <c r="C1303" s="250"/>
      <c r="D1303" s="250"/>
      <c r="E1303" s="250"/>
      <c r="F1303" s="250"/>
      <c r="G1303" s="471"/>
      <c r="H1303" s="250"/>
      <c r="I1303" s="471"/>
    </row>
    <row r="1304" spans="1:9" ht="12.75">
      <c r="A1304" s="717"/>
      <c r="B1304" s="718"/>
      <c r="C1304" s="250"/>
      <c r="D1304" s="250"/>
      <c r="E1304" s="250"/>
      <c r="F1304" s="250"/>
      <c r="G1304" s="471"/>
      <c r="H1304" s="250"/>
      <c r="I1304" s="471"/>
    </row>
    <row r="1305" spans="1:9" ht="12.75">
      <c r="A1305" s="717"/>
      <c r="B1305" s="718"/>
      <c r="C1305" s="250"/>
      <c r="D1305" s="250"/>
      <c r="E1305" s="250"/>
      <c r="F1305" s="250"/>
      <c r="G1305" s="471"/>
      <c r="H1305" s="250"/>
      <c r="I1305" s="471"/>
    </row>
    <row r="1306" spans="1:9" ht="12.75">
      <c r="A1306" s="717"/>
      <c r="B1306" s="718"/>
      <c r="C1306" s="250"/>
      <c r="D1306" s="250"/>
      <c r="E1306" s="250"/>
      <c r="F1306" s="250"/>
      <c r="G1306" s="471"/>
      <c r="H1306" s="250"/>
      <c r="I1306" s="471"/>
    </row>
    <row r="1307" spans="1:9" ht="12.75">
      <c r="A1307" s="717"/>
      <c r="B1307" s="718"/>
      <c r="C1307" s="250"/>
      <c r="D1307" s="250"/>
      <c r="E1307" s="250"/>
      <c r="F1307" s="250"/>
      <c r="G1307" s="471"/>
      <c r="H1307" s="250"/>
      <c r="I1307" s="471"/>
    </row>
    <row r="1308" spans="1:9" ht="12.75">
      <c r="A1308" s="717"/>
      <c r="B1308" s="718"/>
      <c r="C1308" s="250"/>
      <c r="D1308" s="250"/>
      <c r="E1308" s="250"/>
      <c r="F1308" s="250"/>
      <c r="G1308" s="471"/>
      <c r="H1308" s="250"/>
      <c r="I1308" s="471"/>
    </row>
    <row r="1309" spans="1:9" ht="12.75">
      <c r="A1309" s="717"/>
      <c r="B1309" s="718"/>
      <c r="C1309" s="250"/>
      <c r="D1309" s="250"/>
      <c r="E1309" s="250"/>
      <c r="F1309" s="250"/>
      <c r="G1309" s="471"/>
      <c r="H1309" s="250"/>
      <c r="I1309" s="471"/>
    </row>
    <row r="1310" spans="1:9" ht="12.75">
      <c r="A1310" s="717"/>
      <c r="B1310" s="718"/>
      <c r="C1310" s="250"/>
      <c r="D1310" s="250"/>
      <c r="E1310" s="250"/>
      <c r="F1310" s="250"/>
      <c r="G1310" s="471"/>
      <c r="H1310" s="250"/>
      <c r="I1310" s="471"/>
    </row>
    <row r="1311" spans="1:9" ht="12.75">
      <c r="A1311" s="717"/>
      <c r="B1311" s="718"/>
      <c r="C1311" s="250"/>
      <c r="D1311" s="250"/>
      <c r="E1311" s="250"/>
      <c r="F1311" s="250"/>
      <c r="G1311" s="471"/>
      <c r="H1311" s="250"/>
      <c r="I1311" s="471"/>
    </row>
    <row r="1312" spans="1:9" ht="12.75">
      <c r="A1312" s="717"/>
      <c r="B1312" s="718"/>
      <c r="C1312" s="250"/>
      <c r="D1312" s="250"/>
      <c r="E1312" s="250"/>
      <c r="F1312" s="250"/>
      <c r="G1312" s="471"/>
      <c r="H1312" s="250"/>
      <c r="I1312" s="471"/>
    </row>
    <row r="1313" spans="1:9" ht="12.75">
      <c r="A1313" s="717"/>
      <c r="B1313" s="718"/>
      <c r="C1313" s="250"/>
      <c r="D1313" s="250"/>
      <c r="E1313" s="250"/>
      <c r="F1313" s="250"/>
      <c r="G1313" s="471"/>
      <c r="H1313" s="250"/>
      <c r="I1313" s="471"/>
    </row>
    <row r="1314" spans="1:9" ht="12.75">
      <c r="A1314" s="717"/>
      <c r="B1314" s="718"/>
      <c r="C1314" s="250"/>
      <c r="D1314" s="250"/>
      <c r="E1314" s="250"/>
      <c r="F1314" s="250"/>
      <c r="G1314" s="471"/>
      <c r="H1314" s="250"/>
      <c r="I1314" s="471"/>
    </row>
    <row r="1315" spans="1:9" ht="12.75">
      <c r="A1315" s="717"/>
      <c r="B1315" s="718"/>
      <c r="C1315" s="250"/>
      <c r="D1315" s="250"/>
      <c r="E1315" s="250"/>
      <c r="F1315" s="250"/>
      <c r="G1315" s="471"/>
      <c r="H1315" s="250"/>
      <c r="I1315" s="471"/>
    </row>
    <row r="1316" spans="1:9" ht="12.75">
      <c r="A1316" s="717"/>
      <c r="B1316" s="718"/>
      <c r="C1316" s="250"/>
      <c r="D1316" s="250"/>
      <c r="E1316" s="250"/>
      <c r="F1316" s="250"/>
      <c r="G1316" s="471"/>
      <c r="H1316" s="250"/>
      <c r="I1316" s="471"/>
    </row>
    <row r="1317" spans="1:9" ht="12.75">
      <c r="A1317" s="717"/>
      <c r="B1317" s="718"/>
      <c r="C1317" s="250"/>
      <c r="D1317" s="250"/>
      <c r="E1317" s="250"/>
      <c r="F1317" s="250"/>
      <c r="G1317" s="471"/>
      <c r="H1317" s="250"/>
      <c r="I1317" s="471"/>
    </row>
    <row r="1318" spans="1:9" ht="12.75">
      <c r="A1318" s="717"/>
      <c r="B1318" s="718"/>
      <c r="C1318" s="250"/>
      <c r="D1318" s="250"/>
      <c r="E1318" s="250"/>
      <c r="F1318" s="250"/>
      <c r="G1318" s="471"/>
      <c r="H1318" s="250"/>
      <c r="I1318" s="471"/>
    </row>
    <row r="1319" spans="1:9" ht="12.75">
      <c r="A1319" s="717"/>
      <c r="B1319" s="718"/>
      <c r="C1319" s="250"/>
      <c r="D1319" s="250"/>
      <c r="E1319" s="250"/>
      <c r="F1319" s="250"/>
      <c r="G1319" s="471"/>
      <c r="H1319" s="250"/>
      <c r="I1319" s="471"/>
    </row>
    <row r="1320" spans="1:9" ht="12.75">
      <c r="A1320" s="717"/>
      <c r="B1320" s="718"/>
      <c r="C1320" s="250"/>
      <c r="D1320" s="250"/>
      <c r="E1320" s="250"/>
      <c r="F1320" s="250"/>
      <c r="G1320" s="471"/>
      <c r="H1320" s="250"/>
      <c r="I1320" s="471"/>
    </row>
    <row r="1321" spans="1:9" ht="12.75">
      <c r="A1321" s="717"/>
      <c r="B1321" s="718"/>
      <c r="C1321" s="250"/>
      <c r="D1321" s="250"/>
      <c r="E1321" s="250"/>
      <c r="F1321" s="250"/>
      <c r="G1321" s="471"/>
      <c r="H1321" s="250"/>
      <c r="I1321" s="471"/>
    </row>
    <row r="1322" spans="1:9" ht="12.75">
      <c r="A1322" s="717"/>
      <c r="B1322" s="718"/>
      <c r="C1322" s="250"/>
      <c r="D1322" s="250"/>
      <c r="E1322" s="250"/>
      <c r="F1322" s="250"/>
      <c r="G1322" s="471"/>
      <c r="H1322" s="250"/>
      <c r="I1322" s="471"/>
    </row>
    <row r="1323" spans="1:9" ht="12.75">
      <c r="A1323" s="717"/>
      <c r="B1323" s="718"/>
      <c r="C1323" s="250"/>
      <c r="D1323" s="250"/>
      <c r="E1323" s="250"/>
      <c r="F1323" s="250"/>
      <c r="G1323" s="471"/>
      <c r="H1323" s="250"/>
      <c r="I1323" s="471"/>
    </row>
    <row r="1324" spans="1:9" ht="12.75">
      <c r="A1324" s="717"/>
      <c r="B1324" s="718"/>
      <c r="C1324" s="250"/>
      <c r="D1324" s="250"/>
      <c r="E1324" s="250"/>
      <c r="F1324" s="250"/>
      <c r="G1324" s="471"/>
      <c r="H1324" s="250"/>
      <c r="I1324" s="471"/>
    </row>
    <row r="1325" spans="1:9" ht="12.75">
      <c r="A1325" s="717"/>
      <c r="B1325" s="718"/>
      <c r="C1325" s="250"/>
      <c r="D1325" s="250"/>
      <c r="E1325" s="250"/>
      <c r="F1325" s="250"/>
      <c r="G1325" s="471"/>
      <c r="H1325" s="250"/>
      <c r="I1325" s="471"/>
    </row>
    <row r="1326" spans="1:9" ht="12.75">
      <c r="A1326" s="717"/>
      <c r="B1326" s="718"/>
      <c r="C1326" s="250"/>
      <c r="D1326" s="250"/>
      <c r="E1326" s="250"/>
      <c r="F1326" s="250"/>
      <c r="G1326" s="471"/>
      <c r="H1326" s="250"/>
      <c r="I1326" s="471"/>
    </row>
    <row r="1327" spans="1:9" ht="12.75">
      <c r="A1327" s="717"/>
      <c r="B1327" s="718"/>
      <c r="C1327" s="250"/>
      <c r="D1327" s="250"/>
      <c r="E1327" s="250"/>
      <c r="F1327" s="250"/>
      <c r="G1327" s="471"/>
      <c r="H1327" s="250"/>
      <c r="I1327" s="471"/>
    </row>
    <row r="1328" spans="1:9" ht="12.75">
      <c r="A1328" s="717"/>
      <c r="B1328" s="718"/>
      <c r="C1328" s="250"/>
      <c r="D1328" s="250"/>
      <c r="E1328" s="250"/>
      <c r="F1328" s="250"/>
      <c r="G1328" s="471"/>
      <c r="H1328" s="250"/>
      <c r="I1328" s="471"/>
    </row>
    <row r="1329" spans="1:9" ht="12.75">
      <c r="A1329" s="717"/>
      <c r="B1329" s="718"/>
      <c r="C1329" s="250"/>
      <c r="D1329" s="250"/>
      <c r="E1329" s="250"/>
      <c r="F1329" s="250"/>
      <c r="G1329" s="471"/>
      <c r="H1329" s="250"/>
      <c r="I1329" s="471"/>
    </row>
    <row r="1330" spans="1:9" ht="12.75">
      <c r="A1330" s="717"/>
      <c r="B1330" s="718"/>
      <c r="C1330" s="250"/>
      <c r="D1330" s="250"/>
      <c r="E1330" s="250"/>
      <c r="F1330" s="250"/>
      <c r="G1330" s="471"/>
      <c r="H1330" s="250"/>
      <c r="I1330" s="471"/>
    </row>
    <row r="1331" spans="1:9" ht="12.75">
      <c r="A1331" s="717"/>
      <c r="B1331" s="718"/>
      <c r="C1331" s="250"/>
      <c r="D1331" s="250"/>
      <c r="E1331" s="250"/>
      <c r="F1331" s="250"/>
      <c r="G1331" s="471"/>
      <c r="H1331" s="250"/>
      <c r="I1331" s="471"/>
    </row>
    <row r="1332" spans="1:9" ht="12.75">
      <c r="A1332" s="717"/>
      <c r="B1332" s="718"/>
      <c r="C1332" s="250"/>
      <c r="D1332" s="250"/>
      <c r="E1332" s="250"/>
      <c r="F1332" s="250"/>
      <c r="G1332" s="471"/>
      <c r="H1332" s="250"/>
      <c r="I1332" s="471"/>
    </row>
    <row r="1333" spans="1:9" ht="12.75">
      <c r="A1333" s="717"/>
      <c r="B1333" s="718"/>
      <c r="C1333" s="250"/>
      <c r="D1333" s="250"/>
      <c r="E1333" s="250"/>
      <c r="F1333" s="250"/>
      <c r="G1333" s="471"/>
      <c r="H1333" s="250"/>
      <c r="I1333" s="471"/>
    </row>
    <row r="1334" spans="1:9" ht="12.75">
      <c r="A1334" s="717"/>
      <c r="B1334" s="718"/>
      <c r="C1334" s="250"/>
      <c r="D1334" s="250"/>
      <c r="E1334" s="250"/>
      <c r="F1334" s="250"/>
      <c r="G1334" s="471"/>
      <c r="H1334" s="250"/>
      <c r="I1334" s="471"/>
    </row>
    <row r="1335" spans="1:9" ht="12.75">
      <c r="A1335" s="717"/>
      <c r="B1335" s="718"/>
      <c r="C1335" s="250"/>
      <c r="D1335" s="250"/>
      <c r="E1335" s="250"/>
      <c r="F1335" s="250"/>
      <c r="G1335" s="471"/>
      <c r="H1335" s="250"/>
      <c r="I1335" s="471"/>
    </row>
    <row r="1336" spans="1:9" ht="12.75">
      <c r="A1336" s="717"/>
      <c r="B1336" s="718"/>
      <c r="C1336" s="250"/>
      <c r="D1336" s="250"/>
      <c r="E1336" s="250"/>
      <c r="F1336" s="250"/>
      <c r="G1336" s="471"/>
      <c r="H1336" s="250"/>
      <c r="I1336" s="471"/>
    </row>
    <row r="1337" spans="1:9" ht="12.75">
      <c r="A1337" s="717"/>
      <c r="B1337" s="718"/>
      <c r="C1337" s="250"/>
      <c r="D1337" s="250"/>
      <c r="E1337" s="250"/>
      <c r="F1337" s="250"/>
      <c r="G1337" s="471"/>
      <c r="H1337" s="250"/>
      <c r="I1337" s="471"/>
    </row>
    <row r="1338" spans="1:9" ht="12.75">
      <c r="A1338" s="717"/>
      <c r="B1338" s="718"/>
      <c r="C1338" s="250"/>
      <c r="D1338" s="250"/>
      <c r="E1338" s="250"/>
      <c r="F1338" s="250"/>
      <c r="G1338" s="471"/>
      <c r="H1338" s="250"/>
      <c r="I1338" s="471"/>
    </row>
    <row r="1339" spans="1:9" ht="12.75">
      <c r="A1339" s="717"/>
      <c r="B1339" s="718"/>
      <c r="C1339" s="250"/>
      <c r="D1339" s="250"/>
      <c r="E1339" s="250"/>
      <c r="F1339" s="250"/>
      <c r="G1339" s="471"/>
      <c r="H1339" s="250"/>
      <c r="I1339" s="471"/>
    </row>
    <row r="1340" spans="1:9" ht="12.75">
      <c r="A1340" s="717"/>
      <c r="B1340" s="718"/>
      <c r="C1340" s="250"/>
      <c r="D1340" s="250"/>
      <c r="E1340" s="250"/>
      <c r="F1340" s="250"/>
      <c r="G1340" s="471"/>
      <c r="H1340" s="250"/>
      <c r="I1340" s="471"/>
    </row>
    <row r="1341" spans="1:9" ht="12.75">
      <c r="A1341" s="717"/>
      <c r="B1341" s="718"/>
      <c r="C1341" s="250"/>
      <c r="D1341" s="250"/>
      <c r="E1341" s="250"/>
      <c r="F1341" s="250"/>
      <c r="G1341" s="471"/>
      <c r="H1341" s="250"/>
      <c r="I1341" s="471"/>
    </row>
    <row r="1342" spans="1:9" ht="12.75">
      <c r="A1342" s="717"/>
      <c r="B1342" s="718"/>
      <c r="C1342" s="250"/>
      <c r="D1342" s="250"/>
      <c r="E1342" s="250"/>
      <c r="F1342" s="250"/>
      <c r="G1342" s="471"/>
      <c r="H1342" s="250"/>
      <c r="I1342" s="471"/>
    </row>
    <row r="1343" spans="1:9" ht="12.75">
      <c r="A1343" s="717"/>
      <c r="B1343" s="718"/>
      <c r="C1343" s="250"/>
      <c r="D1343" s="250"/>
      <c r="E1343" s="250"/>
      <c r="F1343" s="250"/>
      <c r="G1343" s="471"/>
      <c r="H1343" s="250"/>
      <c r="I1343" s="471"/>
    </row>
    <row r="1344" spans="1:9" ht="12.75">
      <c r="A1344" s="717"/>
      <c r="B1344" s="718"/>
      <c r="C1344" s="250"/>
      <c r="D1344" s="250"/>
      <c r="E1344" s="250"/>
      <c r="F1344" s="250"/>
      <c r="G1344" s="471"/>
      <c r="H1344" s="250"/>
      <c r="I1344" s="471"/>
    </row>
    <row r="1345" spans="1:9" ht="12.75">
      <c r="A1345" s="717"/>
      <c r="B1345" s="718"/>
      <c r="C1345" s="250"/>
      <c r="D1345" s="250"/>
      <c r="E1345" s="250"/>
      <c r="F1345" s="250"/>
      <c r="G1345" s="471"/>
      <c r="H1345" s="250"/>
      <c r="I1345" s="471"/>
    </row>
    <row r="1346" spans="1:9" ht="12.75">
      <c r="A1346" s="717"/>
      <c r="B1346" s="718"/>
      <c r="C1346" s="250"/>
      <c r="D1346" s="250"/>
      <c r="E1346" s="250"/>
      <c r="F1346" s="250"/>
      <c r="G1346" s="471"/>
      <c r="H1346" s="250"/>
      <c r="I1346" s="471"/>
    </row>
    <row r="1347" spans="1:9" ht="12.75">
      <c r="A1347" s="717"/>
      <c r="B1347" s="718"/>
      <c r="C1347" s="250"/>
      <c r="D1347" s="250"/>
      <c r="E1347" s="250"/>
      <c r="F1347" s="250"/>
      <c r="G1347" s="471"/>
      <c r="H1347" s="250"/>
      <c r="I1347" s="471"/>
    </row>
    <row r="1348" spans="1:9" ht="12.75">
      <c r="A1348" s="717"/>
      <c r="B1348" s="718"/>
      <c r="C1348" s="250"/>
      <c r="D1348" s="250"/>
      <c r="E1348" s="250"/>
      <c r="F1348" s="250"/>
      <c r="G1348" s="471"/>
      <c r="H1348" s="250"/>
      <c r="I1348" s="471"/>
    </row>
    <row r="1349" spans="1:9" ht="12.75">
      <c r="A1349" s="717"/>
      <c r="B1349" s="718"/>
      <c r="C1349" s="250"/>
      <c r="D1349" s="250"/>
      <c r="E1349" s="250"/>
      <c r="F1349" s="250"/>
      <c r="G1349" s="471"/>
      <c r="H1349" s="250"/>
      <c r="I1349" s="471"/>
    </row>
    <row r="1350" spans="1:9" ht="12.75">
      <c r="A1350" s="717"/>
      <c r="B1350" s="718"/>
      <c r="C1350" s="250"/>
      <c r="D1350" s="250"/>
      <c r="E1350" s="250"/>
      <c r="F1350" s="250"/>
      <c r="G1350" s="471"/>
      <c r="H1350" s="250"/>
      <c r="I1350" s="471"/>
    </row>
    <row r="1351" spans="1:9" ht="12.75">
      <c r="A1351" s="717"/>
      <c r="B1351" s="718"/>
      <c r="C1351" s="250"/>
      <c r="D1351" s="250"/>
      <c r="E1351" s="250"/>
      <c r="F1351" s="250"/>
      <c r="G1351" s="471"/>
      <c r="H1351" s="250"/>
      <c r="I1351" s="471"/>
    </row>
    <row r="1352" spans="1:9" ht="12.75">
      <c r="A1352" s="717"/>
      <c r="B1352" s="718"/>
      <c r="C1352" s="250"/>
      <c r="D1352" s="250"/>
      <c r="E1352" s="250"/>
      <c r="F1352" s="250"/>
      <c r="G1352" s="471"/>
      <c r="H1352" s="250"/>
      <c r="I1352" s="471"/>
    </row>
    <row r="1353" spans="1:9" ht="12.75">
      <c r="A1353" s="717"/>
      <c r="B1353" s="718"/>
      <c r="C1353" s="250"/>
      <c r="D1353" s="250"/>
      <c r="E1353" s="250"/>
      <c r="F1353" s="250"/>
      <c r="G1353" s="471"/>
      <c r="H1353" s="250"/>
      <c r="I1353" s="471"/>
    </row>
    <row r="1354" spans="1:9" ht="12.75">
      <c r="A1354" s="717"/>
      <c r="B1354" s="718"/>
      <c r="C1354" s="250"/>
      <c r="D1354" s="250"/>
      <c r="E1354" s="250"/>
      <c r="F1354" s="250"/>
      <c r="G1354" s="471"/>
      <c r="H1354" s="250"/>
      <c r="I1354" s="471"/>
    </row>
    <row r="1355" spans="1:9" ht="12.75">
      <c r="A1355" s="717"/>
      <c r="B1355" s="718"/>
      <c r="C1355" s="250"/>
      <c r="D1355" s="250"/>
      <c r="E1355" s="250"/>
      <c r="F1355" s="250"/>
      <c r="G1355" s="471"/>
      <c r="H1355" s="250"/>
      <c r="I1355" s="471"/>
    </row>
    <row r="1356" spans="1:9" ht="12.75">
      <c r="A1356" s="717"/>
      <c r="B1356" s="718"/>
      <c r="C1356" s="250"/>
      <c r="D1356" s="250"/>
      <c r="E1356" s="250"/>
      <c r="F1356" s="250"/>
      <c r="G1356" s="471"/>
      <c r="H1356" s="250"/>
      <c r="I1356" s="471"/>
    </row>
    <row r="1357" spans="1:9" ht="12.75">
      <c r="A1357" s="717"/>
      <c r="B1357" s="718"/>
      <c r="C1357" s="250"/>
      <c r="D1357" s="250"/>
      <c r="E1357" s="250"/>
      <c r="F1357" s="250"/>
      <c r="G1357" s="471"/>
      <c r="H1357" s="250"/>
      <c r="I1357" s="471"/>
    </row>
    <row r="1358" spans="1:9" ht="12.75">
      <c r="A1358" s="717"/>
      <c r="B1358" s="718"/>
      <c r="C1358" s="250"/>
      <c r="D1358" s="250"/>
      <c r="E1358" s="250"/>
      <c r="F1358" s="250"/>
      <c r="G1358" s="471"/>
      <c r="H1358" s="250"/>
      <c r="I1358" s="471"/>
    </row>
    <row r="1359" spans="1:9" ht="12.75">
      <c r="A1359" s="717"/>
      <c r="B1359" s="718"/>
      <c r="C1359" s="250"/>
      <c r="D1359" s="250"/>
      <c r="E1359" s="250"/>
      <c r="F1359" s="250"/>
      <c r="G1359" s="471"/>
      <c r="H1359" s="250"/>
      <c r="I1359" s="471"/>
    </row>
    <row r="1360" spans="1:9" ht="12.75">
      <c r="A1360" s="717"/>
      <c r="B1360" s="718"/>
      <c r="C1360" s="250"/>
      <c r="D1360" s="250"/>
      <c r="E1360" s="250"/>
      <c r="F1360" s="250"/>
      <c r="G1360" s="471"/>
      <c r="H1360" s="250"/>
      <c r="I1360" s="471"/>
    </row>
    <row r="1361" spans="1:9" ht="12.75">
      <c r="A1361" s="717"/>
      <c r="B1361" s="718"/>
      <c r="C1361" s="250"/>
      <c r="D1361" s="250"/>
      <c r="E1361" s="250"/>
      <c r="F1361" s="250"/>
      <c r="G1361" s="471"/>
      <c r="H1361" s="250"/>
      <c r="I1361" s="471"/>
    </row>
    <row r="1362" spans="1:9" ht="12.75">
      <c r="A1362" s="717"/>
      <c r="B1362" s="718"/>
      <c r="C1362" s="250"/>
      <c r="D1362" s="250"/>
      <c r="E1362" s="250"/>
      <c r="F1362" s="250"/>
      <c r="G1362" s="471"/>
      <c r="H1362" s="250"/>
      <c r="I1362" s="471"/>
    </row>
    <row r="1363" spans="1:9" ht="12.75">
      <c r="A1363" s="717"/>
      <c r="B1363" s="718"/>
      <c r="C1363" s="250"/>
      <c r="D1363" s="250"/>
      <c r="E1363" s="250"/>
      <c r="F1363" s="250"/>
      <c r="G1363" s="471"/>
      <c r="H1363" s="250"/>
      <c r="I1363" s="471"/>
    </row>
    <row r="1364" spans="1:9" ht="12.75">
      <c r="A1364" s="717"/>
      <c r="B1364" s="718"/>
      <c r="C1364" s="250"/>
      <c r="D1364" s="250"/>
      <c r="E1364" s="250"/>
      <c r="F1364" s="250"/>
      <c r="G1364" s="471"/>
      <c r="H1364" s="250"/>
      <c r="I1364" s="471"/>
    </row>
    <row r="1365" spans="1:9" ht="12.75">
      <c r="A1365" s="717"/>
      <c r="B1365" s="718"/>
      <c r="C1365" s="250"/>
      <c r="D1365" s="250"/>
      <c r="E1365" s="250"/>
      <c r="F1365" s="250"/>
      <c r="G1365" s="471"/>
      <c r="H1365" s="250"/>
      <c r="I1365" s="471"/>
    </row>
    <row r="1366" spans="1:9" ht="12.75">
      <c r="A1366" s="717"/>
      <c r="B1366" s="718"/>
      <c r="C1366" s="250"/>
      <c r="D1366" s="250"/>
      <c r="E1366" s="250"/>
      <c r="F1366" s="250"/>
      <c r="G1366" s="471"/>
      <c r="H1366" s="250"/>
      <c r="I1366" s="471"/>
    </row>
    <row r="1367" spans="1:9" ht="12.75">
      <c r="A1367" s="717"/>
      <c r="B1367" s="718"/>
      <c r="C1367" s="250"/>
      <c r="D1367" s="250"/>
      <c r="E1367" s="250"/>
      <c r="F1367" s="250"/>
      <c r="G1367" s="471"/>
      <c r="H1367" s="250"/>
      <c r="I1367" s="471"/>
    </row>
    <row r="1368" spans="1:9" ht="12.75">
      <c r="A1368" s="717"/>
      <c r="B1368" s="718"/>
      <c r="C1368" s="250"/>
      <c r="D1368" s="250"/>
      <c r="E1368" s="250"/>
      <c r="F1368" s="250"/>
      <c r="G1368" s="471"/>
      <c r="H1368" s="250"/>
      <c r="I1368" s="471"/>
    </row>
    <row r="1369" spans="1:9" ht="12.75">
      <c r="A1369" s="717"/>
      <c r="B1369" s="718"/>
      <c r="C1369" s="250"/>
      <c r="D1369" s="250"/>
      <c r="E1369" s="250"/>
      <c r="F1369" s="250"/>
      <c r="G1369" s="471"/>
      <c r="H1369" s="250"/>
      <c r="I1369" s="471"/>
    </row>
    <row r="1370" spans="1:9" ht="12.75">
      <c r="A1370" s="717"/>
      <c r="B1370" s="718"/>
      <c r="C1370" s="250"/>
      <c r="D1370" s="250"/>
      <c r="E1370" s="250"/>
      <c r="F1370" s="250"/>
      <c r="G1370" s="471"/>
      <c r="H1370" s="250"/>
      <c r="I1370" s="471"/>
    </row>
    <row r="1371" spans="1:9" ht="12.75">
      <c r="A1371" s="717"/>
      <c r="B1371" s="718"/>
      <c r="C1371" s="250"/>
      <c r="D1371" s="250"/>
      <c r="E1371" s="250"/>
      <c r="F1371" s="250"/>
      <c r="G1371" s="471"/>
      <c r="H1371" s="250"/>
      <c r="I1371" s="471"/>
    </row>
    <row r="1372" spans="1:9" ht="12.75">
      <c r="A1372" s="717"/>
      <c r="B1372" s="718"/>
      <c r="C1372" s="250"/>
      <c r="D1372" s="250"/>
      <c r="E1372" s="250"/>
      <c r="F1372" s="250"/>
      <c r="G1372" s="471"/>
      <c r="H1372" s="250"/>
      <c r="I1372" s="471"/>
    </row>
    <row r="1373" spans="1:9" ht="12.75">
      <c r="A1373" s="717"/>
      <c r="B1373" s="718"/>
      <c r="C1373" s="250"/>
      <c r="D1373" s="250"/>
      <c r="E1373" s="250"/>
      <c r="F1373" s="250"/>
      <c r="G1373" s="471"/>
      <c r="H1373" s="250"/>
      <c r="I1373" s="471"/>
    </row>
    <row r="1374" spans="1:9" ht="12.75">
      <c r="A1374" s="717"/>
      <c r="B1374" s="718"/>
      <c r="C1374" s="250"/>
      <c r="D1374" s="250"/>
      <c r="E1374" s="250"/>
      <c r="F1374" s="250"/>
      <c r="G1374" s="471"/>
      <c r="H1374" s="250"/>
      <c r="I1374" s="471"/>
    </row>
    <row r="1375" spans="1:9" ht="12.75">
      <c r="A1375" s="717"/>
      <c r="B1375" s="718"/>
      <c r="C1375" s="250"/>
      <c r="D1375" s="250"/>
      <c r="E1375" s="250"/>
      <c r="F1375" s="250"/>
      <c r="G1375" s="471"/>
      <c r="H1375" s="250"/>
      <c r="I1375" s="471"/>
    </row>
    <row r="1376" spans="1:9" ht="12.75">
      <c r="A1376" s="717"/>
      <c r="B1376" s="718"/>
      <c r="C1376" s="250"/>
      <c r="D1376" s="250"/>
      <c r="E1376" s="250"/>
      <c r="F1376" s="250"/>
      <c r="G1376" s="471"/>
      <c r="H1376" s="250"/>
      <c r="I1376" s="471"/>
    </row>
    <row r="1377" spans="1:9" ht="12.75">
      <c r="A1377" s="717"/>
      <c r="B1377" s="718"/>
      <c r="C1377" s="250"/>
      <c r="D1377" s="250"/>
      <c r="E1377" s="250"/>
      <c r="F1377" s="250"/>
      <c r="G1377" s="471"/>
      <c r="H1377" s="250"/>
      <c r="I1377" s="471"/>
    </row>
    <row r="1378" spans="1:9" ht="12.75">
      <c r="A1378" s="717"/>
      <c r="B1378" s="718"/>
      <c r="C1378" s="250"/>
      <c r="D1378" s="250"/>
      <c r="E1378" s="250"/>
      <c r="F1378" s="250"/>
      <c r="G1378" s="471"/>
      <c r="H1378" s="250"/>
      <c r="I1378" s="471"/>
    </row>
    <row r="1379" spans="1:9" ht="12.75">
      <c r="A1379" s="717"/>
      <c r="B1379" s="718"/>
      <c r="C1379" s="250"/>
      <c r="D1379" s="250"/>
      <c r="E1379" s="250"/>
      <c r="F1379" s="250"/>
      <c r="G1379" s="471"/>
      <c r="H1379" s="250"/>
      <c r="I1379" s="471"/>
    </row>
    <row r="1380" spans="1:9" ht="12.75">
      <c r="A1380" s="717"/>
      <c r="B1380" s="718"/>
      <c r="C1380" s="250"/>
      <c r="D1380" s="250"/>
      <c r="E1380" s="250"/>
      <c r="F1380" s="250"/>
      <c r="G1380" s="471"/>
      <c r="H1380" s="250"/>
      <c r="I1380" s="471"/>
    </row>
    <row r="1381" spans="1:9" ht="12.75">
      <c r="A1381" s="717"/>
      <c r="B1381" s="718"/>
      <c r="C1381" s="250"/>
      <c r="D1381" s="250"/>
      <c r="E1381" s="250"/>
      <c r="F1381" s="250"/>
      <c r="G1381" s="471"/>
      <c r="H1381" s="250"/>
      <c r="I1381" s="471"/>
    </row>
    <row r="1382" spans="1:9" ht="12.75">
      <c r="A1382" s="717"/>
      <c r="B1382" s="718"/>
      <c r="C1382" s="250"/>
      <c r="D1382" s="250"/>
      <c r="E1382" s="250"/>
      <c r="F1382" s="250"/>
      <c r="G1382" s="471"/>
      <c r="H1382" s="250"/>
      <c r="I1382" s="471"/>
    </row>
    <row r="1383" spans="1:9" ht="12.75">
      <c r="A1383" s="717"/>
      <c r="B1383" s="718"/>
      <c r="C1383" s="250"/>
      <c r="D1383" s="250"/>
      <c r="E1383" s="250"/>
      <c r="F1383" s="250"/>
      <c r="G1383" s="471"/>
      <c r="H1383" s="250"/>
      <c r="I1383" s="471"/>
    </row>
    <row r="1384" spans="1:9" ht="12.75">
      <c r="A1384" s="717"/>
      <c r="B1384" s="718"/>
      <c r="C1384" s="250"/>
      <c r="D1384" s="250"/>
      <c r="E1384" s="250"/>
      <c r="F1384" s="250"/>
      <c r="G1384" s="471"/>
      <c r="H1384" s="250"/>
      <c r="I1384" s="471"/>
    </row>
    <row r="1385" spans="1:9" ht="12.75">
      <c r="A1385" s="717"/>
      <c r="B1385" s="718"/>
      <c r="C1385" s="250"/>
      <c r="D1385" s="250"/>
      <c r="E1385" s="250"/>
      <c r="F1385" s="250"/>
      <c r="G1385" s="471"/>
      <c r="H1385" s="250"/>
      <c r="I1385" s="471"/>
    </row>
    <row r="1386" spans="1:9" ht="12.75">
      <c r="A1386" s="717"/>
      <c r="B1386" s="718"/>
      <c r="C1386" s="250"/>
      <c r="D1386" s="250"/>
      <c r="E1386" s="250"/>
      <c r="F1386" s="250"/>
      <c r="G1386" s="471"/>
      <c r="H1386" s="250"/>
      <c r="I1386" s="471"/>
    </row>
    <row r="1387" spans="1:9" ht="12.75">
      <c r="A1387" s="717"/>
      <c r="B1387" s="718"/>
      <c r="C1387" s="250"/>
      <c r="D1387" s="250"/>
      <c r="E1387" s="250"/>
      <c r="F1387" s="250"/>
      <c r="G1387" s="471"/>
      <c r="H1387" s="250"/>
      <c r="I1387" s="471"/>
    </row>
    <row r="1388" spans="1:9" ht="12.75">
      <c r="A1388" s="717"/>
      <c r="B1388" s="718"/>
      <c r="C1388" s="250"/>
      <c r="D1388" s="250"/>
      <c r="E1388" s="250"/>
      <c r="F1388" s="250"/>
      <c r="G1388" s="471"/>
      <c r="H1388" s="250"/>
      <c r="I1388" s="471"/>
    </row>
    <row r="1389" spans="1:9" ht="12.75">
      <c r="A1389" s="717"/>
      <c r="B1389" s="718"/>
      <c r="C1389" s="250"/>
      <c r="D1389" s="250"/>
      <c r="E1389" s="250"/>
      <c r="F1389" s="250"/>
      <c r="G1389" s="471"/>
      <c r="H1389" s="250"/>
      <c r="I1389" s="471"/>
    </row>
    <row r="1390" spans="1:9" ht="12.75">
      <c r="A1390" s="717"/>
      <c r="B1390" s="718"/>
      <c r="C1390" s="250"/>
      <c r="D1390" s="250"/>
      <c r="E1390" s="250"/>
      <c r="F1390" s="250"/>
      <c r="G1390" s="471"/>
      <c r="H1390" s="250"/>
      <c r="I1390" s="471"/>
    </row>
    <row r="1391" spans="1:9" ht="12.75">
      <c r="A1391" s="717"/>
      <c r="B1391" s="718"/>
      <c r="C1391" s="250"/>
      <c r="D1391" s="250"/>
      <c r="E1391" s="250"/>
      <c r="F1391" s="250"/>
      <c r="G1391" s="471"/>
      <c r="H1391" s="250"/>
      <c r="I1391" s="471"/>
    </row>
    <row r="1392" spans="1:9" ht="12.75">
      <c r="A1392" s="717"/>
      <c r="B1392" s="718"/>
      <c r="C1392" s="250"/>
      <c r="D1392" s="250"/>
      <c r="E1392" s="250"/>
      <c r="F1392" s="250"/>
      <c r="G1392" s="471"/>
      <c r="H1392" s="250"/>
      <c r="I1392" s="471"/>
    </row>
    <row r="1393" spans="1:9" ht="12.75">
      <c r="A1393" s="717"/>
      <c r="B1393" s="718"/>
      <c r="C1393" s="250"/>
      <c r="D1393" s="250"/>
      <c r="E1393" s="250"/>
      <c r="F1393" s="250"/>
      <c r="G1393" s="471"/>
      <c r="H1393" s="250"/>
      <c r="I1393" s="471"/>
    </row>
    <row r="1394" spans="1:9" ht="12.75">
      <c r="A1394" s="717"/>
      <c r="B1394" s="718"/>
      <c r="C1394" s="250"/>
      <c r="D1394" s="250"/>
      <c r="E1394" s="250"/>
      <c r="F1394" s="250"/>
      <c r="G1394" s="471"/>
      <c r="H1394" s="250"/>
      <c r="I1394" s="471"/>
    </row>
    <row r="1395" spans="1:9" ht="12.75">
      <c r="A1395" s="717"/>
      <c r="B1395" s="718"/>
      <c r="C1395" s="250"/>
      <c r="D1395" s="250"/>
      <c r="E1395" s="250"/>
      <c r="F1395" s="250"/>
      <c r="G1395" s="471"/>
      <c r="H1395" s="250"/>
      <c r="I1395" s="471"/>
    </row>
    <row r="1396" spans="1:9" ht="12.75">
      <c r="A1396" s="717"/>
      <c r="B1396" s="718"/>
      <c r="C1396" s="250"/>
      <c r="D1396" s="250"/>
      <c r="E1396" s="250"/>
      <c r="F1396" s="250"/>
      <c r="G1396" s="471"/>
      <c r="H1396" s="250"/>
      <c r="I1396" s="471"/>
    </row>
    <row r="1397" spans="1:9" ht="12.75">
      <c r="A1397" s="717"/>
      <c r="B1397" s="718"/>
      <c r="C1397" s="250"/>
      <c r="D1397" s="250"/>
      <c r="E1397" s="250"/>
      <c r="F1397" s="250"/>
      <c r="G1397" s="471"/>
      <c r="H1397" s="250"/>
      <c r="I1397" s="471"/>
    </row>
    <row r="1398" spans="1:9" ht="12.75">
      <c r="A1398" s="717"/>
      <c r="B1398" s="718"/>
      <c r="C1398" s="250"/>
      <c r="D1398" s="250"/>
      <c r="E1398" s="250"/>
      <c r="F1398" s="250"/>
      <c r="G1398" s="471"/>
      <c r="H1398" s="250"/>
      <c r="I1398" s="471"/>
    </row>
    <row r="1399" spans="1:9" ht="12.75">
      <c r="A1399" s="717"/>
      <c r="B1399" s="718"/>
      <c r="C1399" s="250"/>
      <c r="D1399" s="250"/>
      <c r="E1399" s="250"/>
      <c r="F1399" s="250"/>
      <c r="G1399" s="471"/>
      <c r="H1399" s="250"/>
      <c r="I1399" s="471"/>
    </row>
    <row r="1400" spans="1:9" ht="12.75">
      <c r="A1400" s="717"/>
      <c r="B1400" s="718"/>
      <c r="C1400" s="250"/>
      <c r="D1400" s="250"/>
      <c r="E1400" s="250"/>
      <c r="F1400" s="250"/>
      <c r="G1400" s="471"/>
      <c r="H1400" s="250"/>
      <c r="I1400" s="471"/>
    </row>
    <row r="1401" spans="1:9" ht="12.75">
      <c r="A1401" s="717"/>
      <c r="B1401" s="718"/>
      <c r="C1401" s="250"/>
      <c r="D1401" s="250"/>
      <c r="E1401" s="250"/>
      <c r="F1401" s="250"/>
      <c r="G1401" s="471"/>
      <c r="H1401" s="250"/>
      <c r="I1401" s="471"/>
    </row>
    <row r="1402" spans="1:9" ht="12.75">
      <c r="A1402" s="717"/>
      <c r="B1402" s="718"/>
      <c r="C1402" s="250"/>
      <c r="D1402" s="250"/>
      <c r="E1402" s="250"/>
      <c r="F1402" s="250"/>
      <c r="G1402" s="471"/>
      <c r="H1402" s="250"/>
      <c r="I1402" s="471"/>
    </row>
    <row r="1403" spans="1:9" ht="12.75">
      <c r="A1403" s="717"/>
      <c r="B1403" s="718"/>
      <c r="C1403" s="250"/>
      <c r="D1403" s="250"/>
      <c r="E1403" s="250"/>
      <c r="F1403" s="250"/>
      <c r="G1403" s="471"/>
      <c r="H1403" s="250"/>
      <c r="I1403" s="471"/>
    </row>
    <row r="1404" spans="1:9" ht="12.75">
      <c r="A1404" s="717"/>
      <c r="B1404" s="718"/>
      <c r="C1404" s="250"/>
      <c r="D1404" s="250"/>
      <c r="E1404" s="250"/>
      <c r="F1404" s="250"/>
      <c r="G1404" s="471"/>
      <c r="H1404" s="250"/>
      <c r="I1404" s="471"/>
    </row>
    <row r="1405" spans="1:9" ht="12.75">
      <c r="A1405" s="717"/>
      <c r="B1405" s="718"/>
      <c r="C1405" s="250"/>
      <c r="D1405" s="250"/>
      <c r="E1405" s="250"/>
      <c r="F1405" s="250"/>
      <c r="G1405" s="471"/>
      <c r="H1405" s="250"/>
      <c r="I1405" s="471"/>
    </row>
    <row r="1406" spans="1:9" ht="12.75">
      <c r="A1406" s="717"/>
      <c r="B1406" s="718"/>
      <c r="C1406" s="250"/>
      <c r="D1406" s="250"/>
      <c r="E1406" s="250"/>
      <c r="F1406" s="250"/>
      <c r="G1406" s="471"/>
      <c r="H1406" s="250"/>
      <c r="I1406" s="471"/>
    </row>
    <row r="1407" spans="1:9" ht="12.75">
      <c r="A1407" s="717"/>
      <c r="B1407" s="718"/>
      <c r="C1407" s="250"/>
      <c r="D1407" s="250"/>
      <c r="E1407" s="250"/>
      <c r="F1407" s="250"/>
      <c r="G1407" s="471"/>
      <c r="H1407" s="250"/>
      <c r="I1407" s="471"/>
    </row>
    <row r="1408" spans="1:9" ht="12.75">
      <c r="A1408" s="717"/>
      <c r="B1408" s="718"/>
      <c r="C1408" s="250"/>
      <c r="D1408" s="250"/>
      <c r="E1408" s="250"/>
      <c r="F1408" s="250"/>
      <c r="G1408" s="471"/>
      <c r="H1408" s="250"/>
      <c r="I1408" s="471"/>
    </row>
    <row r="1409" spans="1:9" ht="12.75">
      <c r="A1409" s="717"/>
      <c r="B1409" s="718"/>
      <c r="C1409" s="250"/>
      <c r="D1409" s="250"/>
      <c r="E1409" s="250"/>
      <c r="F1409" s="250"/>
      <c r="G1409" s="471"/>
      <c r="H1409" s="250"/>
      <c r="I1409" s="471"/>
    </row>
    <row r="1410" spans="1:9" ht="12.75">
      <c r="A1410" s="717"/>
      <c r="B1410" s="718"/>
      <c r="C1410" s="250"/>
      <c r="D1410" s="250"/>
      <c r="E1410" s="250"/>
      <c r="F1410" s="250"/>
      <c r="G1410" s="471"/>
      <c r="H1410" s="250"/>
      <c r="I1410" s="471"/>
    </row>
    <row r="1411" spans="1:9" ht="12.75">
      <c r="A1411" s="717"/>
      <c r="B1411" s="718"/>
      <c r="C1411" s="250"/>
      <c r="D1411" s="250"/>
      <c r="E1411" s="250"/>
      <c r="F1411" s="250"/>
      <c r="G1411" s="471"/>
      <c r="H1411" s="250"/>
      <c r="I1411" s="471"/>
    </row>
    <row r="1412" spans="1:9" ht="12.75">
      <c r="A1412" s="717"/>
      <c r="B1412" s="718"/>
      <c r="C1412" s="250"/>
      <c r="D1412" s="250"/>
      <c r="E1412" s="250"/>
      <c r="F1412" s="250"/>
      <c r="G1412" s="471"/>
      <c r="H1412" s="250"/>
      <c r="I1412" s="471"/>
    </row>
    <row r="1413" spans="1:9" ht="12.75">
      <c r="A1413" s="717"/>
      <c r="B1413" s="718"/>
      <c r="C1413" s="250"/>
      <c r="D1413" s="250"/>
      <c r="E1413" s="250"/>
      <c r="F1413" s="250"/>
      <c r="G1413" s="471"/>
      <c r="H1413" s="250"/>
      <c r="I1413" s="471"/>
    </row>
    <row r="1414" spans="1:9" ht="12.75">
      <c r="A1414" s="717"/>
      <c r="B1414" s="718"/>
      <c r="C1414" s="250"/>
      <c r="D1414" s="250"/>
      <c r="E1414" s="250"/>
      <c r="F1414" s="250"/>
      <c r="G1414" s="471"/>
      <c r="H1414" s="250"/>
      <c r="I1414" s="471"/>
    </row>
    <row r="1415" spans="1:9" ht="12.75">
      <c r="A1415" s="717"/>
      <c r="B1415" s="718"/>
      <c r="C1415" s="250"/>
      <c r="D1415" s="250"/>
      <c r="E1415" s="250"/>
      <c r="F1415" s="250"/>
      <c r="G1415" s="471"/>
      <c r="H1415" s="250"/>
      <c r="I1415" s="471"/>
    </row>
    <row r="1416" spans="1:9" ht="12.75">
      <c r="A1416" s="717"/>
      <c r="B1416" s="718"/>
      <c r="C1416" s="250"/>
      <c r="D1416" s="250"/>
      <c r="E1416" s="250"/>
      <c r="F1416" s="250"/>
      <c r="G1416" s="471"/>
      <c r="H1416" s="250"/>
      <c r="I1416" s="471"/>
    </row>
    <row r="1417" spans="1:9" ht="12.75">
      <c r="A1417" s="717"/>
      <c r="B1417" s="718"/>
      <c r="C1417" s="250"/>
      <c r="D1417" s="250"/>
      <c r="E1417" s="250"/>
      <c r="F1417" s="250"/>
      <c r="G1417" s="471"/>
      <c r="H1417" s="250"/>
      <c r="I1417" s="471"/>
    </row>
    <row r="1418" spans="1:9" ht="12.75">
      <c r="A1418" s="717"/>
      <c r="B1418" s="718"/>
      <c r="C1418" s="250"/>
      <c r="D1418" s="250"/>
      <c r="E1418" s="250"/>
      <c r="F1418" s="250"/>
      <c r="G1418" s="471"/>
      <c r="H1418" s="250"/>
      <c r="I1418" s="471"/>
    </row>
    <row r="1419" spans="1:9" ht="12.75">
      <c r="A1419" s="717"/>
      <c r="B1419" s="718"/>
      <c r="C1419" s="250"/>
      <c r="D1419" s="250"/>
      <c r="E1419" s="250"/>
      <c r="F1419" s="250"/>
      <c r="G1419" s="471"/>
      <c r="H1419" s="250"/>
      <c r="I1419" s="471"/>
    </row>
    <row r="1420" spans="1:9" ht="12.75">
      <c r="A1420" s="717"/>
      <c r="B1420" s="718"/>
      <c r="C1420" s="250"/>
      <c r="D1420" s="250"/>
      <c r="E1420" s="250"/>
      <c r="F1420" s="250"/>
      <c r="G1420" s="471"/>
      <c r="H1420" s="250"/>
      <c r="I1420" s="471"/>
    </row>
    <row r="1421" spans="1:9" ht="12.75">
      <c r="A1421" s="717"/>
      <c r="B1421" s="718"/>
      <c r="C1421" s="250"/>
      <c r="D1421" s="250"/>
      <c r="E1421" s="250"/>
      <c r="F1421" s="250"/>
      <c r="G1421" s="471"/>
      <c r="H1421" s="250"/>
      <c r="I1421" s="471"/>
    </row>
    <row r="1422" spans="1:9" ht="12.75">
      <c r="A1422" s="717"/>
      <c r="B1422" s="718"/>
      <c r="C1422" s="250"/>
      <c r="D1422" s="250"/>
      <c r="E1422" s="250"/>
      <c r="F1422" s="250"/>
      <c r="G1422" s="471"/>
      <c r="H1422" s="250"/>
      <c r="I1422" s="471"/>
    </row>
    <row r="1423" spans="1:9" ht="12.75">
      <c r="A1423" s="717"/>
      <c r="B1423" s="718"/>
      <c r="C1423" s="250"/>
      <c r="D1423" s="250"/>
      <c r="E1423" s="250"/>
      <c r="F1423" s="250"/>
      <c r="G1423" s="471"/>
      <c r="H1423" s="250"/>
      <c r="I1423" s="471"/>
    </row>
    <row r="1424" spans="1:9" ht="12.75">
      <c r="A1424" s="717"/>
      <c r="B1424" s="718"/>
      <c r="C1424" s="250"/>
      <c r="D1424" s="250"/>
      <c r="E1424" s="250"/>
      <c r="F1424" s="250"/>
      <c r="G1424" s="471"/>
      <c r="H1424" s="250"/>
      <c r="I1424" s="471"/>
    </row>
    <row r="1425" spans="1:9" ht="12.75">
      <c r="A1425" s="717"/>
      <c r="B1425" s="718"/>
      <c r="C1425" s="250"/>
      <c r="D1425" s="250"/>
      <c r="E1425" s="250"/>
      <c r="F1425" s="250"/>
      <c r="G1425" s="471"/>
      <c r="H1425" s="250"/>
      <c r="I1425" s="471"/>
    </row>
    <row r="1426" spans="1:9" ht="12.75">
      <c r="A1426" s="717"/>
      <c r="B1426" s="718"/>
      <c r="C1426" s="250"/>
      <c r="D1426" s="250"/>
      <c r="E1426" s="250"/>
      <c r="F1426" s="250"/>
      <c r="G1426" s="471"/>
      <c r="H1426" s="250"/>
      <c r="I1426" s="471"/>
    </row>
    <row r="1427" spans="1:9" ht="12.75">
      <c r="A1427" s="717"/>
      <c r="B1427" s="718"/>
      <c r="C1427" s="250"/>
      <c r="D1427" s="250"/>
      <c r="E1427" s="250"/>
      <c r="F1427" s="250"/>
      <c r="G1427" s="471"/>
      <c r="H1427" s="250"/>
      <c r="I1427" s="471"/>
    </row>
    <row r="1428" spans="1:9" ht="12.75">
      <c r="A1428" s="717"/>
      <c r="B1428" s="718"/>
      <c r="C1428" s="250"/>
      <c r="D1428" s="250"/>
      <c r="E1428" s="250"/>
      <c r="F1428" s="250"/>
      <c r="G1428" s="471"/>
      <c r="H1428" s="250"/>
      <c r="I1428" s="471"/>
    </row>
    <row r="1429" spans="1:9" ht="12.75">
      <c r="A1429" s="717"/>
      <c r="B1429" s="718"/>
      <c r="C1429" s="250"/>
      <c r="D1429" s="250"/>
      <c r="E1429" s="250"/>
      <c r="F1429" s="250"/>
      <c r="G1429" s="471"/>
      <c r="H1429" s="250"/>
      <c r="I1429" s="471"/>
    </row>
    <row r="1430" spans="1:9" ht="12.75">
      <c r="A1430" s="717"/>
      <c r="B1430" s="718"/>
      <c r="C1430" s="250"/>
      <c r="D1430" s="250"/>
      <c r="E1430" s="250"/>
      <c r="F1430" s="250"/>
      <c r="G1430" s="471"/>
      <c r="H1430" s="250"/>
      <c r="I1430" s="471"/>
    </row>
    <row r="1431" spans="1:9" ht="12.75">
      <c r="A1431" s="717"/>
      <c r="B1431" s="718"/>
      <c r="C1431" s="250"/>
      <c r="D1431" s="250"/>
      <c r="E1431" s="250"/>
      <c r="F1431" s="250"/>
      <c r="G1431" s="471"/>
      <c r="H1431" s="250"/>
      <c r="I1431" s="471"/>
    </row>
    <row r="1432" spans="1:9" ht="12.75">
      <c r="A1432" s="717"/>
      <c r="B1432" s="718"/>
      <c r="C1432" s="250"/>
      <c r="D1432" s="250"/>
      <c r="E1432" s="250"/>
      <c r="F1432" s="250"/>
      <c r="G1432" s="471"/>
      <c r="H1432" s="250"/>
      <c r="I1432" s="471"/>
    </row>
    <row r="1433" spans="1:9" ht="12.75">
      <c r="A1433" s="717"/>
      <c r="B1433" s="718"/>
      <c r="C1433" s="250"/>
      <c r="D1433" s="250"/>
      <c r="E1433" s="250"/>
      <c r="F1433" s="250"/>
      <c r="G1433" s="471"/>
      <c r="H1433" s="250"/>
      <c r="I1433" s="471"/>
    </row>
    <row r="1434" spans="1:9" ht="12.75">
      <c r="A1434" s="717"/>
      <c r="B1434" s="718"/>
      <c r="C1434" s="250"/>
      <c r="D1434" s="250"/>
      <c r="E1434" s="250"/>
      <c r="F1434" s="250"/>
      <c r="G1434" s="471"/>
      <c r="H1434" s="250"/>
      <c r="I1434" s="471"/>
    </row>
    <row r="1435" spans="1:9" ht="12.75">
      <c r="A1435" s="717"/>
      <c r="B1435" s="718"/>
      <c r="C1435" s="250"/>
      <c r="D1435" s="250"/>
      <c r="E1435" s="250"/>
      <c r="F1435" s="250"/>
      <c r="G1435" s="471"/>
      <c r="H1435" s="250"/>
      <c r="I1435" s="471"/>
    </row>
    <row r="1436" spans="1:9" ht="12.75">
      <c r="A1436" s="717"/>
      <c r="B1436" s="718"/>
      <c r="C1436" s="250"/>
      <c r="D1436" s="250"/>
      <c r="E1436" s="250"/>
      <c r="F1436" s="250"/>
      <c r="G1436" s="471"/>
      <c r="H1436" s="250"/>
      <c r="I1436" s="471"/>
    </row>
    <row r="1437" spans="1:9" ht="12.75">
      <c r="A1437" s="717"/>
      <c r="B1437" s="718"/>
      <c r="C1437" s="250"/>
      <c r="D1437" s="250"/>
      <c r="E1437" s="250"/>
      <c r="F1437" s="250"/>
      <c r="G1437" s="471"/>
      <c r="H1437" s="250"/>
      <c r="I1437" s="471"/>
    </row>
    <row r="1438" spans="1:9" ht="12.75">
      <c r="A1438" s="717"/>
      <c r="B1438" s="718"/>
      <c r="C1438" s="250"/>
      <c r="D1438" s="250"/>
      <c r="E1438" s="250"/>
      <c r="F1438" s="250"/>
      <c r="G1438" s="471"/>
      <c r="H1438" s="250"/>
      <c r="I1438" s="471"/>
    </row>
    <row r="1439" spans="1:9" ht="12.75">
      <c r="A1439" s="717"/>
      <c r="B1439" s="718"/>
      <c r="C1439" s="250"/>
      <c r="D1439" s="250"/>
      <c r="E1439" s="250"/>
      <c r="F1439" s="250"/>
      <c r="G1439" s="471"/>
      <c r="H1439" s="250"/>
      <c r="I1439" s="471"/>
    </row>
    <row r="1440" spans="1:9" ht="12.75">
      <c r="A1440" s="717"/>
      <c r="B1440" s="718"/>
      <c r="C1440" s="250"/>
      <c r="D1440" s="250"/>
      <c r="E1440" s="250"/>
      <c r="F1440" s="250"/>
      <c r="G1440" s="471"/>
      <c r="H1440" s="250"/>
      <c r="I1440" s="471"/>
    </row>
    <row r="1441" spans="1:9" ht="12.75">
      <c r="A1441" s="717"/>
      <c r="B1441" s="718"/>
      <c r="C1441" s="250"/>
      <c r="D1441" s="250"/>
      <c r="E1441" s="250"/>
      <c r="F1441" s="250"/>
      <c r="G1441" s="471"/>
      <c r="H1441" s="250"/>
      <c r="I1441" s="471"/>
    </row>
    <row r="1442" spans="1:9" ht="12.75">
      <c r="A1442" s="717"/>
      <c r="B1442" s="718"/>
      <c r="C1442" s="250"/>
      <c r="D1442" s="250"/>
      <c r="E1442" s="250"/>
      <c r="F1442" s="250"/>
      <c r="G1442" s="471"/>
      <c r="H1442" s="250"/>
      <c r="I1442" s="471"/>
    </row>
    <row r="1443" spans="1:9" ht="12.75">
      <c r="A1443" s="717"/>
      <c r="B1443" s="718"/>
      <c r="C1443" s="250"/>
      <c r="D1443" s="250"/>
      <c r="E1443" s="250"/>
      <c r="F1443" s="250"/>
      <c r="G1443" s="471"/>
      <c r="H1443" s="250"/>
      <c r="I1443" s="471"/>
    </row>
    <row r="1444" spans="1:9" ht="12.75">
      <c r="A1444" s="717"/>
      <c r="B1444" s="718"/>
      <c r="C1444" s="250"/>
      <c r="D1444" s="250"/>
      <c r="E1444" s="250"/>
      <c r="F1444" s="250"/>
      <c r="G1444" s="471"/>
      <c r="H1444" s="250"/>
      <c r="I1444" s="471"/>
    </row>
    <row r="1445" spans="1:9" ht="12.75">
      <c r="A1445" s="717"/>
      <c r="B1445" s="718"/>
      <c r="C1445" s="250"/>
      <c r="D1445" s="250"/>
      <c r="E1445" s="250"/>
      <c r="F1445" s="250"/>
      <c r="G1445" s="471"/>
      <c r="H1445" s="250"/>
      <c r="I1445" s="471"/>
    </row>
    <row r="1446" spans="1:9" ht="12.75">
      <c r="A1446" s="717"/>
      <c r="B1446" s="718"/>
      <c r="C1446" s="250"/>
      <c r="D1446" s="250"/>
      <c r="E1446" s="250"/>
      <c r="F1446" s="250"/>
      <c r="G1446" s="471"/>
      <c r="H1446" s="250"/>
      <c r="I1446" s="471"/>
    </row>
    <row r="1447" spans="1:9" ht="12.75">
      <c r="A1447" s="717"/>
      <c r="B1447" s="718"/>
      <c r="C1447" s="250"/>
      <c r="D1447" s="250"/>
      <c r="E1447" s="250"/>
      <c r="F1447" s="250"/>
      <c r="G1447" s="471"/>
      <c r="H1447" s="250"/>
      <c r="I1447" s="471"/>
    </row>
    <row r="1448" spans="1:9" ht="12.75">
      <c r="A1448" s="717"/>
      <c r="B1448" s="718"/>
      <c r="C1448" s="250"/>
      <c r="D1448" s="250"/>
      <c r="E1448" s="250"/>
      <c r="F1448" s="250"/>
      <c r="G1448" s="471"/>
      <c r="H1448" s="250"/>
      <c r="I1448" s="471"/>
    </row>
    <row r="1449" spans="1:9" ht="12.75">
      <c r="A1449" s="717"/>
      <c r="B1449" s="718"/>
      <c r="C1449" s="250"/>
      <c r="D1449" s="250"/>
      <c r="E1449" s="250"/>
      <c r="F1449" s="250"/>
      <c r="G1449" s="471"/>
      <c r="H1449" s="250"/>
      <c r="I1449" s="471"/>
    </row>
    <row r="1450" spans="1:9" ht="12.75">
      <c r="A1450" s="717"/>
      <c r="B1450" s="718"/>
      <c r="C1450" s="250"/>
      <c r="D1450" s="250"/>
      <c r="E1450" s="250"/>
      <c r="F1450" s="250"/>
      <c r="G1450" s="471"/>
      <c r="H1450" s="250"/>
      <c r="I1450" s="471"/>
    </row>
    <row r="1451" spans="1:9" ht="12.75">
      <c r="A1451" s="717"/>
      <c r="B1451" s="718"/>
      <c r="C1451" s="250"/>
      <c r="D1451" s="250"/>
      <c r="E1451" s="250"/>
      <c r="F1451" s="250"/>
      <c r="G1451" s="471"/>
      <c r="H1451" s="250"/>
      <c r="I1451" s="471"/>
    </row>
    <row r="1452" spans="1:9" ht="12.75">
      <c r="A1452" s="717"/>
      <c r="B1452" s="718"/>
      <c r="C1452" s="250"/>
      <c r="D1452" s="250"/>
      <c r="E1452" s="250"/>
      <c r="F1452" s="250"/>
      <c r="G1452" s="471"/>
      <c r="H1452" s="250"/>
      <c r="I1452" s="471"/>
    </row>
    <row r="1453" spans="1:9" ht="12.75">
      <c r="A1453" s="717"/>
      <c r="B1453" s="718"/>
      <c r="C1453" s="250"/>
      <c r="D1453" s="250"/>
      <c r="E1453" s="250"/>
      <c r="F1453" s="250"/>
      <c r="G1453" s="471"/>
      <c r="H1453" s="250"/>
      <c r="I1453" s="471"/>
    </row>
    <row r="1454" spans="1:9" ht="12.75">
      <c r="A1454" s="717"/>
      <c r="B1454" s="718"/>
      <c r="C1454" s="250"/>
      <c r="D1454" s="250"/>
      <c r="E1454" s="250"/>
      <c r="F1454" s="250"/>
      <c r="G1454" s="471"/>
      <c r="H1454" s="250"/>
      <c r="I1454" s="471"/>
    </row>
    <row r="1455" spans="1:9" ht="12.75">
      <c r="A1455" s="717"/>
      <c r="B1455" s="718"/>
      <c r="C1455" s="250"/>
      <c r="D1455" s="250"/>
      <c r="E1455" s="250"/>
      <c r="F1455" s="250"/>
      <c r="G1455" s="471"/>
      <c r="H1455" s="250"/>
      <c r="I1455" s="471"/>
    </row>
    <row r="1456" spans="1:9" ht="12.75">
      <c r="A1456" s="717"/>
      <c r="B1456" s="718"/>
      <c r="C1456" s="250"/>
      <c r="D1456" s="250"/>
      <c r="E1456" s="250"/>
      <c r="F1456" s="250"/>
      <c r="G1456" s="471"/>
      <c r="H1456" s="250"/>
      <c r="I1456" s="471"/>
    </row>
    <row r="1457" spans="1:9" ht="12.75">
      <c r="A1457" s="717"/>
      <c r="B1457" s="718"/>
      <c r="C1457" s="250"/>
      <c r="D1457" s="250"/>
      <c r="E1457" s="250"/>
      <c r="F1457" s="250"/>
      <c r="G1457" s="471"/>
      <c r="H1457" s="250"/>
      <c r="I1457" s="471"/>
    </row>
    <row r="1458" spans="1:9" ht="12.75">
      <c r="A1458" s="717"/>
      <c r="B1458" s="718"/>
      <c r="C1458" s="250"/>
      <c r="D1458" s="250"/>
      <c r="E1458" s="250"/>
      <c r="F1458" s="250"/>
      <c r="G1458" s="471"/>
      <c r="H1458" s="250"/>
      <c r="I1458" s="471"/>
    </row>
    <row r="1459" spans="1:9" ht="12.75">
      <c r="A1459" s="717"/>
      <c r="B1459" s="718"/>
      <c r="C1459" s="250"/>
      <c r="D1459" s="250"/>
      <c r="E1459" s="250"/>
      <c r="F1459" s="250"/>
      <c r="G1459" s="471"/>
      <c r="H1459" s="250"/>
      <c r="I1459" s="471"/>
    </row>
    <row r="1460" spans="1:9" ht="12.75">
      <c r="A1460" s="717"/>
      <c r="B1460" s="718"/>
      <c r="C1460" s="250"/>
      <c r="D1460" s="250"/>
      <c r="E1460" s="250"/>
      <c r="F1460" s="250"/>
      <c r="G1460" s="471"/>
      <c r="H1460" s="250"/>
      <c r="I1460" s="471"/>
    </row>
    <row r="1461" spans="1:9" ht="12.75">
      <c r="A1461" s="717"/>
      <c r="B1461" s="718"/>
      <c r="C1461" s="250"/>
      <c r="D1461" s="250"/>
      <c r="E1461" s="250"/>
      <c r="F1461" s="250"/>
      <c r="G1461" s="471"/>
      <c r="H1461" s="250"/>
      <c r="I1461" s="471"/>
    </row>
    <row r="1462" spans="1:9" ht="12.75">
      <c r="A1462" s="717"/>
      <c r="B1462" s="718"/>
      <c r="C1462" s="250"/>
      <c r="D1462" s="250"/>
      <c r="E1462" s="250"/>
      <c r="F1462" s="250"/>
      <c r="G1462" s="471"/>
      <c r="H1462" s="250"/>
      <c r="I1462" s="471"/>
    </row>
    <row r="1463" spans="1:9" ht="12.75">
      <c r="A1463" s="717"/>
      <c r="B1463" s="718"/>
      <c r="C1463" s="250"/>
      <c r="D1463" s="250"/>
      <c r="E1463" s="250"/>
      <c r="F1463" s="250"/>
      <c r="G1463" s="471"/>
      <c r="H1463" s="250"/>
      <c r="I1463" s="471"/>
    </row>
    <row r="1464" spans="1:9" ht="12.75">
      <c r="A1464" s="717"/>
      <c r="B1464" s="718"/>
      <c r="C1464" s="250"/>
      <c r="D1464" s="250"/>
      <c r="E1464" s="250"/>
      <c r="F1464" s="250"/>
      <c r="G1464" s="471"/>
      <c r="H1464" s="250"/>
      <c r="I1464" s="471"/>
    </row>
    <row r="1465" spans="1:9" ht="12.75">
      <c r="A1465" s="717"/>
      <c r="B1465" s="718"/>
      <c r="C1465" s="250"/>
      <c r="D1465" s="250"/>
      <c r="E1465" s="250"/>
      <c r="F1465" s="250"/>
      <c r="G1465" s="471"/>
      <c r="H1465" s="250"/>
      <c r="I1465" s="471"/>
    </row>
    <row r="1466" spans="1:9" ht="12.75">
      <c r="A1466" s="717"/>
      <c r="B1466" s="718"/>
      <c r="C1466" s="250"/>
      <c r="D1466" s="250"/>
      <c r="E1466" s="250"/>
      <c r="F1466" s="250"/>
      <c r="G1466" s="471"/>
      <c r="H1466" s="250"/>
      <c r="I1466" s="471"/>
    </row>
    <row r="1467" spans="1:9" ht="12.75">
      <c r="A1467" s="717"/>
      <c r="B1467" s="718"/>
      <c r="C1467" s="250"/>
      <c r="D1467" s="250"/>
      <c r="E1467" s="250"/>
      <c r="F1467" s="250"/>
      <c r="G1467" s="471"/>
      <c r="H1467" s="250"/>
      <c r="I1467" s="471"/>
    </row>
    <row r="1468" spans="1:9" ht="12.75">
      <c r="A1468" s="717"/>
      <c r="B1468" s="718"/>
      <c r="C1468" s="250"/>
      <c r="D1468" s="250"/>
      <c r="E1468" s="250"/>
      <c r="F1468" s="250"/>
      <c r="G1468" s="471"/>
      <c r="H1468" s="250"/>
      <c r="I1468" s="471"/>
    </row>
    <row r="1469" spans="1:9" ht="12.75">
      <c r="A1469" s="717"/>
      <c r="B1469" s="718"/>
      <c r="C1469" s="250"/>
      <c r="D1469" s="250"/>
      <c r="E1469" s="250"/>
      <c r="F1469" s="250"/>
      <c r="G1469" s="471"/>
      <c r="H1469" s="250"/>
      <c r="I1469" s="471"/>
    </row>
    <row r="1470" spans="1:9" ht="12.75">
      <c r="A1470" s="717"/>
      <c r="B1470" s="718"/>
      <c r="C1470" s="250"/>
      <c r="D1470" s="250"/>
      <c r="E1470" s="250"/>
      <c r="F1470" s="250"/>
      <c r="G1470" s="471"/>
      <c r="H1470" s="250"/>
      <c r="I1470" s="471"/>
    </row>
    <row r="1471" spans="1:9" ht="12.75">
      <c r="A1471" s="717"/>
      <c r="B1471" s="718"/>
      <c r="C1471" s="250"/>
      <c r="D1471" s="250"/>
      <c r="E1471" s="250"/>
      <c r="F1471" s="250"/>
      <c r="G1471" s="471"/>
      <c r="H1471" s="250"/>
      <c r="I1471" s="471"/>
    </row>
    <row r="1472" spans="1:9" ht="12.75">
      <c r="A1472" s="717"/>
      <c r="B1472" s="718"/>
      <c r="C1472" s="250"/>
      <c r="D1472" s="250"/>
      <c r="E1472" s="250"/>
      <c r="F1472" s="250"/>
      <c r="G1472" s="471"/>
      <c r="H1472" s="250"/>
      <c r="I1472" s="471"/>
    </row>
    <row r="1473" spans="1:9" ht="12.75">
      <c r="A1473" s="717"/>
      <c r="B1473" s="718"/>
      <c r="C1473" s="250"/>
      <c r="D1473" s="250"/>
      <c r="E1473" s="250"/>
      <c r="F1473" s="250"/>
      <c r="G1473" s="471"/>
      <c r="H1473" s="250"/>
      <c r="I1473" s="471"/>
    </row>
    <row r="1474" spans="1:9" ht="12.75">
      <c r="A1474" s="717"/>
      <c r="B1474" s="718"/>
      <c r="C1474" s="250"/>
      <c r="D1474" s="250"/>
      <c r="E1474" s="250"/>
      <c r="F1474" s="250"/>
      <c r="G1474" s="471"/>
      <c r="H1474" s="250"/>
      <c r="I1474" s="471"/>
    </row>
    <row r="1475" spans="1:9" ht="12.75">
      <c r="A1475" s="717"/>
      <c r="B1475" s="718"/>
      <c r="C1475" s="250"/>
      <c r="D1475" s="250"/>
      <c r="E1475" s="250"/>
      <c r="F1475" s="250"/>
      <c r="G1475" s="471"/>
      <c r="H1475" s="250"/>
      <c r="I1475" s="471"/>
    </row>
    <row r="1476" spans="1:9" ht="12.75">
      <c r="A1476" s="717"/>
      <c r="B1476" s="718"/>
      <c r="C1476" s="250"/>
      <c r="D1476" s="250"/>
      <c r="E1476" s="250"/>
      <c r="F1476" s="250"/>
      <c r="G1476" s="471"/>
      <c r="H1476" s="250"/>
      <c r="I1476" s="471"/>
    </row>
    <row r="1477" spans="1:9" ht="12.75">
      <c r="A1477" s="717"/>
      <c r="B1477" s="718"/>
      <c r="C1477" s="250"/>
      <c r="D1477" s="250"/>
      <c r="E1477" s="250"/>
      <c r="F1477" s="250"/>
      <c r="G1477" s="471"/>
      <c r="H1477" s="250"/>
      <c r="I1477" s="471"/>
    </row>
    <row r="1478" spans="1:9" ht="12.75">
      <c r="A1478" s="717"/>
      <c r="B1478" s="718"/>
      <c r="C1478" s="250"/>
      <c r="D1478" s="250"/>
      <c r="E1478" s="250"/>
      <c r="F1478" s="250"/>
      <c r="G1478" s="471"/>
      <c r="H1478" s="250"/>
      <c r="I1478" s="471"/>
    </row>
    <row r="1479" spans="1:9" ht="12.75">
      <c r="A1479" s="717"/>
      <c r="B1479" s="718"/>
      <c r="C1479" s="250"/>
      <c r="D1479" s="250"/>
      <c r="E1479" s="250"/>
      <c r="F1479" s="250"/>
      <c r="G1479" s="471"/>
      <c r="H1479" s="250"/>
      <c r="I1479" s="471"/>
    </row>
    <row r="1480" spans="1:9" ht="12.75">
      <c r="A1480" s="717"/>
      <c r="B1480" s="718"/>
      <c r="C1480" s="250"/>
      <c r="D1480" s="250"/>
      <c r="E1480" s="250"/>
      <c r="F1480" s="250"/>
      <c r="G1480" s="471"/>
      <c r="H1480" s="250"/>
      <c r="I1480" s="471"/>
    </row>
    <row r="1481" spans="1:9" ht="12.75">
      <c r="A1481" s="717"/>
      <c r="B1481" s="718"/>
      <c r="C1481" s="250"/>
      <c r="D1481" s="250"/>
      <c r="E1481" s="250"/>
      <c r="F1481" s="250"/>
      <c r="G1481" s="471"/>
      <c r="H1481" s="250"/>
      <c r="I1481" s="471"/>
    </row>
    <row r="1482" spans="1:9" ht="12.75">
      <c r="A1482" s="717"/>
      <c r="B1482" s="718"/>
      <c r="C1482" s="250"/>
      <c r="D1482" s="250"/>
      <c r="E1482" s="250"/>
      <c r="F1482" s="250"/>
      <c r="G1482" s="471"/>
      <c r="H1482" s="250"/>
      <c r="I1482" s="471"/>
    </row>
    <row r="1483" spans="1:9" ht="12.75">
      <c r="A1483" s="717"/>
      <c r="B1483" s="718"/>
      <c r="C1483" s="250"/>
      <c r="D1483" s="250"/>
      <c r="E1483" s="250"/>
      <c r="F1483" s="250"/>
      <c r="G1483" s="471"/>
      <c r="H1483" s="250"/>
      <c r="I1483" s="471"/>
    </row>
    <row r="1484" spans="1:9" ht="12.75">
      <c r="A1484" s="717"/>
      <c r="B1484" s="718"/>
      <c r="C1484" s="250"/>
      <c r="D1484" s="250"/>
      <c r="E1484" s="250"/>
      <c r="F1484" s="250"/>
      <c r="G1484" s="471"/>
      <c r="H1484" s="250"/>
      <c r="I1484" s="471"/>
    </row>
    <row r="1485" spans="1:9" ht="12.75">
      <c r="A1485" s="717"/>
      <c r="B1485" s="718"/>
      <c r="C1485" s="250"/>
      <c r="D1485" s="250"/>
      <c r="E1485" s="250"/>
      <c r="F1485" s="250"/>
      <c r="G1485" s="471"/>
      <c r="H1485" s="250"/>
      <c r="I1485" s="471"/>
    </row>
    <row r="1486" spans="1:9" ht="12.75">
      <c r="A1486" s="717"/>
      <c r="B1486" s="718"/>
      <c r="C1486" s="250"/>
      <c r="D1486" s="250"/>
      <c r="E1486" s="250"/>
      <c r="F1486" s="250"/>
      <c r="G1486" s="471"/>
      <c r="H1486" s="250"/>
      <c r="I1486" s="471"/>
    </row>
    <row r="1487" spans="1:9" ht="12.75">
      <c r="A1487" s="717"/>
      <c r="B1487" s="718"/>
      <c r="C1487" s="250"/>
      <c r="D1487" s="250"/>
      <c r="E1487" s="250"/>
      <c r="F1487" s="250"/>
      <c r="G1487" s="471"/>
      <c r="H1487" s="250"/>
      <c r="I1487" s="471"/>
    </row>
    <row r="1488" spans="1:9" ht="12.75">
      <c r="A1488" s="717"/>
      <c r="B1488" s="718"/>
      <c r="C1488" s="250"/>
      <c r="D1488" s="250"/>
      <c r="E1488" s="250"/>
      <c r="F1488" s="250"/>
      <c r="G1488" s="471"/>
      <c r="H1488" s="250"/>
      <c r="I1488" s="471"/>
    </row>
    <row r="1489" spans="1:9" ht="12.75">
      <c r="A1489" s="717"/>
      <c r="B1489" s="718"/>
      <c r="C1489" s="250"/>
      <c r="D1489" s="250"/>
      <c r="E1489" s="250"/>
      <c r="F1489" s="250"/>
      <c r="G1489" s="471"/>
      <c r="H1489" s="250"/>
      <c r="I1489" s="471"/>
    </row>
    <row r="1490" spans="1:9" ht="12.75">
      <c r="A1490" s="717"/>
      <c r="B1490" s="718"/>
      <c r="C1490" s="250"/>
      <c r="D1490" s="250"/>
      <c r="E1490" s="250"/>
      <c r="F1490" s="250"/>
      <c r="G1490" s="471"/>
      <c r="H1490" s="250"/>
      <c r="I1490" s="471"/>
    </row>
    <row r="1491" spans="1:9" ht="12.75">
      <c r="A1491" s="717"/>
      <c r="B1491" s="718"/>
      <c r="C1491" s="250"/>
      <c r="D1491" s="250"/>
      <c r="E1491" s="250"/>
      <c r="F1491" s="250"/>
      <c r="G1491" s="471"/>
      <c r="H1491" s="250"/>
      <c r="I1491" s="471"/>
    </row>
    <row r="1492" spans="1:9" ht="12.75">
      <c r="A1492" s="717"/>
      <c r="B1492" s="718"/>
      <c r="C1492" s="250"/>
      <c r="D1492" s="250"/>
      <c r="E1492" s="250"/>
      <c r="F1492" s="250"/>
      <c r="G1492" s="471"/>
      <c r="H1492" s="250"/>
      <c r="I1492" s="471"/>
    </row>
    <row r="1493" spans="1:9" ht="12.75">
      <c r="A1493" s="717"/>
      <c r="B1493" s="718"/>
      <c r="C1493" s="250"/>
      <c r="D1493" s="250"/>
      <c r="E1493" s="250"/>
      <c r="F1493" s="250"/>
      <c r="G1493" s="471"/>
      <c r="H1493" s="250"/>
      <c r="I1493" s="471"/>
    </row>
    <row r="1494" spans="1:9" ht="12.75">
      <c r="A1494" s="717"/>
      <c r="B1494" s="718"/>
      <c r="C1494" s="250"/>
      <c r="D1494" s="250"/>
      <c r="E1494" s="250"/>
      <c r="F1494" s="250"/>
      <c r="G1494" s="471"/>
      <c r="H1494" s="250"/>
      <c r="I1494" s="471"/>
    </row>
    <row r="1495" spans="1:9" ht="12.75">
      <c r="A1495" s="717"/>
      <c r="B1495" s="718"/>
      <c r="C1495" s="250"/>
      <c r="D1495" s="250"/>
      <c r="E1495" s="250"/>
      <c r="F1495" s="250"/>
      <c r="G1495" s="471"/>
      <c r="H1495" s="250"/>
      <c r="I1495" s="471"/>
    </row>
    <row r="1496" spans="1:9" ht="12.75">
      <c r="A1496" s="717"/>
      <c r="B1496" s="718"/>
      <c r="C1496" s="250"/>
      <c r="D1496" s="250"/>
      <c r="E1496" s="250"/>
      <c r="F1496" s="250"/>
      <c r="G1496" s="471"/>
      <c r="H1496" s="250"/>
      <c r="I1496" s="471"/>
    </row>
    <row r="1497" spans="1:9" ht="12.75">
      <c r="A1497" s="717"/>
      <c r="B1497" s="718"/>
      <c r="C1497" s="250"/>
      <c r="D1497" s="250"/>
      <c r="E1497" s="250"/>
      <c r="F1497" s="250"/>
      <c r="G1497" s="471"/>
      <c r="H1497" s="250"/>
      <c r="I1497" s="471"/>
    </row>
    <row r="1498" spans="1:9" ht="12.75">
      <c r="A1498" s="717"/>
      <c r="B1498" s="718"/>
      <c r="C1498" s="250"/>
      <c r="D1498" s="250"/>
      <c r="E1498" s="250"/>
      <c r="F1498" s="250"/>
      <c r="G1498" s="471"/>
      <c r="H1498" s="250"/>
      <c r="I1498" s="471"/>
    </row>
    <row r="1499" spans="1:9" ht="12.75">
      <c r="A1499" s="717"/>
      <c r="B1499" s="718"/>
      <c r="C1499" s="250"/>
      <c r="D1499" s="250"/>
      <c r="E1499" s="250"/>
      <c r="F1499" s="250"/>
      <c r="G1499" s="471"/>
      <c r="H1499" s="250"/>
      <c r="I1499" s="471"/>
    </row>
    <row r="1500" spans="1:9" ht="12.75">
      <c r="A1500" s="717"/>
      <c r="B1500" s="718"/>
      <c r="C1500" s="250"/>
      <c r="D1500" s="250"/>
      <c r="E1500" s="250"/>
      <c r="F1500" s="250"/>
      <c r="G1500" s="471"/>
      <c r="H1500" s="250"/>
      <c r="I1500" s="471"/>
    </row>
    <row r="1501" spans="1:9" ht="12.75">
      <c r="A1501" s="717"/>
      <c r="B1501" s="718"/>
      <c r="C1501" s="250"/>
      <c r="D1501" s="250"/>
      <c r="E1501" s="250"/>
      <c r="F1501" s="250"/>
      <c r="G1501" s="471"/>
      <c r="H1501" s="250"/>
      <c r="I1501" s="471"/>
    </row>
    <row r="1502" spans="1:9" ht="12.75">
      <c r="A1502" s="717"/>
      <c r="B1502" s="718"/>
      <c r="C1502" s="250"/>
      <c r="D1502" s="250"/>
      <c r="E1502" s="250"/>
      <c r="F1502" s="250"/>
      <c r="G1502" s="471"/>
      <c r="H1502" s="250"/>
      <c r="I1502" s="471"/>
    </row>
    <row r="1503" spans="1:9" ht="12.75">
      <c r="A1503" s="717"/>
      <c r="B1503" s="718"/>
      <c r="C1503" s="250"/>
      <c r="D1503" s="250"/>
      <c r="E1503" s="250"/>
      <c r="F1503" s="250"/>
      <c r="G1503" s="471"/>
      <c r="H1503" s="250"/>
      <c r="I1503" s="471"/>
    </row>
    <row r="1504" spans="1:9" ht="12.75">
      <c r="A1504" s="717"/>
      <c r="B1504" s="718"/>
      <c r="C1504" s="250"/>
      <c r="D1504" s="250"/>
      <c r="E1504" s="250"/>
      <c r="F1504" s="250"/>
      <c r="G1504" s="471"/>
      <c r="H1504" s="250"/>
      <c r="I1504" s="471"/>
    </row>
    <row r="1505" spans="1:9" ht="12.75">
      <c r="A1505" s="717"/>
      <c r="B1505" s="718"/>
      <c r="C1505" s="250"/>
      <c r="D1505" s="250"/>
      <c r="E1505" s="250"/>
      <c r="F1505" s="250"/>
      <c r="G1505" s="471"/>
      <c r="H1505" s="250"/>
      <c r="I1505" s="471"/>
    </row>
    <row r="1506" spans="1:9" ht="12.75">
      <c r="A1506" s="717"/>
      <c r="B1506" s="718"/>
      <c r="C1506" s="250"/>
      <c r="D1506" s="250"/>
      <c r="E1506" s="250"/>
      <c r="F1506" s="250"/>
      <c r="G1506" s="471"/>
      <c r="H1506" s="250"/>
      <c r="I1506" s="471"/>
    </row>
    <row r="1507" spans="1:9" ht="12.75">
      <c r="A1507" s="717"/>
      <c r="B1507" s="718"/>
      <c r="C1507" s="250"/>
      <c r="D1507" s="250"/>
      <c r="E1507" s="250"/>
      <c r="F1507" s="250"/>
      <c r="G1507" s="471"/>
      <c r="H1507" s="250"/>
      <c r="I1507" s="471"/>
    </row>
    <row r="1508" spans="1:9" ht="12.75">
      <c r="A1508" s="717"/>
      <c r="B1508" s="718"/>
      <c r="C1508" s="250"/>
      <c r="D1508" s="250"/>
      <c r="E1508" s="250"/>
      <c r="F1508" s="250"/>
      <c r="G1508" s="471"/>
      <c r="H1508" s="250"/>
      <c r="I1508" s="471"/>
    </row>
    <row r="1509" spans="1:9" ht="12.75">
      <c r="A1509" s="717"/>
      <c r="B1509" s="718"/>
      <c r="C1509" s="250"/>
      <c r="D1509" s="250"/>
      <c r="E1509" s="250"/>
      <c r="F1509" s="250"/>
      <c r="G1509" s="471"/>
      <c r="H1509" s="250"/>
      <c r="I1509" s="471"/>
    </row>
    <row r="1510" spans="1:9" ht="12.75">
      <c r="A1510" s="717"/>
      <c r="B1510" s="718"/>
      <c r="C1510" s="250"/>
      <c r="D1510" s="250"/>
      <c r="E1510" s="250"/>
      <c r="F1510" s="250"/>
      <c r="G1510" s="471"/>
      <c r="H1510" s="250"/>
      <c r="I1510" s="471"/>
    </row>
    <row r="1511" spans="1:9" ht="12.75">
      <c r="A1511" s="717"/>
      <c r="B1511" s="718"/>
      <c r="C1511" s="250"/>
      <c r="D1511" s="250"/>
      <c r="E1511" s="250"/>
      <c r="F1511" s="250"/>
      <c r="G1511" s="471"/>
      <c r="H1511" s="250"/>
      <c r="I1511" s="471"/>
    </row>
    <row r="1512" spans="1:9" ht="12.75">
      <c r="A1512" s="717"/>
      <c r="B1512" s="718"/>
      <c r="C1512" s="250"/>
      <c r="D1512" s="250"/>
      <c r="E1512" s="250"/>
      <c r="F1512" s="250"/>
      <c r="G1512" s="471"/>
      <c r="H1512" s="250"/>
      <c r="I1512" s="471"/>
    </row>
    <row r="1513" spans="1:9" ht="12.75">
      <c r="A1513" s="717"/>
      <c r="B1513" s="718"/>
      <c r="C1513" s="250"/>
      <c r="D1513" s="250"/>
      <c r="E1513" s="250"/>
      <c r="F1513" s="250"/>
      <c r="G1513" s="471"/>
      <c r="H1513" s="250"/>
      <c r="I1513" s="471"/>
    </row>
    <row r="1514" spans="1:9" ht="12.75">
      <c r="A1514" s="717"/>
      <c r="B1514" s="718"/>
      <c r="C1514" s="250"/>
      <c r="D1514" s="250"/>
      <c r="E1514" s="250"/>
      <c r="F1514" s="250"/>
      <c r="G1514" s="471"/>
      <c r="H1514" s="250"/>
      <c r="I1514" s="471"/>
    </row>
    <row r="1515" spans="1:9" ht="12.75">
      <c r="A1515" s="717"/>
      <c r="B1515" s="718"/>
      <c r="C1515" s="250"/>
      <c r="D1515" s="250"/>
      <c r="E1515" s="250"/>
      <c r="F1515" s="250"/>
      <c r="G1515" s="471"/>
      <c r="H1515" s="250"/>
      <c r="I1515" s="471"/>
    </row>
    <row r="1516" spans="1:9" ht="12.75">
      <c r="A1516" s="717"/>
      <c r="B1516" s="718"/>
      <c r="C1516" s="250"/>
      <c r="D1516" s="250"/>
      <c r="E1516" s="250"/>
      <c r="F1516" s="250"/>
      <c r="G1516" s="471"/>
      <c r="H1516" s="250"/>
      <c r="I1516" s="471"/>
    </row>
    <row r="1517" spans="1:9" ht="12.75">
      <c r="A1517" s="717"/>
      <c r="B1517" s="718"/>
      <c r="C1517" s="250"/>
      <c r="D1517" s="250"/>
      <c r="E1517" s="250"/>
      <c r="F1517" s="250"/>
      <c r="G1517" s="471"/>
      <c r="H1517" s="250"/>
      <c r="I1517" s="471"/>
    </row>
    <row r="1518" spans="1:9" ht="12.75">
      <c r="A1518" s="717"/>
      <c r="B1518" s="718"/>
      <c r="C1518" s="250"/>
      <c r="D1518" s="250"/>
      <c r="E1518" s="250"/>
      <c r="F1518" s="250"/>
      <c r="G1518" s="471"/>
      <c r="H1518" s="250"/>
      <c r="I1518" s="471"/>
    </row>
    <row r="1519" spans="1:9" ht="12.75">
      <c r="A1519" s="717"/>
      <c r="B1519" s="718"/>
      <c r="C1519" s="250"/>
      <c r="D1519" s="250"/>
      <c r="E1519" s="250"/>
      <c r="F1519" s="250"/>
      <c r="G1519" s="471"/>
      <c r="H1519" s="250"/>
      <c r="I1519" s="471"/>
    </row>
    <row r="1520" spans="1:9" ht="12.75">
      <c r="A1520" s="717"/>
      <c r="B1520" s="718"/>
      <c r="C1520" s="250"/>
      <c r="D1520" s="250"/>
      <c r="E1520" s="250"/>
      <c r="F1520" s="250"/>
      <c r="G1520" s="471"/>
      <c r="H1520" s="250"/>
      <c r="I1520" s="471"/>
    </row>
    <row r="1521" spans="1:9" ht="12.75">
      <c r="A1521" s="717"/>
      <c r="B1521" s="718"/>
      <c r="C1521" s="250"/>
      <c r="D1521" s="250"/>
      <c r="E1521" s="250"/>
      <c r="F1521" s="250"/>
      <c r="G1521" s="471"/>
      <c r="H1521" s="250"/>
      <c r="I1521" s="471"/>
    </row>
    <row r="1522" spans="1:9" ht="12.75">
      <c r="A1522" s="717"/>
      <c r="B1522" s="718"/>
      <c r="C1522" s="250"/>
      <c r="D1522" s="250"/>
      <c r="E1522" s="250"/>
      <c r="F1522" s="250"/>
      <c r="G1522" s="471"/>
      <c r="H1522" s="250"/>
      <c r="I1522" s="471"/>
    </row>
    <row r="1523" spans="1:9" ht="12.75">
      <c r="A1523" s="717"/>
      <c r="B1523" s="718"/>
      <c r="C1523" s="250"/>
      <c r="D1523" s="250"/>
      <c r="E1523" s="250"/>
      <c r="F1523" s="250"/>
      <c r="G1523" s="471"/>
      <c r="H1523" s="250"/>
      <c r="I1523" s="471"/>
    </row>
    <row r="1524" spans="1:9" ht="12.75">
      <c r="A1524" s="717"/>
      <c r="B1524" s="718"/>
      <c r="C1524" s="250"/>
      <c r="D1524" s="250"/>
      <c r="E1524" s="250"/>
      <c r="F1524" s="250"/>
      <c r="G1524" s="471"/>
      <c r="H1524" s="250"/>
      <c r="I1524" s="471"/>
    </row>
    <row r="1525" spans="1:9" ht="12.75">
      <c r="A1525" s="717"/>
      <c r="B1525" s="718"/>
      <c r="C1525" s="250"/>
      <c r="D1525" s="250"/>
      <c r="E1525" s="250"/>
      <c r="F1525" s="250"/>
      <c r="G1525" s="471"/>
      <c r="H1525" s="250"/>
      <c r="I1525" s="471"/>
    </row>
    <row r="1526" spans="1:9" ht="12.75">
      <c r="A1526" s="717"/>
      <c r="B1526" s="718"/>
      <c r="C1526" s="250"/>
      <c r="D1526" s="250"/>
      <c r="E1526" s="250"/>
      <c r="F1526" s="250"/>
      <c r="G1526" s="471"/>
      <c r="H1526" s="250"/>
      <c r="I1526" s="471"/>
    </row>
    <row r="1527" spans="1:9" ht="12.75">
      <c r="A1527" s="717"/>
      <c r="B1527" s="718"/>
      <c r="C1527" s="250"/>
      <c r="D1527" s="250"/>
      <c r="E1527" s="250"/>
      <c r="F1527" s="250"/>
      <c r="G1527" s="471"/>
      <c r="H1527" s="250"/>
      <c r="I1527" s="471"/>
    </row>
    <row r="1528" spans="1:9" ht="12.75">
      <c r="A1528" s="717"/>
      <c r="B1528" s="718"/>
      <c r="C1528" s="250"/>
      <c r="D1528" s="250"/>
      <c r="E1528" s="250"/>
      <c r="F1528" s="250"/>
      <c r="G1528" s="471"/>
      <c r="H1528" s="250"/>
      <c r="I1528" s="471"/>
    </row>
    <row r="1529" spans="1:9" ht="12.75">
      <c r="A1529" s="717"/>
      <c r="B1529" s="718"/>
      <c r="C1529" s="250"/>
      <c r="D1529" s="250"/>
      <c r="E1529" s="250"/>
      <c r="F1529" s="250"/>
      <c r="G1529" s="471"/>
      <c r="H1529" s="250"/>
      <c r="I1529" s="471"/>
    </row>
    <row r="1530" spans="1:9" ht="12.75">
      <c r="A1530" s="717"/>
      <c r="B1530" s="718"/>
      <c r="C1530" s="250"/>
      <c r="D1530" s="250"/>
      <c r="E1530" s="250"/>
      <c r="F1530" s="250"/>
      <c r="G1530" s="471"/>
      <c r="H1530" s="250"/>
      <c r="I1530" s="471"/>
    </row>
    <row r="1531" spans="1:9" ht="12.75">
      <c r="A1531" s="717"/>
      <c r="B1531" s="718"/>
      <c r="C1531" s="250"/>
      <c r="D1531" s="250"/>
      <c r="E1531" s="250"/>
      <c r="F1531" s="250"/>
      <c r="G1531" s="471"/>
      <c r="H1531" s="250"/>
      <c r="I1531" s="471"/>
    </row>
    <row r="1532" spans="1:9" ht="12.75">
      <c r="A1532" s="717"/>
      <c r="B1532" s="718"/>
      <c r="C1532" s="250"/>
      <c r="D1532" s="250"/>
      <c r="E1532" s="250"/>
      <c r="F1532" s="250"/>
      <c r="G1532" s="471"/>
      <c r="H1532" s="250"/>
      <c r="I1532" s="471"/>
    </row>
    <row r="1533" spans="1:9" ht="12.75">
      <c r="A1533" s="717"/>
      <c r="B1533" s="718"/>
      <c r="C1533" s="250"/>
      <c r="D1533" s="250"/>
      <c r="E1533" s="250"/>
      <c r="F1533" s="250"/>
      <c r="G1533" s="471"/>
      <c r="H1533" s="250"/>
      <c r="I1533" s="471"/>
    </row>
    <row r="1534" spans="1:9" ht="12.75">
      <c r="A1534" s="717"/>
      <c r="B1534" s="718"/>
      <c r="C1534" s="250"/>
      <c r="D1534" s="250"/>
      <c r="E1534" s="250"/>
      <c r="F1534" s="250"/>
      <c r="G1534" s="471"/>
      <c r="H1534" s="250"/>
      <c r="I1534" s="471"/>
    </row>
    <row r="1535" spans="1:9" ht="12.75">
      <c r="A1535" s="717"/>
      <c r="B1535" s="718"/>
      <c r="C1535" s="250"/>
      <c r="D1535" s="250"/>
      <c r="E1535" s="250"/>
      <c r="F1535" s="250"/>
      <c r="G1535" s="471"/>
      <c r="H1535" s="250"/>
      <c r="I1535" s="471"/>
    </row>
    <row r="1536" spans="1:9" ht="12.75">
      <c r="A1536" s="717"/>
      <c r="B1536" s="718"/>
      <c r="C1536" s="250"/>
      <c r="D1536" s="250"/>
      <c r="E1536" s="250"/>
      <c r="F1536" s="250"/>
      <c r="G1536" s="471"/>
      <c r="H1536" s="250"/>
      <c r="I1536" s="471"/>
    </row>
    <row r="1537" spans="1:9" ht="12.75">
      <c r="A1537" s="717"/>
      <c r="B1537" s="718"/>
      <c r="C1537" s="250"/>
      <c r="D1537" s="250"/>
      <c r="E1537" s="250"/>
      <c r="F1537" s="250"/>
      <c r="G1537" s="471"/>
      <c r="H1537" s="250"/>
      <c r="I1537" s="471"/>
    </row>
    <row r="1538" spans="1:9" ht="12.75">
      <c r="A1538" s="717"/>
      <c r="B1538" s="718"/>
      <c r="C1538" s="250"/>
      <c r="D1538" s="250"/>
      <c r="E1538" s="250"/>
      <c r="F1538" s="250"/>
      <c r="G1538" s="471"/>
      <c r="H1538" s="250"/>
      <c r="I1538" s="471"/>
    </row>
    <row r="1539" spans="1:9" ht="12.75">
      <c r="A1539" s="717"/>
      <c r="B1539" s="718"/>
      <c r="C1539" s="250"/>
      <c r="D1539" s="250"/>
      <c r="E1539" s="250"/>
      <c r="F1539" s="250"/>
      <c r="G1539" s="471"/>
      <c r="H1539" s="250"/>
      <c r="I1539" s="471"/>
    </row>
    <row r="1540" spans="1:9" ht="12.75">
      <c r="A1540" s="717"/>
      <c r="B1540" s="718"/>
      <c r="C1540" s="250"/>
      <c r="D1540" s="250"/>
      <c r="E1540" s="250"/>
      <c r="F1540" s="250"/>
      <c r="G1540" s="471"/>
      <c r="H1540" s="250"/>
      <c r="I1540" s="471"/>
    </row>
    <row r="1541" spans="1:9" ht="12.75">
      <c r="A1541" s="717"/>
      <c r="B1541" s="718"/>
      <c r="C1541" s="250"/>
      <c r="D1541" s="250"/>
      <c r="E1541" s="250"/>
      <c r="F1541" s="250"/>
      <c r="G1541" s="471"/>
      <c r="H1541" s="250"/>
      <c r="I1541" s="471"/>
    </row>
    <row r="1542" spans="1:9" ht="12.75">
      <c r="A1542" s="717"/>
      <c r="B1542" s="718"/>
      <c r="C1542" s="250"/>
      <c r="D1542" s="250"/>
      <c r="E1542" s="250"/>
      <c r="F1542" s="250"/>
      <c r="G1542" s="471"/>
      <c r="H1542" s="250"/>
      <c r="I1542" s="471"/>
    </row>
    <row r="1543" spans="1:9" ht="12.75">
      <c r="A1543" s="717"/>
      <c r="B1543" s="718"/>
      <c r="C1543" s="250"/>
      <c r="D1543" s="250"/>
      <c r="E1543" s="250"/>
      <c r="F1543" s="250"/>
      <c r="G1543" s="471"/>
      <c r="H1543" s="250"/>
      <c r="I1543" s="471"/>
    </row>
    <row r="1544" spans="1:9" ht="12.75">
      <c r="A1544" s="717"/>
      <c r="B1544" s="718"/>
      <c r="C1544" s="250"/>
      <c r="D1544" s="250"/>
      <c r="E1544" s="250"/>
      <c r="F1544" s="250"/>
      <c r="G1544" s="471"/>
      <c r="H1544" s="250"/>
      <c r="I1544" s="471"/>
    </row>
    <row r="1545" spans="1:9" ht="12.75">
      <c r="A1545" s="717"/>
      <c r="B1545" s="718"/>
      <c r="C1545" s="250"/>
      <c r="D1545" s="250"/>
      <c r="E1545" s="250"/>
      <c r="F1545" s="250"/>
      <c r="G1545" s="471"/>
      <c r="H1545" s="250"/>
      <c r="I1545" s="471"/>
    </row>
    <row r="1546" spans="1:9" ht="12.75">
      <c r="A1546" s="717"/>
      <c r="B1546" s="718"/>
      <c r="C1546" s="250"/>
      <c r="D1546" s="250"/>
      <c r="E1546" s="250"/>
      <c r="F1546" s="250"/>
      <c r="G1546" s="471"/>
      <c r="H1546" s="250"/>
      <c r="I1546" s="471"/>
    </row>
    <row r="1547" spans="1:9" ht="12.75">
      <c r="A1547" s="717"/>
      <c r="B1547" s="718"/>
      <c r="C1547" s="250"/>
      <c r="D1547" s="250"/>
      <c r="E1547" s="250"/>
      <c r="F1547" s="250"/>
      <c r="G1547" s="471"/>
      <c r="H1547" s="250"/>
      <c r="I1547" s="471"/>
    </row>
    <row r="1548" spans="1:9" ht="12.75">
      <c r="A1548" s="717"/>
      <c r="B1548" s="718"/>
      <c r="C1548" s="250"/>
      <c r="D1548" s="250"/>
      <c r="E1548" s="250"/>
      <c r="F1548" s="250"/>
      <c r="G1548" s="471"/>
      <c r="H1548" s="250"/>
      <c r="I1548" s="471"/>
    </row>
    <row r="1549" spans="1:9" ht="12.75">
      <c r="A1549" s="717"/>
      <c r="B1549" s="718"/>
      <c r="C1549" s="250"/>
      <c r="D1549" s="250"/>
      <c r="E1549" s="250"/>
      <c r="F1549" s="250"/>
      <c r="G1549" s="471"/>
      <c r="H1549" s="250"/>
      <c r="I1549" s="471"/>
    </row>
    <row r="1550" spans="1:9" ht="12.75">
      <c r="A1550" s="717"/>
      <c r="B1550" s="718"/>
      <c r="C1550" s="250"/>
      <c r="D1550" s="250"/>
      <c r="E1550" s="250"/>
      <c r="F1550" s="250"/>
      <c r="G1550" s="471"/>
      <c r="H1550" s="250"/>
      <c r="I1550" s="471"/>
    </row>
    <row r="1551" spans="1:9" ht="12.75">
      <c r="A1551" s="717"/>
      <c r="B1551" s="718"/>
      <c r="C1551" s="250"/>
      <c r="D1551" s="250"/>
      <c r="E1551" s="250"/>
      <c r="F1551" s="250"/>
      <c r="G1551" s="471"/>
      <c r="H1551" s="250"/>
      <c r="I1551" s="471"/>
    </row>
    <row r="1552" spans="1:9" ht="12.75">
      <c r="A1552" s="717"/>
      <c r="B1552" s="718"/>
      <c r="C1552" s="250"/>
      <c r="D1552" s="250"/>
      <c r="E1552" s="250"/>
      <c r="F1552" s="250"/>
      <c r="G1552" s="471"/>
      <c r="H1552" s="250"/>
      <c r="I1552" s="471"/>
    </row>
    <row r="1553" spans="1:9" ht="12.75">
      <c r="A1553" s="717"/>
      <c r="B1553" s="718"/>
      <c r="C1553" s="250"/>
      <c r="D1553" s="250"/>
      <c r="E1553" s="250"/>
      <c r="F1553" s="250"/>
      <c r="G1553" s="471"/>
      <c r="H1553" s="250"/>
      <c r="I1553" s="471"/>
    </row>
    <row r="1554" spans="1:9" ht="12.75">
      <c r="A1554" s="717"/>
      <c r="B1554" s="718"/>
      <c r="C1554" s="250"/>
      <c r="D1554" s="250"/>
      <c r="E1554" s="250"/>
      <c r="F1554" s="250"/>
      <c r="G1554" s="471"/>
      <c r="H1554" s="250"/>
      <c r="I1554" s="471"/>
    </row>
    <row r="1555" spans="1:9" ht="12.75">
      <c r="A1555" s="717"/>
      <c r="B1555" s="718"/>
      <c r="C1555" s="250"/>
      <c r="D1555" s="250"/>
      <c r="E1555" s="250"/>
      <c r="F1555" s="250"/>
      <c r="G1555" s="471"/>
      <c r="H1555" s="250"/>
      <c r="I1555" s="471"/>
    </row>
    <row r="1556" spans="1:9" ht="12.75">
      <c r="A1556" s="717"/>
      <c r="B1556" s="718"/>
      <c r="C1556" s="250"/>
      <c r="D1556" s="250"/>
      <c r="E1556" s="250"/>
      <c r="F1556" s="250"/>
      <c r="G1556" s="471"/>
      <c r="H1556" s="250"/>
      <c r="I1556" s="471"/>
    </row>
    <row r="1557" spans="1:9" ht="12.75">
      <c r="A1557" s="717"/>
      <c r="B1557" s="718"/>
      <c r="C1557" s="250"/>
      <c r="D1557" s="250"/>
      <c r="E1557" s="250"/>
      <c r="F1557" s="250"/>
      <c r="G1557" s="471"/>
      <c r="H1557" s="250"/>
      <c r="I1557" s="471"/>
    </row>
    <row r="1558" spans="1:9" ht="12.75">
      <c r="A1558" s="717"/>
      <c r="B1558" s="718"/>
      <c r="C1558" s="250"/>
      <c r="D1558" s="250"/>
      <c r="E1558" s="250"/>
      <c r="F1558" s="250"/>
      <c r="G1558" s="471"/>
      <c r="H1558" s="250"/>
      <c r="I1558" s="471"/>
    </row>
    <row r="1559" spans="1:9" ht="12.75">
      <c r="A1559" s="717"/>
      <c r="B1559" s="718"/>
      <c r="C1559" s="250"/>
      <c r="D1559" s="250"/>
      <c r="E1559" s="250"/>
      <c r="F1559" s="250"/>
      <c r="G1559" s="471"/>
      <c r="H1559" s="250"/>
      <c r="I1559" s="471"/>
    </row>
    <row r="1560" spans="1:9" ht="12.75">
      <c r="A1560" s="717"/>
      <c r="B1560" s="718"/>
      <c r="C1560" s="250"/>
      <c r="D1560" s="250"/>
      <c r="E1560" s="250"/>
      <c r="F1560" s="250"/>
      <c r="G1560" s="471"/>
      <c r="H1560" s="250"/>
      <c r="I1560" s="471"/>
    </row>
    <row r="1561" spans="1:9" ht="12.75">
      <c r="A1561" s="717"/>
      <c r="B1561" s="718"/>
      <c r="C1561" s="250"/>
      <c r="D1561" s="250"/>
      <c r="E1561" s="250"/>
      <c r="F1561" s="250"/>
      <c r="G1561" s="471"/>
      <c r="H1561" s="250"/>
      <c r="I1561" s="471"/>
    </row>
    <row r="1562" spans="1:9" ht="12.75">
      <c r="A1562" s="717"/>
      <c r="B1562" s="718"/>
      <c r="C1562" s="250"/>
      <c r="D1562" s="250"/>
      <c r="E1562" s="250"/>
      <c r="F1562" s="250"/>
      <c r="G1562" s="471"/>
      <c r="H1562" s="250"/>
      <c r="I1562" s="471"/>
    </row>
    <row r="1563" spans="1:9" ht="12.75">
      <c r="A1563" s="717"/>
      <c r="B1563" s="718"/>
      <c r="C1563" s="250"/>
      <c r="D1563" s="250"/>
      <c r="E1563" s="250"/>
      <c r="F1563" s="250"/>
      <c r="G1563" s="471"/>
      <c r="H1563" s="250"/>
      <c r="I1563" s="471"/>
    </row>
    <row r="1564" spans="1:9" ht="12.75">
      <c r="A1564" s="717"/>
      <c r="B1564" s="718"/>
      <c r="C1564" s="250"/>
      <c r="D1564" s="250"/>
      <c r="E1564" s="250"/>
      <c r="F1564" s="250"/>
      <c r="G1564" s="471"/>
      <c r="H1564" s="250"/>
      <c r="I1564" s="471"/>
    </row>
    <row r="1565" spans="1:9" ht="12.75">
      <c r="A1565" s="717"/>
      <c r="B1565" s="718"/>
      <c r="C1565" s="250"/>
      <c r="D1565" s="250"/>
      <c r="E1565" s="250"/>
      <c r="F1565" s="250"/>
      <c r="G1565" s="471"/>
      <c r="H1565" s="250"/>
      <c r="I1565" s="471"/>
    </row>
    <row r="1566" spans="1:9" ht="12.75">
      <c r="A1566" s="717"/>
      <c r="B1566" s="718"/>
      <c r="C1566" s="250"/>
      <c r="D1566" s="250"/>
      <c r="E1566" s="250"/>
      <c r="F1566" s="250"/>
      <c r="G1566" s="471"/>
      <c r="H1566" s="250"/>
      <c r="I1566" s="471"/>
    </row>
    <row r="1567" spans="1:9" ht="12.75">
      <c r="A1567" s="717"/>
      <c r="B1567" s="718"/>
      <c r="C1567" s="250"/>
      <c r="D1567" s="250"/>
      <c r="E1567" s="250"/>
      <c r="F1567" s="250"/>
      <c r="G1567" s="471"/>
      <c r="H1567" s="250"/>
      <c r="I1567" s="471"/>
    </row>
    <row r="1568" spans="1:9" ht="12.75">
      <c r="A1568" s="717"/>
      <c r="B1568" s="718"/>
      <c r="C1568" s="250"/>
      <c r="D1568" s="250"/>
      <c r="E1568" s="250"/>
      <c r="F1568" s="250"/>
      <c r="G1568" s="471"/>
      <c r="H1568" s="250"/>
      <c r="I1568" s="471"/>
    </row>
    <row r="1569" spans="1:9" ht="12.75">
      <c r="A1569" s="717"/>
      <c r="B1569" s="718"/>
      <c r="C1569" s="250"/>
      <c r="D1569" s="250"/>
      <c r="E1569" s="250"/>
      <c r="F1569" s="250"/>
      <c r="G1569" s="471"/>
      <c r="H1569" s="250"/>
      <c r="I1569" s="471"/>
    </row>
    <row r="1570" spans="1:9" ht="12.75">
      <c r="A1570" s="717"/>
      <c r="B1570" s="718"/>
      <c r="C1570" s="250"/>
      <c r="D1570" s="250"/>
      <c r="E1570" s="250"/>
      <c r="F1570" s="250"/>
      <c r="G1570" s="471"/>
      <c r="H1570" s="250"/>
      <c r="I1570" s="471"/>
    </row>
    <row r="1571" spans="1:9" ht="12.75">
      <c r="A1571" s="717"/>
      <c r="B1571" s="718"/>
      <c r="C1571" s="250"/>
      <c r="D1571" s="250"/>
      <c r="E1571" s="250"/>
      <c r="F1571" s="250"/>
      <c r="G1571" s="471"/>
      <c r="H1571" s="250"/>
      <c r="I1571" s="471"/>
    </row>
    <row r="1572" spans="1:9" ht="12.75">
      <c r="A1572" s="717"/>
      <c r="B1572" s="718"/>
      <c r="C1572" s="250"/>
      <c r="D1572" s="250"/>
      <c r="E1572" s="250"/>
      <c r="F1572" s="250"/>
      <c r="G1572" s="471"/>
      <c r="H1572" s="250"/>
      <c r="I1572" s="471"/>
    </row>
    <row r="1573" spans="1:9" ht="12.75">
      <c r="A1573" s="717"/>
      <c r="B1573" s="718"/>
      <c r="C1573" s="250"/>
      <c r="D1573" s="250"/>
      <c r="E1573" s="250"/>
      <c r="F1573" s="250"/>
      <c r="G1573" s="471"/>
      <c r="H1573" s="250"/>
      <c r="I1573" s="471"/>
    </row>
    <row r="1574" spans="1:9" ht="12.75">
      <c r="A1574" s="717"/>
      <c r="B1574" s="718"/>
      <c r="C1574" s="250"/>
      <c r="D1574" s="250"/>
      <c r="E1574" s="250"/>
      <c r="F1574" s="250"/>
      <c r="G1574" s="471"/>
      <c r="H1574" s="250"/>
      <c r="I1574" s="471"/>
    </row>
    <row r="1575" spans="1:9" ht="12.75">
      <c r="A1575" s="717"/>
      <c r="B1575" s="718"/>
      <c r="C1575" s="250"/>
      <c r="D1575" s="250"/>
      <c r="E1575" s="250"/>
      <c r="F1575" s="250"/>
      <c r="G1575" s="471"/>
      <c r="H1575" s="250"/>
      <c r="I1575" s="471"/>
    </row>
    <row r="1576" spans="1:9" ht="12.75">
      <c r="A1576" s="717"/>
      <c r="B1576" s="718"/>
      <c r="C1576" s="250"/>
      <c r="D1576" s="250"/>
      <c r="E1576" s="250"/>
      <c r="F1576" s="250"/>
      <c r="G1576" s="471"/>
      <c r="H1576" s="250"/>
      <c r="I1576" s="471"/>
    </row>
    <row r="1577" spans="1:9" ht="12.75">
      <c r="A1577" s="717"/>
      <c r="B1577" s="718"/>
      <c r="C1577" s="250"/>
      <c r="D1577" s="250"/>
      <c r="E1577" s="250"/>
      <c r="F1577" s="250"/>
      <c r="G1577" s="471"/>
      <c r="H1577" s="250"/>
      <c r="I1577" s="471"/>
    </row>
    <row r="1578" spans="1:9" ht="12.75">
      <c r="A1578" s="717"/>
      <c r="B1578" s="718"/>
      <c r="C1578" s="250"/>
      <c r="D1578" s="250"/>
      <c r="E1578" s="250"/>
      <c r="F1578" s="250"/>
      <c r="G1578" s="471"/>
      <c r="H1578" s="250"/>
      <c r="I1578" s="471"/>
    </row>
    <row r="1579" spans="1:9" ht="12.75">
      <c r="A1579" s="717"/>
      <c r="B1579" s="718"/>
      <c r="C1579" s="250"/>
      <c r="D1579" s="250"/>
      <c r="E1579" s="250"/>
      <c r="F1579" s="250"/>
      <c r="G1579" s="471"/>
      <c r="H1579" s="250"/>
      <c r="I1579" s="471"/>
    </row>
    <row r="1580" spans="1:9" ht="12.75">
      <c r="A1580" s="717"/>
      <c r="B1580" s="718"/>
      <c r="C1580" s="250"/>
      <c r="D1580" s="250"/>
      <c r="E1580" s="250"/>
      <c r="F1580" s="250"/>
      <c r="G1580" s="471"/>
      <c r="H1580" s="250"/>
      <c r="I1580" s="471"/>
    </row>
    <row r="1581" spans="1:9" ht="12.75">
      <c r="A1581" s="717"/>
      <c r="B1581" s="718"/>
      <c r="C1581" s="250"/>
      <c r="D1581" s="250"/>
      <c r="E1581" s="250"/>
      <c r="F1581" s="250"/>
      <c r="G1581" s="471"/>
      <c r="H1581" s="250"/>
      <c r="I1581" s="471"/>
    </row>
    <row r="1582" spans="1:9" ht="12.75">
      <c r="A1582" s="717"/>
      <c r="B1582" s="718"/>
      <c r="C1582" s="250"/>
      <c r="D1582" s="250"/>
      <c r="E1582" s="250"/>
      <c r="F1582" s="250"/>
      <c r="G1582" s="471"/>
      <c r="H1582" s="250"/>
      <c r="I1582" s="471"/>
    </row>
    <row r="1583" spans="1:9" ht="12.75">
      <c r="A1583" s="717"/>
      <c r="B1583" s="718"/>
      <c r="C1583" s="250"/>
      <c r="D1583" s="250"/>
      <c r="E1583" s="250"/>
      <c r="F1583" s="250"/>
      <c r="G1583" s="471"/>
      <c r="H1583" s="250"/>
      <c r="I1583" s="471"/>
    </row>
    <row r="1584" spans="1:9" ht="12.75">
      <c r="A1584" s="717"/>
      <c r="B1584" s="718"/>
      <c r="C1584" s="250"/>
      <c r="D1584" s="250"/>
      <c r="E1584" s="250"/>
      <c r="F1584" s="250"/>
      <c r="G1584" s="471"/>
      <c r="H1584" s="250"/>
      <c r="I1584" s="471"/>
    </row>
    <row r="1585" spans="1:9" ht="12.75">
      <c r="A1585" s="717"/>
      <c r="B1585" s="718"/>
      <c r="C1585" s="250"/>
      <c r="D1585" s="250"/>
      <c r="E1585" s="250"/>
      <c r="F1585" s="250"/>
      <c r="G1585" s="471"/>
      <c r="H1585" s="250"/>
      <c r="I1585" s="471"/>
    </row>
    <row r="1586" spans="1:9" ht="12.75">
      <c r="A1586" s="717"/>
      <c r="B1586" s="718"/>
      <c r="C1586" s="250"/>
      <c r="D1586" s="250"/>
      <c r="E1586" s="250"/>
      <c r="F1586" s="250"/>
      <c r="G1586" s="471"/>
      <c r="H1586" s="250"/>
      <c r="I1586" s="471"/>
    </row>
    <row r="1587" spans="1:9" ht="12.75">
      <c r="A1587" s="717"/>
      <c r="B1587" s="718"/>
      <c r="C1587" s="250"/>
      <c r="D1587" s="250"/>
      <c r="E1587" s="250"/>
      <c r="F1587" s="250"/>
      <c r="G1587" s="471"/>
      <c r="H1587" s="250"/>
      <c r="I1587" s="471"/>
    </row>
    <row r="1588" spans="1:9" ht="12.75">
      <c r="A1588" s="717"/>
      <c r="B1588" s="718"/>
      <c r="C1588" s="250"/>
      <c r="D1588" s="250"/>
      <c r="E1588" s="250"/>
      <c r="F1588" s="250"/>
      <c r="G1588" s="471"/>
      <c r="H1588" s="250"/>
      <c r="I1588" s="471"/>
    </row>
    <row r="1589" spans="1:9" ht="12.75">
      <c r="A1589" s="717"/>
      <c r="B1589" s="718"/>
      <c r="C1589" s="250"/>
      <c r="D1589" s="250"/>
      <c r="E1589" s="250"/>
      <c r="F1589" s="250"/>
      <c r="G1589" s="471"/>
      <c r="H1589" s="250"/>
      <c r="I1589" s="471"/>
    </row>
    <row r="1590" spans="1:9" ht="12.75">
      <c r="A1590" s="717"/>
      <c r="B1590" s="718"/>
      <c r="C1590" s="250"/>
      <c r="D1590" s="250"/>
      <c r="E1590" s="250"/>
      <c r="F1590" s="250"/>
      <c r="G1590" s="471"/>
      <c r="H1590" s="250"/>
      <c r="I1590" s="471"/>
    </row>
    <row r="1591" spans="1:9" ht="12.75">
      <c r="A1591" s="717"/>
      <c r="B1591" s="718"/>
      <c r="C1591" s="250"/>
      <c r="D1591" s="250"/>
      <c r="E1591" s="250"/>
      <c r="F1591" s="250"/>
      <c r="G1591" s="471"/>
      <c r="H1591" s="250"/>
      <c r="I1591" s="471"/>
    </row>
    <row r="1592" spans="1:9" ht="12.75">
      <c r="A1592" s="717"/>
      <c r="B1592" s="718"/>
      <c r="C1592" s="250"/>
      <c r="D1592" s="250"/>
      <c r="E1592" s="250"/>
      <c r="F1592" s="250"/>
      <c r="G1592" s="471"/>
      <c r="H1592" s="250"/>
      <c r="I1592" s="471"/>
    </row>
    <row r="1593" spans="1:9" ht="12.75">
      <c r="A1593" s="717"/>
      <c r="B1593" s="718"/>
      <c r="C1593" s="250"/>
      <c r="D1593" s="250"/>
      <c r="E1593" s="250"/>
      <c r="F1593" s="250"/>
      <c r="G1593" s="471"/>
      <c r="H1593" s="250"/>
      <c r="I1593" s="471"/>
    </row>
    <row r="1594" spans="1:9" ht="12.75">
      <c r="A1594" s="717"/>
      <c r="B1594" s="718"/>
      <c r="C1594" s="250"/>
      <c r="D1594" s="250"/>
      <c r="E1594" s="250"/>
      <c r="F1594" s="250"/>
      <c r="G1594" s="471"/>
      <c r="H1594" s="250"/>
      <c r="I1594" s="471"/>
    </row>
    <row r="1595" spans="1:9" ht="12.75">
      <c r="A1595" s="717"/>
      <c r="B1595" s="718"/>
      <c r="C1595" s="250"/>
      <c r="D1595" s="250"/>
      <c r="E1595" s="250"/>
      <c r="F1595" s="250"/>
      <c r="G1595" s="471"/>
      <c r="H1595" s="250"/>
      <c r="I1595" s="471"/>
    </row>
    <row r="1596" spans="1:9" ht="12.75">
      <c r="A1596" s="717"/>
      <c r="B1596" s="718"/>
      <c r="C1596" s="250"/>
      <c r="D1596" s="250"/>
      <c r="E1596" s="250"/>
      <c r="F1596" s="250"/>
      <c r="G1596" s="471"/>
      <c r="H1596" s="250"/>
      <c r="I1596" s="471"/>
    </row>
    <row r="1597" spans="1:9" ht="12.75">
      <c r="A1597" s="717"/>
      <c r="B1597" s="718"/>
      <c r="C1597" s="250"/>
      <c r="D1597" s="250"/>
      <c r="E1597" s="250"/>
      <c r="F1597" s="250"/>
      <c r="G1597" s="471"/>
      <c r="H1597" s="250"/>
      <c r="I1597" s="471"/>
    </row>
    <row r="1598" spans="1:9" ht="12.75">
      <c r="A1598" s="717"/>
      <c r="B1598" s="718"/>
      <c r="C1598" s="250"/>
      <c r="D1598" s="250"/>
      <c r="E1598" s="250"/>
      <c r="F1598" s="250"/>
      <c r="G1598" s="471"/>
      <c r="H1598" s="250"/>
      <c r="I1598" s="471"/>
    </row>
    <row r="1599" spans="1:9" ht="12.75">
      <c r="A1599" s="717"/>
      <c r="B1599" s="718"/>
      <c r="C1599" s="250"/>
      <c r="D1599" s="250"/>
      <c r="E1599" s="250"/>
      <c r="F1599" s="250"/>
      <c r="G1599" s="471"/>
      <c r="H1599" s="250"/>
      <c r="I1599" s="471"/>
    </row>
    <row r="1600" spans="1:9" ht="12.75">
      <c r="A1600" s="717"/>
      <c r="B1600" s="718"/>
      <c r="C1600" s="250"/>
      <c r="D1600" s="250"/>
      <c r="E1600" s="250"/>
      <c r="F1600" s="250"/>
      <c r="G1600" s="471"/>
      <c r="H1600" s="250"/>
      <c r="I1600" s="471"/>
    </row>
    <row r="1601" spans="1:9" ht="12.75">
      <c r="A1601" s="717"/>
      <c r="B1601" s="718"/>
      <c r="C1601" s="250"/>
      <c r="D1601" s="250"/>
      <c r="E1601" s="250"/>
      <c r="F1601" s="250"/>
      <c r="G1601" s="471"/>
      <c r="H1601" s="250"/>
      <c r="I1601" s="471"/>
    </row>
    <row r="1602" spans="1:9" ht="12.75">
      <c r="A1602" s="717"/>
      <c r="B1602" s="718"/>
      <c r="C1602" s="250"/>
      <c r="D1602" s="250"/>
      <c r="E1602" s="250"/>
      <c r="F1602" s="250"/>
      <c r="G1602" s="471"/>
      <c r="H1602" s="250"/>
      <c r="I1602" s="471"/>
    </row>
    <row r="1603" spans="1:9" ht="12.75">
      <c r="A1603" s="717"/>
      <c r="B1603" s="718"/>
      <c r="C1603" s="250"/>
      <c r="D1603" s="250"/>
      <c r="E1603" s="250"/>
      <c r="F1603" s="250"/>
      <c r="G1603" s="471"/>
      <c r="H1603" s="250"/>
      <c r="I1603" s="471"/>
    </row>
    <row r="1604" spans="1:9" ht="12.75">
      <c r="A1604" s="717"/>
      <c r="B1604" s="718"/>
      <c r="C1604" s="250"/>
      <c r="D1604" s="250"/>
      <c r="E1604" s="250"/>
      <c r="F1604" s="250"/>
      <c r="G1604" s="471"/>
      <c r="H1604" s="250"/>
      <c r="I1604" s="471"/>
    </row>
    <row r="1605" spans="1:9" ht="12.75">
      <c r="A1605" s="717"/>
      <c r="B1605" s="718"/>
      <c r="C1605" s="250"/>
      <c r="D1605" s="250"/>
      <c r="E1605" s="250"/>
      <c r="F1605" s="250"/>
      <c r="G1605" s="471"/>
      <c r="H1605" s="250"/>
      <c r="I1605" s="471"/>
    </row>
    <row r="1606" spans="1:9" ht="12.75">
      <c r="A1606" s="717"/>
      <c r="B1606" s="718"/>
      <c r="C1606" s="250"/>
      <c r="D1606" s="250"/>
      <c r="E1606" s="250"/>
      <c r="F1606" s="250"/>
      <c r="G1606" s="471"/>
      <c r="H1606" s="250"/>
      <c r="I1606" s="471"/>
    </row>
    <row r="1607" spans="1:9" ht="12.75">
      <c r="A1607" s="717"/>
      <c r="B1607" s="718"/>
      <c r="C1607" s="250"/>
      <c r="D1607" s="250"/>
      <c r="E1607" s="250"/>
      <c r="F1607" s="250"/>
      <c r="G1607" s="471"/>
      <c r="H1607" s="250"/>
      <c r="I1607" s="471"/>
    </row>
    <row r="1608" spans="1:9" ht="12.75">
      <c r="A1608" s="717"/>
      <c r="B1608" s="718"/>
      <c r="C1608" s="250"/>
      <c r="D1608" s="250"/>
      <c r="E1608" s="250"/>
      <c r="F1608" s="250"/>
      <c r="G1608" s="471"/>
      <c r="H1608" s="250"/>
      <c r="I1608" s="471"/>
    </row>
    <row r="1609" spans="1:9" ht="12.75">
      <c r="A1609" s="717"/>
      <c r="B1609" s="718"/>
      <c r="C1609" s="250"/>
      <c r="D1609" s="250"/>
      <c r="E1609" s="250"/>
      <c r="F1609" s="250"/>
      <c r="G1609" s="471"/>
      <c r="H1609" s="250"/>
      <c r="I1609" s="471"/>
    </row>
    <row r="1610" spans="1:9" ht="12.75">
      <c r="A1610" s="717"/>
      <c r="B1610" s="718"/>
      <c r="C1610" s="250"/>
      <c r="D1610" s="250"/>
      <c r="E1610" s="250"/>
      <c r="F1610" s="250"/>
      <c r="G1610" s="471"/>
      <c r="H1610" s="250"/>
      <c r="I1610" s="471"/>
    </row>
    <row r="1611" spans="1:9" ht="12.75">
      <c r="A1611" s="717"/>
      <c r="B1611" s="718"/>
      <c r="C1611" s="250"/>
      <c r="D1611" s="250"/>
      <c r="E1611" s="250"/>
      <c r="F1611" s="250"/>
      <c r="G1611" s="471"/>
      <c r="H1611" s="250"/>
      <c r="I1611" s="471"/>
    </row>
    <row r="1612" spans="1:9" ht="12.75">
      <c r="A1612" s="717"/>
      <c r="B1612" s="718"/>
      <c r="C1612" s="250"/>
      <c r="D1612" s="250"/>
      <c r="E1612" s="250"/>
      <c r="F1612" s="250"/>
      <c r="G1612" s="471"/>
      <c r="H1612" s="250"/>
      <c r="I1612" s="471"/>
    </row>
    <row r="1613" spans="1:9" ht="12.75">
      <c r="A1613" s="717"/>
      <c r="B1613" s="718"/>
      <c r="C1613" s="250"/>
      <c r="D1613" s="250"/>
      <c r="E1613" s="250"/>
      <c r="F1613" s="250"/>
      <c r="G1613" s="471"/>
      <c r="H1613" s="250"/>
      <c r="I1613" s="471"/>
    </row>
    <row r="1614" spans="1:9" ht="12.75">
      <c r="A1614" s="717"/>
      <c r="B1614" s="718"/>
      <c r="C1614" s="250"/>
      <c r="D1614" s="250"/>
      <c r="E1614" s="250"/>
      <c r="F1614" s="250"/>
      <c r="G1614" s="471"/>
      <c r="H1614" s="250"/>
      <c r="I1614" s="471"/>
    </row>
    <row r="1615" spans="1:9" ht="12.75">
      <c r="A1615" s="717"/>
      <c r="B1615" s="718"/>
      <c r="C1615" s="250"/>
      <c r="D1615" s="250"/>
      <c r="E1615" s="250"/>
      <c r="F1615" s="250"/>
      <c r="G1615" s="471"/>
      <c r="H1615" s="250"/>
      <c r="I1615" s="471"/>
    </row>
    <row r="1616" spans="1:9" ht="12.75">
      <c r="A1616" s="717"/>
      <c r="B1616" s="718"/>
      <c r="C1616" s="250"/>
      <c r="D1616" s="250"/>
      <c r="E1616" s="250"/>
      <c r="F1616" s="250"/>
      <c r="G1616" s="471"/>
      <c r="H1616" s="250"/>
      <c r="I1616" s="471"/>
    </row>
    <row r="1617" spans="1:9" ht="12.75">
      <c r="A1617" s="717"/>
      <c r="B1617" s="718"/>
      <c r="C1617" s="250"/>
      <c r="D1617" s="250"/>
      <c r="E1617" s="250"/>
      <c r="F1617" s="250"/>
      <c r="G1617" s="471"/>
      <c r="H1617" s="250"/>
      <c r="I1617" s="471"/>
    </row>
    <row r="1618" spans="1:9" ht="12.75">
      <c r="A1618" s="717"/>
      <c r="B1618" s="718"/>
      <c r="C1618" s="250"/>
      <c r="D1618" s="250"/>
      <c r="E1618" s="250"/>
      <c r="F1618" s="250"/>
      <c r="G1618" s="471"/>
      <c r="H1618" s="250"/>
      <c r="I1618" s="471"/>
    </row>
    <row r="1619" spans="1:9" ht="12.75">
      <c r="A1619" s="717"/>
      <c r="B1619" s="718"/>
      <c r="C1619" s="250"/>
      <c r="D1619" s="250"/>
      <c r="E1619" s="250"/>
      <c r="F1619" s="250"/>
      <c r="G1619" s="471"/>
      <c r="H1619" s="250"/>
      <c r="I1619" s="471"/>
    </row>
    <row r="1620" spans="1:9" ht="12.75">
      <c r="A1620" s="717"/>
      <c r="B1620" s="718"/>
      <c r="C1620" s="250"/>
      <c r="D1620" s="250"/>
      <c r="E1620" s="250"/>
      <c r="F1620" s="250"/>
      <c r="G1620" s="471"/>
      <c r="H1620" s="250"/>
      <c r="I1620" s="471"/>
    </row>
    <row r="1621" spans="1:9" ht="12.75">
      <c r="A1621" s="717"/>
      <c r="B1621" s="718"/>
      <c r="C1621" s="250"/>
      <c r="D1621" s="250"/>
      <c r="E1621" s="250"/>
      <c r="F1621" s="250"/>
      <c r="G1621" s="471"/>
      <c r="H1621" s="250"/>
      <c r="I1621" s="471"/>
    </row>
    <row r="1622" spans="1:9" ht="12.75">
      <c r="A1622" s="717"/>
      <c r="B1622" s="718"/>
      <c r="C1622" s="250"/>
      <c r="D1622" s="250"/>
      <c r="E1622" s="250"/>
      <c r="F1622" s="250"/>
      <c r="G1622" s="471"/>
      <c r="H1622" s="250"/>
      <c r="I1622" s="471"/>
    </row>
    <row r="1623" spans="1:9" ht="12.75">
      <c r="A1623" s="717"/>
      <c r="B1623" s="718"/>
      <c r="C1623" s="250"/>
      <c r="D1623" s="250"/>
      <c r="E1623" s="250"/>
      <c r="F1623" s="250"/>
      <c r="G1623" s="471"/>
      <c r="H1623" s="250"/>
      <c r="I1623" s="471"/>
    </row>
    <row r="1624" spans="1:9" ht="12.75">
      <c r="A1624" s="717"/>
      <c r="B1624" s="718"/>
      <c r="C1624" s="250"/>
      <c r="D1624" s="250"/>
      <c r="E1624" s="250"/>
      <c r="F1624" s="250"/>
      <c r="G1624" s="471"/>
      <c r="H1624" s="250"/>
      <c r="I1624" s="471"/>
    </row>
    <row r="1625" spans="1:9" ht="12.75">
      <c r="A1625" s="717"/>
      <c r="B1625" s="718"/>
      <c r="C1625" s="250"/>
      <c r="D1625" s="250"/>
      <c r="E1625" s="250"/>
      <c r="F1625" s="250"/>
      <c r="G1625" s="471"/>
      <c r="H1625" s="250"/>
      <c r="I1625" s="471"/>
    </row>
    <row r="1626" spans="1:9" ht="12.75">
      <c r="A1626" s="717"/>
      <c r="B1626" s="718"/>
      <c r="C1626" s="250"/>
      <c r="D1626" s="250"/>
      <c r="E1626" s="250"/>
      <c r="F1626" s="250"/>
      <c r="G1626" s="471"/>
      <c r="H1626" s="250"/>
      <c r="I1626" s="471"/>
    </row>
    <row r="1627" spans="1:9" ht="12.75">
      <c r="A1627" s="717"/>
      <c r="B1627" s="718"/>
      <c r="C1627" s="250"/>
      <c r="D1627" s="250"/>
      <c r="E1627" s="250"/>
      <c r="F1627" s="250"/>
      <c r="G1627" s="471"/>
      <c r="H1627" s="250"/>
      <c r="I1627" s="471"/>
    </row>
    <row r="1628" spans="1:9" ht="12.75">
      <c r="A1628" s="717"/>
      <c r="B1628" s="718"/>
      <c r="C1628" s="250"/>
      <c r="D1628" s="250"/>
      <c r="E1628" s="250"/>
      <c r="F1628" s="250"/>
      <c r="G1628" s="471"/>
      <c r="H1628" s="250"/>
      <c r="I1628" s="471"/>
    </row>
    <row r="1629" spans="1:9" ht="12.75">
      <c r="A1629" s="717"/>
      <c r="B1629" s="718"/>
      <c r="C1629" s="250"/>
      <c r="D1629" s="250"/>
      <c r="E1629" s="250"/>
      <c r="F1629" s="250"/>
      <c r="G1629" s="471"/>
      <c r="H1629" s="250"/>
      <c r="I1629" s="471"/>
    </row>
    <row r="1630" spans="1:9" ht="12.75">
      <c r="A1630" s="717"/>
      <c r="B1630" s="718"/>
      <c r="C1630" s="250"/>
      <c r="D1630" s="250"/>
      <c r="E1630" s="250"/>
      <c r="F1630" s="250"/>
      <c r="G1630" s="471"/>
      <c r="H1630" s="250"/>
      <c r="I1630" s="471"/>
    </row>
    <row r="1631" spans="1:9" ht="12.75">
      <c r="A1631" s="717"/>
      <c r="B1631" s="718"/>
      <c r="C1631" s="250"/>
      <c r="D1631" s="250"/>
      <c r="E1631" s="250"/>
      <c r="F1631" s="250"/>
      <c r="G1631" s="471"/>
      <c r="H1631" s="250"/>
      <c r="I1631" s="471"/>
    </row>
    <row r="1632" spans="1:9" ht="12.75">
      <c r="A1632" s="717"/>
      <c r="B1632" s="718"/>
      <c r="C1632" s="250"/>
      <c r="D1632" s="250"/>
      <c r="E1632" s="250"/>
      <c r="F1632" s="250"/>
      <c r="G1632" s="471"/>
      <c r="H1632" s="250"/>
      <c r="I1632" s="471"/>
    </row>
    <row r="1633" spans="1:9" ht="12.75">
      <c r="A1633" s="717"/>
      <c r="B1633" s="718"/>
      <c r="C1633" s="250"/>
      <c r="D1633" s="250"/>
      <c r="E1633" s="250"/>
      <c r="F1633" s="250"/>
      <c r="G1633" s="471"/>
      <c r="H1633" s="250"/>
      <c r="I1633" s="471"/>
    </row>
    <row r="1634" spans="1:9" ht="12.75">
      <c r="A1634" s="717"/>
      <c r="B1634" s="718"/>
      <c r="C1634" s="250"/>
      <c r="D1634" s="250"/>
      <c r="E1634" s="250"/>
      <c r="F1634" s="250"/>
      <c r="G1634" s="471"/>
      <c r="H1634" s="250"/>
      <c r="I1634" s="471"/>
    </row>
    <row r="1635" spans="1:9" ht="12.75">
      <c r="A1635" s="717"/>
      <c r="B1635" s="718"/>
      <c r="C1635" s="250"/>
      <c r="D1635" s="250"/>
      <c r="E1635" s="250"/>
      <c r="F1635" s="250"/>
      <c r="G1635" s="471"/>
      <c r="H1635" s="250"/>
      <c r="I1635" s="471"/>
    </row>
    <row r="1636" spans="1:9" ht="12.75">
      <c r="A1636" s="717"/>
      <c r="B1636" s="718"/>
      <c r="C1636" s="250"/>
      <c r="D1636" s="250"/>
      <c r="E1636" s="250"/>
      <c r="F1636" s="250"/>
      <c r="G1636" s="471"/>
      <c r="H1636" s="250"/>
      <c r="I1636" s="471"/>
    </row>
    <row r="1637" spans="1:9" ht="12.75">
      <c r="A1637" s="717"/>
      <c r="B1637" s="718"/>
      <c r="C1637" s="250"/>
      <c r="D1637" s="250"/>
      <c r="E1637" s="250"/>
      <c r="F1637" s="250"/>
      <c r="G1637" s="471"/>
      <c r="H1637" s="250"/>
      <c r="I1637" s="471"/>
    </row>
    <row r="1638" spans="1:9" ht="12.75">
      <c r="A1638" s="717"/>
      <c r="B1638" s="718"/>
      <c r="C1638" s="250"/>
      <c r="D1638" s="250"/>
      <c r="E1638" s="250"/>
      <c r="F1638" s="250"/>
      <c r="G1638" s="471"/>
      <c r="H1638" s="250"/>
      <c r="I1638" s="471"/>
    </row>
    <row r="1639" spans="1:9" ht="12.75">
      <c r="A1639" s="717"/>
      <c r="B1639" s="718"/>
      <c r="C1639" s="250"/>
      <c r="D1639" s="250"/>
      <c r="E1639" s="250"/>
      <c r="F1639" s="250"/>
      <c r="G1639" s="471"/>
      <c r="H1639" s="250"/>
      <c r="I1639" s="471"/>
    </row>
    <row r="1640" spans="1:9" ht="12.75">
      <c r="A1640" s="717"/>
      <c r="B1640" s="718"/>
      <c r="C1640" s="250"/>
      <c r="D1640" s="250"/>
      <c r="E1640" s="250"/>
      <c r="F1640" s="250"/>
      <c r="G1640" s="471"/>
      <c r="H1640" s="250"/>
      <c r="I1640" s="471"/>
    </row>
    <row r="1641" spans="1:9" ht="12.75">
      <c r="A1641" s="717"/>
      <c r="B1641" s="718"/>
      <c r="C1641" s="250"/>
      <c r="D1641" s="250"/>
      <c r="E1641" s="250"/>
      <c r="F1641" s="250"/>
      <c r="G1641" s="471"/>
      <c r="H1641" s="250"/>
      <c r="I1641" s="471"/>
    </row>
    <row r="1642" spans="1:9" ht="12.75">
      <c r="A1642" s="717"/>
      <c r="B1642" s="718"/>
      <c r="C1642" s="250"/>
      <c r="D1642" s="250"/>
      <c r="E1642" s="250"/>
      <c r="F1642" s="250"/>
      <c r="G1642" s="471"/>
      <c r="H1642" s="250"/>
      <c r="I1642" s="471"/>
    </row>
    <row r="1643" spans="1:9" ht="12.75">
      <c r="A1643" s="717"/>
      <c r="B1643" s="718"/>
      <c r="C1643" s="250"/>
      <c r="D1643" s="250"/>
      <c r="E1643" s="250"/>
      <c r="F1643" s="250"/>
      <c r="G1643" s="471"/>
      <c r="H1643" s="250"/>
      <c r="I1643" s="471"/>
    </row>
    <row r="1644" spans="1:9" ht="12.75">
      <c r="A1644" s="717"/>
      <c r="B1644" s="718"/>
      <c r="C1644" s="250"/>
      <c r="D1644" s="250"/>
      <c r="E1644" s="250"/>
      <c r="F1644" s="250"/>
      <c r="G1644" s="471"/>
      <c r="H1644" s="250"/>
      <c r="I1644" s="471"/>
    </row>
    <row r="1645" spans="1:9" ht="12.75">
      <c r="A1645" s="717"/>
      <c r="B1645" s="718"/>
      <c r="C1645" s="250"/>
      <c r="D1645" s="250"/>
      <c r="E1645" s="250"/>
      <c r="F1645" s="250"/>
      <c r="G1645" s="471"/>
      <c r="H1645" s="250"/>
      <c r="I1645" s="471"/>
    </row>
    <row r="1646" spans="1:9" ht="12.75">
      <c r="A1646" s="717"/>
      <c r="B1646" s="718"/>
      <c r="C1646" s="250"/>
      <c r="D1646" s="250"/>
      <c r="E1646" s="250"/>
      <c r="F1646" s="250"/>
      <c r="G1646" s="471"/>
      <c r="H1646" s="250"/>
      <c r="I1646" s="471"/>
    </row>
    <row r="1647" spans="1:9" ht="12.75">
      <c r="A1647" s="717"/>
      <c r="B1647" s="718"/>
      <c r="C1647" s="250"/>
      <c r="D1647" s="250"/>
      <c r="E1647" s="250"/>
      <c r="F1647" s="250"/>
      <c r="G1647" s="471"/>
      <c r="H1647" s="250"/>
      <c r="I1647" s="471"/>
    </row>
    <row r="1648" spans="1:9" ht="12.75">
      <c r="A1648" s="717"/>
      <c r="B1648" s="718"/>
      <c r="C1648" s="250"/>
      <c r="D1648" s="250"/>
      <c r="E1648" s="250"/>
      <c r="F1648" s="250"/>
      <c r="G1648" s="471"/>
      <c r="H1648" s="250"/>
      <c r="I1648" s="471"/>
    </row>
    <row r="1649" spans="1:9" ht="12.75">
      <c r="A1649" s="717"/>
      <c r="B1649" s="718"/>
      <c r="C1649" s="250"/>
      <c r="D1649" s="250"/>
      <c r="E1649" s="250"/>
      <c r="F1649" s="250"/>
      <c r="G1649" s="471"/>
      <c r="H1649" s="250"/>
      <c r="I1649" s="471"/>
    </row>
    <row r="1650" spans="1:9" ht="12.75">
      <c r="A1650" s="717"/>
      <c r="B1650" s="718"/>
      <c r="C1650" s="250"/>
      <c r="D1650" s="250"/>
      <c r="E1650" s="250"/>
      <c r="F1650" s="250"/>
      <c r="G1650" s="471"/>
      <c r="H1650" s="250"/>
      <c r="I1650" s="471"/>
    </row>
    <row r="1651" spans="1:9" ht="12.75">
      <c r="A1651" s="717"/>
      <c r="B1651" s="718"/>
      <c r="C1651" s="250"/>
      <c r="D1651" s="250"/>
      <c r="E1651" s="250"/>
      <c r="F1651" s="250"/>
      <c r="G1651" s="471"/>
      <c r="H1651" s="250"/>
      <c r="I1651" s="471"/>
    </row>
    <row r="1652" spans="1:9" ht="12.75">
      <c r="A1652" s="717"/>
      <c r="B1652" s="718"/>
      <c r="C1652" s="250"/>
      <c r="D1652" s="250"/>
      <c r="E1652" s="250"/>
      <c r="F1652" s="250"/>
      <c r="G1652" s="471"/>
      <c r="H1652" s="250"/>
      <c r="I1652" s="471"/>
    </row>
    <row r="1653" spans="1:9" ht="12.75">
      <c r="A1653" s="717"/>
      <c r="B1653" s="718"/>
      <c r="C1653" s="250"/>
      <c r="D1653" s="250"/>
      <c r="E1653" s="250"/>
      <c r="F1653" s="250"/>
      <c r="G1653" s="471"/>
      <c r="H1653" s="250"/>
      <c r="I1653" s="471"/>
    </row>
    <row r="1654" spans="1:9" ht="12.75">
      <c r="A1654" s="717"/>
      <c r="B1654" s="718"/>
      <c r="C1654" s="250"/>
      <c r="D1654" s="250"/>
      <c r="E1654" s="250"/>
      <c r="F1654" s="250"/>
      <c r="G1654" s="471"/>
      <c r="H1654" s="250"/>
      <c r="I1654" s="471"/>
    </row>
    <row r="1655" spans="1:9" ht="12.75">
      <c r="A1655" s="717"/>
      <c r="B1655" s="718"/>
      <c r="C1655" s="250"/>
      <c r="D1655" s="250"/>
      <c r="E1655" s="250"/>
      <c r="F1655" s="250"/>
      <c r="G1655" s="471"/>
      <c r="H1655" s="250"/>
      <c r="I1655" s="471"/>
    </row>
    <row r="1656" spans="1:9" ht="12.75">
      <c r="A1656" s="717"/>
      <c r="B1656" s="718"/>
      <c r="C1656" s="250"/>
      <c r="D1656" s="250"/>
      <c r="E1656" s="250"/>
      <c r="F1656" s="250"/>
      <c r="G1656" s="471"/>
      <c r="H1656" s="250"/>
      <c r="I1656" s="471"/>
    </row>
    <row r="1657" spans="1:9" ht="12.75">
      <c r="A1657" s="717"/>
      <c r="B1657" s="718"/>
      <c r="C1657" s="250"/>
      <c r="D1657" s="250"/>
      <c r="E1657" s="250"/>
      <c r="F1657" s="250"/>
      <c r="G1657" s="471"/>
      <c r="H1657" s="250"/>
      <c r="I1657" s="471"/>
    </row>
    <row r="1658" spans="1:9" ht="12.75">
      <c r="A1658" s="717"/>
      <c r="B1658" s="718"/>
      <c r="C1658" s="250"/>
      <c r="D1658" s="250"/>
      <c r="E1658" s="250"/>
      <c r="F1658" s="250"/>
      <c r="G1658" s="471"/>
      <c r="H1658" s="250"/>
      <c r="I1658" s="471"/>
    </row>
    <row r="1659" spans="1:9" ht="12.75">
      <c r="A1659" s="717"/>
      <c r="B1659" s="718"/>
      <c r="C1659" s="250"/>
      <c r="D1659" s="250"/>
      <c r="E1659" s="250"/>
      <c r="F1659" s="250"/>
      <c r="G1659" s="471"/>
      <c r="H1659" s="250"/>
      <c r="I1659" s="471"/>
    </row>
    <row r="1660" spans="1:9" ht="12.75">
      <c r="A1660" s="717"/>
      <c r="B1660" s="718"/>
      <c r="C1660" s="250"/>
      <c r="D1660" s="250"/>
      <c r="E1660" s="250"/>
      <c r="F1660" s="250"/>
      <c r="G1660" s="471"/>
      <c r="H1660" s="250"/>
      <c r="I1660" s="471"/>
    </row>
    <row r="1661" spans="1:9" ht="12.75">
      <c r="A1661" s="717"/>
      <c r="B1661" s="718"/>
      <c r="C1661" s="250"/>
      <c r="D1661" s="250"/>
      <c r="E1661" s="250"/>
      <c r="F1661" s="250"/>
      <c r="G1661" s="471"/>
      <c r="H1661" s="250"/>
      <c r="I1661" s="471"/>
    </row>
    <row r="1662" spans="1:9" ht="12.75">
      <c r="A1662" s="717"/>
      <c r="B1662" s="718"/>
      <c r="C1662" s="250"/>
      <c r="D1662" s="250"/>
      <c r="E1662" s="250"/>
      <c r="F1662" s="250"/>
      <c r="G1662" s="471"/>
      <c r="H1662" s="250"/>
      <c r="I1662" s="471"/>
    </row>
    <row r="1663" spans="1:9" ht="12.75">
      <c r="A1663" s="717"/>
      <c r="B1663" s="718"/>
      <c r="C1663" s="250"/>
      <c r="D1663" s="250"/>
      <c r="E1663" s="250"/>
      <c r="F1663" s="250"/>
      <c r="G1663" s="471"/>
      <c r="H1663" s="250"/>
      <c r="I1663" s="471"/>
    </row>
    <row r="1664" spans="1:9" ht="12.75">
      <c r="A1664" s="717"/>
      <c r="B1664" s="718"/>
      <c r="C1664" s="250"/>
      <c r="D1664" s="250"/>
      <c r="E1664" s="250"/>
      <c r="F1664" s="250"/>
      <c r="G1664" s="471"/>
      <c r="H1664" s="250"/>
      <c r="I1664" s="471"/>
    </row>
    <row r="1665" spans="1:9" ht="12.75">
      <c r="A1665" s="717"/>
      <c r="B1665" s="718"/>
      <c r="C1665" s="250"/>
      <c r="D1665" s="250"/>
      <c r="E1665" s="250"/>
      <c r="F1665" s="250"/>
      <c r="G1665" s="471"/>
      <c r="H1665" s="250"/>
      <c r="I1665" s="471"/>
    </row>
    <row r="1666" spans="1:9" ht="12.75">
      <c r="A1666" s="717"/>
      <c r="B1666" s="718"/>
      <c r="C1666" s="250"/>
      <c r="D1666" s="250"/>
      <c r="E1666" s="250"/>
      <c r="F1666" s="250"/>
      <c r="G1666" s="471"/>
      <c r="H1666" s="250"/>
      <c r="I1666" s="471"/>
    </row>
    <row r="1667" spans="1:9" ht="12.75">
      <c r="A1667" s="717"/>
      <c r="B1667" s="718"/>
      <c r="C1667" s="250"/>
      <c r="D1667" s="250"/>
      <c r="E1667" s="250"/>
      <c r="F1667" s="250"/>
      <c r="G1667" s="471"/>
      <c r="H1667" s="250"/>
      <c r="I1667" s="471"/>
    </row>
    <row r="1668" spans="1:9" ht="12.75">
      <c r="A1668" s="717"/>
      <c r="B1668" s="718"/>
      <c r="C1668" s="250"/>
      <c r="D1668" s="250"/>
      <c r="E1668" s="250"/>
      <c r="F1668" s="250"/>
      <c r="G1668" s="471"/>
      <c r="H1668" s="250"/>
      <c r="I1668" s="471"/>
    </row>
    <row r="1669" spans="1:9" ht="12.75">
      <c r="A1669" s="717"/>
      <c r="B1669" s="718"/>
      <c r="C1669" s="250"/>
      <c r="D1669" s="250"/>
      <c r="E1669" s="250"/>
      <c r="F1669" s="250"/>
      <c r="G1669" s="471"/>
      <c r="H1669" s="250"/>
      <c r="I1669" s="471"/>
    </row>
    <row r="1670" spans="1:9" ht="12.75">
      <c r="A1670" s="717"/>
      <c r="B1670" s="718"/>
      <c r="C1670" s="250"/>
      <c r="D1670" s="250"/>
      <c r="E1670" s="250"/>
      <c r="F1670" s="250"/>
      <c r="G1670" s="471"/>
      <c r="H1670" s="250"/>
      <c r="I1670" s="471"/>
    </row>
    <row r="1671" spans="1:9" ht="12.75">
      <c r="A1671" s="717"/>
      <c r="B1671" s="718"/>
      <c r="C1671" s="250"/>
      <c r="D1671" s="250"/>
      <c r="E1671" s="250"/>
      <c r="F1671" s="250"/>
      <c r="G1671" s="471"/>
      <c r="H1671" s="250"/>
      <c r="I1671" s="471"/>
    </row>
    <row r="1672" spans="1:9" ht="12.75">
      <c r="A1672" s="717"/>
      <c r="B1672" s="718"/>
      <c r="C1672" s="250"/>
      <c r="D1672" s="250"/>
      <c r="E1672" s="250"/>
      <c r="F1672" s="250"/>
      <c r="G1672" s="471"/>
      <c r="H1672" s="250"/>
      <c r="I1672" s="471"/>
    </row>
    <row r="1673" spans="1:9" ht="12.75">
      <c r="A1673" s="717"/>
      <c r="B1673" s="718"/>
      <c r="C1673" s="250"/>
      <c r="D1673" s="250"/>
      <c r="E1673" s="250"/>
      <c r="F1673" s="250"/>
      <c r="G1673" s="471"/>
      <c r="H1673" s="250"/>
      <c r="I1673" s="471"/>
    </row>
    <row r="1674" spans="1:9" ht="12.75">
      <c r="A1674" s="717"/>
      <c r="B1674" s="718"/>
      <c r="C1674" s="250"/>
      <c r="D1674" s="250"/>
      <c r="E1674" s="250"/>
      <c r="F1674" s="250"/>
      <c r="G1674" s="471"/>
      <c r="H1674" s="250"/>
      <c r="I1674" s="471"/>
    </row>
    <row r="1675" spans="1:9" ht="12.75">
      <c r="A1675" s="717"/>
      <c r="B1675" s="718"/>
      <c r="C1675" s="250"/>
      <c r="D1675" s="250"/>
      <c r="E1675" s="250"/>
      <c r="F1675" s="250"/>
      <c r="G1675" s="471"/>
      <c r="H1675" s="250"/>
      <c r="I1675" s="471"/>
    </row>
    <row r="1676" spans="1:9" ht="12.75">
      <c r="A1676" s="717"/>
      <c r="B1676" s="718"/>
      <c r="C1676" s="250"/>
      <c r="D1676" s="250"/>
      <c r="E1676" s="250"/>
      <c r="F1676" s="250"/>
      <c r="G1676" s="471"/>
      <c r="H1676" s="250"/>
      <c r="I1676" s="471"/>
    </row>
    <row r="1677" spans="1:9" ht="12.75">
      <c r="A1677" s="717"/>
      <c r="B1677" s="718"/>
      <c r="C1677" s="250"/>
      <c r="D1677" s="250"/>
      <c r="E1677" s="250"/>
      <c r="F1677" s="250"/>
      <c r="G1677" s="471"/>
      <c r="H1677" s="250"/>
      <c r="I1677" s="471"/>
    </row>
    <row r="1678" spans="1:9" ht="12.75">
      <c r="A1678" s="717"/>
      <c r="B1678" s="718"/>
      <c r="C1678" s="250"/>
      <c r="D1678" s="250"/>
      <c r="E1678" s="250"/>
      <c r="F1678" s="250"/>
      <c r="G1678" s="471"/>
      <c r="H1678" s="250"/>
      <c r="I1678" s="471"/>
    </row>
    <row r="1679" spans="1:9" ht="12.75">
      <c r="A1679" s="717"/>
      <c r="B1679" s="718"/>
      <c r="C1679" s="250"/>
      <c r="D1679" s="250"/>
      <c r="E1679" s="250"/>
      <c r="F1679" s="250"/>
      <c r="G1679" s="471"/>
      <c r="H1679" s="250"/>
      <c r="I1679" s="471"/>
    </row>
    <row r="1680" spans="1:9" ht="12.75">
      <c r="A1680" s="717"/>
      <c r="B1680" s="718"/>
      <c r="C1680" s="250"/>
      <c r="D1680" s="250"/>
      <c r="E1680" s="250"/>
      <c r="F1680" s="250"/>
      <c r="G1680" s="471"/>
      <c r="H1680" s="250"/>
      <c r="I1680" s="471"/>
    </row>
    <row r="1681" spans="1:9" ht="12.75">
      <c r="A1681" s="717"/>
      <c r="B1681" s="718"/>
      <c r="C1681" s="250"/>
      <c r="D1681" s="250"/>
      <c r="E1681" s="250"/>
      <c r="F1681" s="250"/>
      <c r="G1681" s="471"/>
      <c r="H1681" s="250"/>
      <c r="I1681" s="471"/>
    </row>
    <row r="1682" spans="1:9" ht="12.75">
      <c r="A1682" s="717"/>
      <c r="B1682" s="718"/>
      <c r="C1682" s="250"/>
      <c r="D1682" s="250"/>
      <c r="E1682" s="250"/>
      <c r="F1682" s="250"/>
      <c r="G1682" s="471"/>
      <c r="H1682" s="250"/>
      <c r="I1682" s="471"/>
    </row>
    <row r="1683" spans="1:9" ht="12.75">
      <c r="A1683" s="717"/>
      <c r="B1683" s="718"/>
      <c r="C1683" s="250"/>
      <c r="D1683" s="250"/>
      <c r="E1683" s="250"/>
      <c r="F1683" s="250"/>
      <c r="G1683" s="471"/>
      <c r="H1683" s="250"/>
      <c r="I1683" s="471"/>
    </row>
    <row r="1684" spans="1:9" ht="12.75">
      <c r="A1684" s="717"/>
      <c r="B1684" s="718"/>
      <c r="C1684" s="250"/>
      <c r="D1684" s="250"/>
      <c r="E1684" s="250"/>
      <c r="F1684" s="250"/>
      <c r="G1684" s="471"/>
      <c r="H1684" s="250"/>
      <c r="I1684" s="471"/>
    </row>
    <row r="1685" spans="1:9" ht="12.75">
      <c r="A1685" s="717"/>
      <c r="B1685" s="718"/>
      <c r="C1685" s="250"/>
      <c r="D1685" s="250"/>
      <c r="E1685" s="250"/>
      <c r="F1685" s="250"/>
      <c r="G1685" s="471"/>
      <c r="H1685" s="250"/>
      <c r="I1685" s="471"/>
    </row>
    <row r="1686" spans="1:9" ht="12.75">
      <c r="A1686" s="717"/>
      <c r="B1686" s="718"/>
      <c r="C1686" s="250"/>
      <c r="D1686" s="250"/>
      <c r="E1686" s="250"/>
      <c r="F1686" s="250"/>
      <c r="G1686" s="471"/>
      <c r="H1686" s="250"/>
      <c r="I1686" s="471"/>
    </row>
    <row r="1687" spans="1:9" ht="12.75">
      <c r="A1687" s="717"/>
      <c r="B1687" s="718"/>
      <c r="C1687" s="250"/>
      <c r="D1687" s="250"/>
      <c r="E1687" s="250"/>
      <c r="F1687" s="250"/>
      <c r="G1687" s="471"/>
      <c r="H1687" s="250"/>
      <c r="I1687" s="471"/>
    </row>
    <row r="1688" spans="1:9" ht="12.75">
      <c r="A1688" s="717"/>
      <c r="B1688" s="718"/>
      <c r="C1688" s="250"/>
      <c r="D1688" s="250"/>
      <c r="E1688" s="250"/>
      <c r="F1688" s="250"/>
      <c r="G1688" s="471"/>
      <c r="H1688" s="250"/>
      <c r="I1688" s="471"/>
    </row>
    <row r="1689" spans="1:9" ht="12.75">
      <c r="A1689" s="717"/>
      <c r="B1689" s="718"/>
      <c r="C1689" s="250"/>
      <c r="D1689" s="250"/>
      <c r="E1689" s="250"/>
      <c r="F1689" s="250"/>
      <c r="G1689" s="471"/>
      <c r="H1689" s="250"/>
      <c r="I1689" s="471"/>
    </row>
    <row r="1690" spans="1:9" ht="12.75">
      <c r="A1690" s="717"/>
      <c r="B1690" s="718"/>
      <c r="C1690" s="250"/>
      <c r="D1690" s="250"/>
      <c r="E1690" s="250"/>
      <c r="F1690" s="250"/>
      <c r="G1690" s="471"/>
      <c r="H1690" s="250"/>
      <c r="I1690" s="471"/>
    </row>
    <row r="1691" spans="1:9" ht="12.75">
      <c r="A1691" s="717"/>
      <c r="B1691" s="718"/>
      <c r="C1691" s="250"/>
      <c r="D1691" s="250"/>
      <c r="E1691" s="250"/>
      <c r="F1691" s="250"/>
      <c r="G1691" s="471"/>
      <c r="H1691" s="250"/>
      <c r="I1691" s="471"/>
    </row>
    <row r="1692" spans="1:9" ht="12.75">
      <c r="A1692" s="717"/>
      <c r="B1692" s="718"/>
      <c r="C1692" s="250"/>
      <c r="D1692" s="250"/>
      <c r="E1692" s="250"/>
      <c r="F1692" s="250"/>
      <c r="G1692" s="471"/>
      <c r="H1692" s="250"/>
      <c r="I1692" s="471"/>
    </row>
    <row r="1693" spans="1:9" ht="12.75">
      <c r="A1693" s="717"/>
      <c r="B1693" s="718"/>
      <c r="C1693" s="250"/>
      <c r="D1693" s="250"/>
      <c r="E1693" s="250"/>
      <c r="F1693" s="250"/>
      <c r="G1693" s="471"/>
      <c r="H1693" s="250"/>
      <c r="I1693" s="471"/>
    </row>
    <row r="1694" spans="1:9" ht="12.75">
      <c r="A1694" s="717"/>
      <c r="B1694" s="718"/>
      <c r="C1694" s="250"/>
      <c r="D1694" s="250"/>
      <c r="E1694" s="250"/>
      <c r="F1694" s="250"/>
      <c r="G1694" s="471"/>
      <c r="H1694" s="250"/>
      <c r="I1694" s="471"/>
    </row>
    <row r="1695" spans="1:9" ht="12.75">
      <c r="A1695" s="717"/>
      <c r="B1695" s="718"/>
      <c r="C1695" s="250"/>
      <c r="D1695" s="250"/>
      <c r="E1695" s="250"/>
      <c r="F1695" s="250"/>
      <c r="G1695" s="471"/>
      <c r="H1695" s="250"/>
      <c r="I1695" s="471"/>
    </row>
    <row r="1696" spans="1:9" ht="12.75">
      <c r="A1696" s="717"/>
      <c r="B1696" s="718"/>
      <c r="C1696" s="250"/>
      <c r="D1696" s="250"/>
      <c r="E1696" s="250"/>
      <c r="F1696" s="250"/>
      <c r="G1696" s="471"/>
      <c r="H1696" s="250"/>
      <c r="I1696" s="471"/>
    </row>
    <row r="1697" spans="1:9" ht="12.75">
      <c r="A1697" s="717"/>
      <c r="B1697" s="718"/>
      <c r="C1697" s="250"/>
      <c r="D1697" s="250"/>
      <c r="E1697" s="250"/>
      <c r="F1697" s="250"/>
      <c r="G1697" s="471"/>
      <c r="H1697" s="250"/>
      <c r="I1697" s="471"/>
    </row>
    <row r="1698" spans="1:9" ht="12.75">
      <c r="A1698" s="717"/>
      <c r="B1698" s="718"/>
      <c r="C1698" s="250"/>
      <c r="D1698" s="250"/>
      <c r="E1698" s="250"/>
      <c r="F1698" s="250"/>
      <c r="G1698" s="471"/>
      <c r="H1698" s="250"/>
      <c r="I1698" s="471"/>
    </row>
    <row r="1699" spans="1:9" ht="12.75">
      <c r="A1699" s="717"/>
      <c r="B1699" s="718"/>
      <c r="C1699" s="250"/>
      <c r="D1699" s="250"/>
      <c r="E1699" s="250"/>
      <c r="F1699" s="250"/>
      <c r="G1699" s="471"/>
      <c r="H1699" s="250"/>
      <c r="I1699" s="471"/>
    </row>
    <row r="1700" spans="1:9" ht="12.75">
      <c r="A1700" s="717"/>
      <c r="B1700" s="718"/>
      <c r="C1700" s="250"/>
      <c r="D1700" s="250"/>
      <c r="E1700" s="250"/>
      <c r="F1700" s="250"/>
      <c r="G1700" s="471"/>
      <c r="H1700" s="250"/>
      <c r="I1700" s="471"/>
    </row>
    <row r="1701" spans="1:9" ht="12.75">
      <c r="A1701" s="717"/>
      <c r="B1701" s="718"/>
      <c r="C1701" s="250"/>
      <c r="D1701" s="250"/>
      <c r="E1701" s="250"/>
      <c r="F1701" s="250"/>
      <c r="G1701" s="471"/>
      <c r="H1701" s="250"/>
      <c r="I1701" s="471"/>
    </row>
    <row r="1702" spans="1:9" ht="12.75">
      <c r="A1702" s="717"/>
      <c r="B1702" s="718"/>
      <c r="C1702" s="250"/>
      <c r="D1702" s="250"/>
      <c r="E1702" s="250"/>
      <c r="F1702" s="250"/>
      <c r="G1702" s="471"/>
      <c r="H1702" s="250"/>
      <c r="I1702" s="471"/>
    </row>
    <row r="1703" spans="1:9" ht="12.75">
      <c r="A1703" s="717"/>
      <c r="B1703" s="718"/>
      <c r="C1703" s="250"/>
      <c r="D1703" s="250"/>
      <c r="E1703" s="250"/>
      <c r="F1703" s="250"/>
      <c r="G1703" s="471"/>
      <c r="H1703" s="250"/>
      <c r="I1703" s="471"/>
    </row>
    <row r="1704" spans="1:9" ht="12.75">
      <c r="A1704" s="717"/>
      <c r="B1704" s="718"/>
      <c r="C1704" s="250"/>
      <c r="D1704" s="250"/>
      <c r="E1704" s="250"/>
      <c r="F1704" s="250"/>
      <c r="G1704" s="471"/>
      <c r="H1704" s="250"/>
      <c r="I1704" s="471"/>
    </row>
    <row r="1705" spans="1:9" ht="12.75">
      <c r="A1705" s="717"/>
      <c r="B1705" s="718"/>
      <c r="C1705" s="250"/>
      <c r="D1705" s="250"/>
      <c r="E1705" s="250"/>
      <c r="F1705" s="250"/>
      <c r="G1705" s="471"/>
      <c r="H1705" s="250"/>
      <c r="I1705" s="471"/>
    </row>
    <row r="1706" spans="1:9" ht="12.75">
      <c r="A1706" s="717"/>
      <c r="B1706" s="718"/>
      <c r="C1706" s="250"/>
      <c r="D1706" s="250"/>
      <c r="E1706" s="250"/>
      <c r="F1706" s="250"/>
      <c r="G1706" s="471"/>
      <c r="H1706" s="250"/>
      <c r="I1706" s="471"/>
    </row>
    <row r="1707" spans="1:9" ht="12.75">
      <c r="A1707" s="717"/>
      <c r="B1707" s="718"/>
      <c r="C1707" s="250"/>
      <c r="D1707" s="250"/>
      <c r="E1707" s="250"/>
      <c r="F1707" s="250"/>
      <c r="G1707" s="471"/>
      <c r="H1707" s="250"/>
      <c r="I1707" s="471"/>
    </row>
    <row r="1708" spans="1:9" ht="12.75">
      <c r="A1708" s="717"/>
      <c r="B1708" s="718"/>
      <c r="C1708" s="250"/>
      <c r="D1708" s="250"/>
      <c r="E1708" s="250"/>
      <c r="F1708" s="250"/>
      <c r="G1708" s="471"/>
      <c r="H1708" s="250"/>
      <c r="I1708" s="471"/>
    </row>
    <row r="1709" spans="1:9" ht="12.75">
      <c r="A1709" s="717"/>
      <c r="B1709" s="718"/>
      <c r="C1709" s="250"/>
      <c r="D1709" s="250"/>
      <c r="E1709" s="250"/>
      <c r="F1709" s="250"/>
      <c r="G1709" s="471"/>
      <c r="H1709" s="250"/>
      <c r="I1709" s="471"/>
    </row>
    <row r="1710" spans="1:9" ht="12.75">
      <c r="A1710" s="717"/>
      <c r="B1710" s="718"/>
      <c r="C1710" s="250"/>
      <c r="D1710" s="250"/>
      <c r="E1710" s="250"/>
      <c r="F1710" s="250"/>
      <c r="G1710" s="471"/>
      <c r="H1710" s="250"/>
      <c r="I1710" s="471"/>
    </row>
    <row r="1711" spans="1:9" ht="12.75">
      <c r="A1711" s="717"/>
      <c r="B1711" s="718"/>
      <c r="C1711" s="250"/>
      <c r="D1711" s="250"/>
      <c r="E1711" s="250"/>
      <c r="F1711" s="250"/>
      <c r="G1711" s="471"/>
      <c r="H1711" s="250"/>
      <c r="I1711" s="471"/>
    </row>
    <row r="1712" spans="1:9" ht="12.75">
      <c r="A1712" s="717"/>
      <c r="B1712" s="718"/>
      <c r="C1712" s="250"/>
      <c r="D1712" s="250"/>
      <c r="E1712" s="250"/>
      <c r="F1712" s="250"/>
      <c r="G1712" s="471"/>
      <c r="H1712" s="250"/>
      <c r="I1712" s="471"/>
    </row>
    <row r="1713" spans="1:9" ht="12.75">
      <c r="A1713" s="717"/>
      <c r="B1713" s="718"/>
      <c r="C1713" s="250"/>
      <c r="D1713" s="250"/>
      <c r="E1713" s="250"/>
      <c r="F1713" s="250"/>
      <c r="G1713" s="471"/>
      <c r="H1713" s="250"/>
      <c r="I1713" s="471"/>
    </row>
    <row r="1714" spans="1:9" ht="12.75">
      <c r="A1714" s="717"/>
      <c r="B1714" s="718"/>
      <c r="C1714" s="250"/>
      <c r="D1714" s="250"/>
      <c r="E1714" s="250"/>
      <c r="F1714" s="250"/>
      <c r="G1714" s="471"/>
      <c r="H1714" s="250"/>
      <c r="I1714" s="471"/>
    </row>
    <row r="1715" spans="1:9" ht="12.75">
      <c r="A1715" s="717"/>
      <c r="B1715" s="718"/>
      <c r="C1715" s="250"/>
      <c r="D1715" s="250"/>
      <c r="E1715" s="250"/>
      <c r="F1715" s="250"/>
      <c r="G1715" s="471"/>
      <c r="H1715" s="250"/>
      <c r="I1715" s="471"/>
    </row>
    <row r="1716" spans="1:9" ht="12.75">
      <c r="A1716" s="717"/>
      <c r="B1716" s="718"/>
      <c r="C1716" s="250"/>
      <c r="D1716" s="250"/>
      <c r="E1716" s="250"/>
      <c r="F1716" s="250"/>
      <c r="G1716" s="471"/>
      <c r="H1716" s="250"/>
      <c r="I1716" s="471"/>
    </row>
    <row r="1717" spans="1:9" ht="12.75">
      <c r="A1717" s="717"/>
      <c r="B1717" s="718"/>
      <c r="C1717" s="250"/>
      <c r="D1717" s="250"/>
      <c r="E1717" s="250"/>
      <c r="F1717" s="250"/>
      <c r="G1717" s="471"/>
      <c r="H1717" s="250"/>
      <c r="I1717" s="471"/>
    </row>
    <row r="1718" spans="1:9" ht="12.75">
      <c r="A1718" s="717"/>
      <c r="B1718" s="718"/>
      <c r="C1718" s="250"/>
      <c r="D1718" s="250"/>
      <c r="E1718" s="250"/>
      <c r="F1718" s="250"/>
      <c r="G1718" s="471"/>
      <c r="H1718" s="250"/>
      <c r="I1718" s="471"/>
    </row>
    <row r="1719" spans="1:9" ht="12.75">
      <c r="A1719" s="717"/>
      <c r="B1719" s="718"/>
      <c r="C1719" s="250"/>
      <c r="D1719" s="250"/>
      <c r="E1719" s="250"/>
      <c r="F1719" s="250"/>
      <c r="G1719" s="471"/>
      <c r="H1719" s="250"/>
      <c r="I1719" s="471"/>
    </row>
    <row r="1720" spans="1:9" ht="12.75">
      <c r="A1720" s="717"/>
      <c r="B1720" s="718"/>
      <c r="C1720" s="250"/>
      <c r="D1720" s="250"/>
      <c r="E1720" s="250"/>
      <c r="F1720" s="250"/>
      <c r="G1720" s="471"/>
      <c r="H1720" s="250"/>
      <c r="I1720" s="471"/>
    </row>
    <row r="1721" spans="1:9" ht="12.75">
      <c r="A1721" s="717"/>
      <c r="B1721" s="718"/>
      <c r="C1721" s="250"/>
      <c r="D1721" s="250"/>
      <c r="E1721" s="250"/>
      <c r="F1721" s="250"/>
      <c r="G1721" s="471"/>
      <c r="H1721" s="250"/>
      <c r="I1721" s="471"/>
    </row>
    <row r="1722" spans="1:9" ht="12.75">
      <c r="A1722" s="717"/>
      <c r="B1722" s="718"/>
      <c r="C1722" s="250"/>
      <c r="D1722" s="250"/>
      <c r="E1722" s="250"/>
      <c r="F1722" s="250"/>
      <c r="G1722" s="471"/>
      <c r="H1722" s="250"/>
      <c r="I1722" s="471"/>
    </row>
    <row r="1723" spans="1:9" ht="12.75">
      <c r="A1723" s="717"/>
      <c r="B1723" s="718"/>
      <c r="C1723" s="250"/>
      <c r="D1723" s="250"/>
      <c r="E1723" s="250"/>
      <c r="F1723" s="250"/>
      <c r="G1723" s="471"/>
      <c r="H1723" s="250"/>
      <c r="I1723" s="471"/>
    </row>
    <row r="1724" spans="1:9" ht="12.75">
      <c r="A1724" s="717"/>
      <c r="B1724" s="718"/>
      <c r="C1724" s="250"/>
      <c r="D1724" s="250"/>
      <c r="E1724" s="250"/>
      <c r="F1724" s="250"/>
      <c r="G1724" s="471"/>
      <c r="H1724" s="250"/>
      <c r="I1724" s="471"/>
    </row>
    <row r="1725" spans="1:9" ht="12.75">
      <c r="A1725" s="717"/>
      <c r="B1725" s="718"/>
      <c r="C1725" s="250"/>
      <c r="D1725" s="250"/>
      <c r="E1725" s="250"/>
      <c r="F1725" s="250"/>
      <c r="G1725" s="471"/>
      <c r="H1725" s="250"/>
      <c r="I1725" s="471"/>
    </row>
    <row r="1726" spans="1:9" ht="12.75">
      <c r="A1726" s="717"/>
      <c r="B1726" s="718"/>
      <c r="C1726" s="250"/>
      <c r="D1726" s="250"/>
      <c r="E1726" s="250"/>
      <c r="F1726" s="250"/>
      <c r="G1726" s="471"/>
      <c r="H1726" s="250"/>
      <c r="I1726" s="471"/>
    </row>
    <row r="1727" spans="1:9" ht="12.75">
      <c r="A1727" s="717"/>
      <c r="B1727" s="718"/>
      <c r="C1727" s="250"/>
      <c r="D1727" s="250"/>
      <c r="E1727" s="250"/>
      <c r="F1727" s="250"/>
      <c r="G1727" s="471"/>
      <c r="H1727" s="250"/>
      <c r="I1727" s="471"/>
    </row>
    <row r="1728" spans="1:9" ht="12.75">
      <c r="A1728" s="717"/>
      <c r="B1728" s="718"/>
      <c r="C1728" s="250"/>
      <c r="D1728" s="250"/>
      <c r="E1728" s="250"/>
      <c r="F1728" s="250"/>
      <c r="G1728" s="471"/>
      <c r="H1728" s="250"/>
      <c r="I1728" s="471"/>
    </row>
    <row r="1729" spans="1:9" ht="12.75">
      <c r="A1729" s="717"/>
      <c r="B1729" s="718"/>
      <c r="C1729" s="250"/>
      <c r="D1729" s="250"/>
      <c r="E1729" s="250"/>
      <c r="F1729" s="250"/>
      <c r="G1729" s="471"/>
      <c r="H1729" s="250"/>
      <c r="I1729" s="471"/>
    </row>
    <row r="1730" spans="1:9" ht="12.75">
      <c r="A1730" s="717"/>
      <c r="B1730" s="718"/>
      <c r="C1730" s="250"/>
      <c r="D1730" s="250"/>
      <c r="E1730" s="250"/>
      <c r="F1730" s="250"/>
      <c r="G1730" s="471"/>
      <c r="H1730" s="250"/>
      <c r="I1730" s="471"/>
    </row>
    <row r="1731" spans="1:9" ht="12.75">
      <c r="A1731" s="717"/>
      <c r="B1731" s="718"/>
      <c r="C1731" s="250"/>
      <c r="D1731" s="250"/>
      <c r="E1731" s="250"/>
      <c r="F1731" s="250"/>
      <c r="G1731" s="471"/>
      <c r="H1731" s="250"/>
      <c r="I1731" s="471"/>
    </row>
    <row r="1732" spans="1:9" ht="12.75">
      <c r="A1732" s="717"/>
      <c r="B1732" s="718"/>
      <c r="C1732" s="250"/>
      <c r="D1732" s="250"/>
      <c r="E1732" s="250"/>
      <c r="F1732" s="250"/>
      <c r="G1732" s="471"/>
      <c r="H1732" s="250"/>
      <c r="I1732" s="471"/>
    </row>
    <row r="1733" spans="1:9" ht="12.75">
      <c r="A1733" s="717"/>
      <c r="B1733" s="718"/>
      <c r="C1733" s="250"/>
      <c r="D1733" s="250"/>
      <c r="E1733" s="250"/>
      <c r="F1733" s="250"/>
      <c r="G1733" s="471"/>
      <c r="H1733" s="250"/>
      <c r="I1733" s="471"/>
    </row>
    <row r="1734" spans="1:9" ht="12.75">
      <c r="A1734" s="717"/>
      <c r="B1734" s="718"/>
      <c r="C1734" s="250"/>
      <c r="D1734" s="250"/>
      <c r="E1734" s="250"/>
      <c r="F1734" s="250"/>
      <c r="G1734" s="471"/>
      <c r="H1734" s="250"/>
      <c r="I1734" s="471"/>
    </row>
    <row r="1735" spans="1:9" ht="12.75">
      <c r="A1735" s="717"/>
      <c r="B1735" s="718"/>
      <c r="C1735" s="250"/>
      <c r="D1735" s="250"/>
      <c r="E1735" s="250"/>
      <c r="F1735" s="250"/>
      <c r="G1735" s="471"/>
      <c r="H1735" s="250"/>
      <c r="I1735" s="471"/>
    </row>
    <row r="1736" spans="1:9" ht="12.75">
      <c r="A1736" s="717"/>
      <c r="B1736" s="718"/>
      <c r="C1736" s="250"/>
      <c r="D1736" s="250"/>
      <c r="E1736" s="250"/>
      <c r="F1736" s="250"/>
      <c r="G1736" s="471"/>
      <c r="H1736" s="250"/>
      <c r="I1736" s="471"/>
    </row>
    <row r="1737" spans="1:9" ht="12.75">
      <c r="A1737" s="717"/>
      <c r="B1737" s="718"/>
      <c r="C1737" s="250"/>
      <c r="D1737" s="250"/>
      <c r="E1737" s="250"/>
      <c r="F1737" s="250"/>
      <c r="G1737" s="471"/>
      <c r="H1737" s="250"/>
      <c r="I1737" s="471"/>
    </row>
    <row r="1738" spans="1:9" ht="12.75">
      <c r="A1738" s="717"/>
      <c r="B1738" s="718"/>
      <c r="C1738" s="250"/>
      <c r="D1738" s="250"/>
      <c r="E1738" s="250"/>
      <c r="F1738" s="250"/>
      <c r="G1738" s="471"/>
      <c r="H1738" s="250"/>
      <c r="I1738" s="471"/>
    </row>
    <row r="1739" spans="1:9" ht="12.75">
      <c r="A1739" s="717"/>
      <c r="B1739" s="718"/>
      <c r="C1739" s="250"/>
      <c r="D1739" s="250"/>
      <c r="E1739" s="250"/>
      <c r="F1739" s="250"/>
      <c r="G1739" s="471"/>
      <c r="H1739" s="250"/>
      <c r="I1739" s="471"/>
    </row>
    <row r="1740" spans="1:9" ht="12.75">
      <c r="A1740" s="717"/>
      <c r="B1740" s="718"/>
      <c r="C1740" s="250"/>
      <c r="D1740" s="250"/>
      <c r="E1740" s="250"/>
      <c r="F1740" s="250"/>
      <c r="G1740" s="471"/>
      <c r="H1740" s="250"/>
      <c r="I1740" s="471"/>
    </row>
    <row r="1741" spans="1:9" ht="12.75">
      <c r="A1741" s="717"/>
      <c r="B1741" s="718"/>
      <c r="C1741" s="250"/>
      <c r="D1741" s="250"/>
      <c r="E1741" s="250"/>
      <c r="F1741" s="250"/>
      <c r="G1741" s="471"/>
      <c r="H1741" s="250"/>
      <c r="I1741" s="471"/>
    </row>
    <row r="1742" spans="1:9" ht="12.75">
      <c r="A1742" s="717"/>
      <c r="B1742" s="718"/>
      <c r="C1742" s="250"/>
      <c r="D1742" s="250"/>
      <c r="E1742" s="250"/>
      <c r="F1742" s="250"/>
      <c r="G1742" s="471"/>
      <c r="H1742" s="250"/>
      <c r="I1742" s="471"/>
    </row>
    <row r="1743" spans="1:9" ht="12.75">
      <c r="A1743" s="717"/>
      <c r="B1743" s="718"/>
      <c r="C1743" s="250"/>
      <c r="D1743" s="250"/>
      <c r="E1743" s="250"/>
      <c r="F1743" s="250"/>
      <c r="G1743" s="471"/>
      <c r="H1743" s="250"/>
      <c r="I1743" s="471"/>
    </row>
    <row r="1744" spans="1:9" ht="12.75">
      <c r="A1744" s="717"/>
      <c r="B1744" s="718"/>
      <c r="C1744" s="250"/>
      <c r="D1744" s="250"/>
      <c r="E1744" s="250"/>
      <c r="F1744" s="250"/>
      <c r="G1744" s="471"/>
      <c r="H1744" s="250"/>
      <c r="I1744" s="471"/>
    </row>
    <row r="1745" spans="1:9" ht="12.75">
      <c r="A1745" s="717"/>
      <c r="B1745" s="718"/>
      <c r="C1745" s="250"/>
      <c r="D1745" s="250"/>
      <c r="E1745" s="250"/>
      <c r="F1745" s="250"/>
      <c r="G1745" s="471"/>
      <c r="H1745" s="250"/>
      <c r="I1745" s="471"/>
    </row>
    <row r="1746" spans="1:9" ht="12.75">
      <c r="A1746" s="717"/>
      <c r="B1746" s="718"/>
      <c r="C1746" s="250"/>
      <c r="D1746" s="250"/>
      <c r="E1746" s="250"/>
      <c r="F1746" s="250"/>
      <c r="G1746" s="471"/>
      <c r="H1746" s="250"/>
      <c r="I1746" s="471"/>
    </row>
    <row r="1747" spans="1:9" ht="12.75">
      <c r="A1747" s="717"/>
      <c r="B1747" s="718"/>
      <c r="C1747" s="250"/>
      <c r="D1747" s="250"/>
      <c r="E1747" s="250"/>
      <c r="F1747" s="250"/>
      <c r="G1747" s="471"/>
      <c r="H1747" s="250"/>
      <c r="I1747" s="471"/>
    </row>
    <row r="1748" spans="1:9" ht="12.75">
      <c r="A1748" s="717"/>
      <c r="B1748" s="718"/>
      <c r="C1748" s="250"/>
      <c r="D1748" s="250"/>
      <c r="E1748" s="250"/>
      <c r="F1748" s="250"/>
      <c r="G1748" s="471"/>
      <c r="H1748" s="250"/>
      <c r="I1748" s="471"/>
    </row>
    <row r="1749" spans="1:9" ht="12.75">
      <c r="A1749" s="717"/>
      <c r="B1749" s="718"/>
      <c r="C1749" s="250"/>
      <c r="D1749" s="250"/>
      <c r="E1749" s="250"/>
      <c r="F1749" s="250"/>
      <c r="G1749" s="471"/>
      <c r="H1749" s="250"/>
      <c r="I1749" s="471"/>
    </row>
    <row r="1750" spans="1:9" ht="12.75">
      <c r="A1750" s="717"/>
      <c r="B1750" s="718"/>
      <c r="C1750" s="250"/>
      <c r="D1750" s="250"/>
      <c r="E1750" s="250"/>
      <c r="F1750" s="250"/>
      <c r="G1750" s="471"/>
      <c r="H1750" s="250"/>
      <c r="I1750" s="471"/>
    </row>
    <row r="1751" spans="1:9" ht="12.75">
      <c r="A1751" s="717"/>
      <c r="B1751" s="718"/>
      <c r="C1751" s="250"/>
      <c r="D1751" s="250"/>
      <c r="E1751" s="250"/>
      <c r="F1751" s="250"/>
      <c r="G1751" s="471"/>
      <c r="H1751" s="250"/>
      <c r="I1751" s="471"/>
    </row>
    <row r="1752" spans="1:9" ht="12.75">
      <c r="A1752" s="717"/>
      <c r="B1752" s="718"/>
      <c r="C1752" s="250"/>
      <c r="D1752" s="250"/>
      <c r="E1752" s="250"/>
      <c r="F1752" s="250"/>
      <c r="G1752" s="471"/>
      <c r="H1752" s="250"/>
      <c r="I1752" s="471"/>
    </row>
    <row r="1753" spans="1:9" ht="12.75">
      <c r="A1753" s="717"/>
      <c r="B1753" s="718"/>
      <c r="C1753" s="250"/>
      <c r="D1753" s="250"/>
      <c r="E1753" s="250"/>
      <c r="F1753" s="250"/>
      <c r="G1753" s="471"/>
      <c r="H1753" s="250"/>
      <c r="I1753" s="471"/>
    </row>
    <row r="1754" spans="1:9" ht="12.75">
      <c r="A1754" s="717"/>
      <c r="B1754" s="718"/>
      <c r="C1754" s="250"/>
      <c r="D1754" s="250"/>
      <c r="E1754" s="250"/>
      <c r="F1754" s="250"/>
      <c r="G1754" s="471"/>
      <c r="H1754" s="250"/>
      <c r="I1754" s="471"/>
    </row>
    <row r="1755" spans="1:9" ht="12.75">
      <c r="A1755" s="717"/>
      <c r="B1755" s="718"/>
      <c r="C1755" s="250"/>
      <c r="D1755" s="250"/>
      <c r="E1755" s="250"/>
      <c r="F1755" s="250"/>
      <c r="G1755" s="471"/>
      <c r="H1755" s="250"/>
      <c r="I1755" s="471"/>
    </row>
    <row r="1756" spans="1:9" ht="12.75">
      <c r="A1756" s="717"/>
      <c r="B1756" s="718"/>
      <c r="C1756" s="250"/>
      <c r="D1756" s="250"/>
      <c r="E1756" s="250"/>
      <c r="F1756" s="250"/>
      <c r="G1756" s="471"/>
      <c r="H1756" s="250"/>
      <c r="I1756" s="471"/>
    </row>
    <row r="1757" spans="1:9" ht="12.75">
      <c r="A1757" s="717"/>
      <c r="B1757" s="718"/>
      <c r="C1757" s="250"/>
      <c r="D1757" s="250"/>
      <c r="E1757" s="250"/>
      <c r="F1757" s="250"/>
      <c r="G1757" s="471"/>
      <c r="H1757" s="250"/>
      <c r="I1757" s="471"/>
    </row>
    <row r="1758" spans="1:9" ht="12.75">
      <c r="A1758" s="717"/>
      <c r="B1758" s="718"/>
      <c r="C1758" s="250"/>
      <c r="D1758" s="250"/>
      <c r="E1758" s="250"/>
      <c r="F1758" s="250"/>
      <c r="G1758" s="471"/>
      <c r="H1758" s="250"/>
      <c r="I1758" s="471"/>
    </row>
    <row r="1759" spans="1:9" ht="12.75">
      <c r="A1759" s="717"/>
      <c r="B1759" s="718"/>
      <c r="C1759" s="250"/>
      <c r="D1759" s="250"/>
      <c r="E1759" s="250"/>
      <c r="F1759" s="250"/>
      <c r="G1759" s="471"/>
      <c r="H1759" s="250"/>
      <c r="I1759" s="471"/>
    </row>
    <row r="1760" spans="1:9" ht="12.75">
      <c r="A1760" s="717"/>
      <c r="B1760" s="718"/>
      <c r="C1760" s="250"/>
      <c r="D1760" s="250"/>
      <c r="E1760" s="250"/>
      <c r="F1760" s="250"/>
      <c r="G1760" s="471"/>
      <c r="H1760" s="250"/>
      <c r="I1760" s="471"/>
    </row>
    <row r="1761" spans="1:9" ht="12.75">
      <c r="A1761" s="717"/>
      <c r="B1761" s="718"/>
      <c r="C1761" s="250"/>
      <c r="D1761" s="250"/>
      <c r="E1761" s="250"/>
      <c r="F1761" s="250"/>
      <c r="G1761" s="471"/>
      <c r="H1761" s="250"/>
      <c r="I1761" s="471"/>
    </row>
    <row r="1762" spans="1:9" ht="12.75">
      <c r="A1762" s="717"/>
      <c r="B1762" s="718"/>
      <c r="C1762" s="250"/>
      <c r="D1762" s="250"/>
      <c r="E1762" s="250"/>
      <c r="F1762" s="250"/>
      <c r="G1762" s="471"/>
      <c r="H1762" s="250"/>
      <c r="I1762" s="471"/>
    </row>
    <row r="1763" spans="1:9" ht="12.75">
      <c r="A1763" s="717"/>
      <c r="B1763" s="718"/>
      <c r="C1763" s="250"/>
      <c r="D1763" s="250"/>
      <c r="E1763" s="250"/>
      <c r="F1763" s="250"/>
      <c r="G1763" s="471"/>
      <c r="H1763" s="250"/>
      <c r="I1763" s="471"/>
    </row>
    <row r="1764" spans="1:9" ht="12.75">
      <c r="A1764" s="717"/>
      <c r="B1764" s="718"/>
      <c r="C1764" s="250"/>
      <c r="D1764" s="250"/>
      <c r="E1764" s="250"/>
      <c r="F1764" s="250"/>
      <c r="G1764" s="471"/>
      <c r="H1764" s="250"/>
      <c r="I1764" s="471"/>
    </row>
    <row r="1765" spans="1:9" ht="12.75">
      <c r="A1765" s="717"/>
      <c r="B1765" s="718"/>
      <c r="C1765" s="250"/>
      <c r="D1765" s="250"/>
      <c r="E1765" s="250"/>
      <c r="F1765" s="250"/>
      <c r="G1765" s="471"/>
      <c r="H1765" s="250"/>
      <c r="I1765" s="471"/>
    </row>
    <row r="1766" spans="1:9" ht="12.75">
      <c r="A1766" s="717"/>
      <c r="B1766" s="718"/>
      <c r="C1766" s="250"/>
      <c r="D1766" s="250"/>
      <c r="E1766" s="250"/>
      <c r="F1766" s="250"/>
      <c r="G1766" s="471"/>
      <c r="H1766" s="250"/>
      <c r="I1766" s="471"/>
    </row>
    <row r="1767" spans="1:9" ht="12.75">
      <c r="A1767" s="717"/>
      <c r="B1767" s="718"/>
      <c r="C1767" s="250"/>
      <c r="D1767" s="250"/>
      <c r="E1767" s="250"/>
      <c r="F1767" s="250"/>
      <c r="G1767" s="471"/>
      <c r="H1767" s="250"/>
      <c r="I1767" s="471"/>
    </row>
    <row r="1768" spans="1:9" ht="12.75">
      <c r="A1768" s="717"/>
      <c r="B1768" s="718"/>
      <c r="C1768" s="250"/>
      <c r="D1768" s="250"/>
      <c r="E1768" s="250"/>
      <c r="F1768" s="250"/>
      <c r="G1768" s="471"/>
      <c r="H1768" s="250"/>
      <c r="I1768" s="471"/>
    </row>
    <row r="1769" spans="1:9" ht="12.75">
      <c r="A1769" s="717"/>
      <c r="B1769" s="718"/>
      <c r="C1769" s="250"/>
      <c r="D1769" s="250"/>
      <c r="E1769" s="250"/>
      <c r="F1769" s="250"/>
      <c r="G1769" s="471"/>
      <c r="H1769" s="250"/>
      <c r="I1769" s="471"/>
    </row>
    <row r="1770" spans="1:9" ht="12.75">
      <c r="A1770" s="717"/>
      <c r="B1770" s="718"/>
      <c r="C1770" s="250"/>
      <c r="D1770" s="250"/>
      <c r="E1770" s="250"/>
      <c r="F1770" s="250"/>
      <c r="G1770" s="471"/>
      <c r="H1770" s="250"/>
      <c r="I1770" s="471"/>
    </row>
    <row r="1771" spans="1:9" ht="12.75">
      <c r="A1771" s="717"/>
      <c r="B1771" s="718"/>
      <c r="C1771" s="250"/>
      <c r="D1771" s="250"/>
      <c r="E1771" s="250"/>
      <c r="F1771" s="250"/>
      <c r="G1771" s="471"/>
      <c r="H1771" s="250"/>
      <c r="I1771" s="471"/>
    </row>
    <row r="1772" spans="1:9" ht="12.75">
      <c r="A1772" s="717"/>
      <c r="B1772" s="718"/>
      <c r="C1772" s="250"/>
      <c r="D1772" s="250"/>
      <c r="E1772" s="250"/>
      <c r="F1772" s="250"/>
      <c r="G1772" s="471"/>
      <c r="H1772" s="250"/>
      <c r="I1772" s="471"/>
    </row>
    <row r="1773" spans="1:9" ht="12.75">
      <c r="A1773" s="717"/>
      <c r="B1773" s="718"/>
      <c r="C1773" s="250"/>
      <c r="D1773" s="250"/>
      <c r="E1773" s="250"/>
      <c r="F1773" s="250"/>
      <c r="G1773" s="471"/>
      <c r="H1773" s="250"/>
      <c r="I1773" s="471"/>
    </row>
    <row r="1774" spans="1:9" ht="12.75">
      <c r="A1774" s="717"/>
      <c r="B1774" s="718"/>
      <c r="C1774" s="250"/>
      <c r="D1774" s="250"/>
      <c r="E1774" s="250"/>
      <c r="F1774" s="250"/>
      <c r="G1774" s="471"/>
      <c r="H1774" s="250"/>
      <c r="I1774" s="471"/>
    </row>
    <row r="1775" spans="1:9" ht="12.75">
      <c r="A1775" s="717"/>
      <c r="B1775" s="718"/>
      <c r="C1775" s="250"/>
      <c r="D1775" s="250"/>
      <c r="E1775" s="250"/>
      <c r="F1775" s="250"/>
      <c r="G1775" s="471"/>
      <c r="H1775" s="250"/>
      <c r="I1775" s="471"/>
    </row>
    <row r="1776" spans="1:9" ht="12.75">
      <c r="A1776" s="717"/>
      <c r="B1776" s="718"/>
      <c r="C1776" s="250"/>
      <c r="D1776" s="250"/>
      <c r="E1776" s="250"/>
      <c r="F1776" s="250"/>
      <c r="G1776" s="471"/>
      <c r="H1776" s="250"/>
      <c r="I1776" s="471"/>
    </row>
    <row r="1777" spans="1:9" ht="12.75">
      <c r="A1777" s="717"/>
      <c r="B1777" s="718"/>
      <c r="C1777" s="250"/>
      <c r="D1777" s="250"/>
      <c r="E1777" s="250"/>
      <c r="F1777" s="250"/>
      <c r="G1777" s="471"/>
      <c r="H1777" s="250"/>
      <c r="I1777" s="471"/>
    </row>
    <row r="1778" spans="1:9" ht="12.75">
      <c r="A1778" s="717"/>
      <c r="B1778" s="718"/>
      <c r="C1778" s="250"/>
      <c r="D1778" s="250"/>
      <c r="E1778" s="250"/>
      <c r="F1778" s="250"/>
      <c r="G1778" s="471"/>
      <c r="H1778" s="250"/>
      <c r="I1778" s="471"/>
    </row>
    <row r="1779" spans="1:9" ht="12.75">
      <c r="A1779" s="717"/>
      <c r="B1779" s="718"/>
      <c r="C1779" s="250"/>
      <c r="D1779" s="250"/>
      <c r="E1779" s="250"/>
      <c r="F1779" s="250"/>
      <c r="G1779" s="471"/>
      <c r="H1779" s="250"/>
      <c r="I1779" s="471"/>
    </row>
    <row r="1780" spans="1:9" ht="12.75">
      <c r="A1780" s="717"/>
      <c r="B1780" s="718"/>
      <c r="C1780" s="250"/>
      <c r="D1780" s="250"/>
      <c r="E1780" s="250"/>
      <c r="F1780" s="250"/>
      <c r="G1780" s="471"/>
      <c r="H1780" s="250"/>
      <c r="I1780" s="471"/>
    </row>
    <row r="1781" spans="1:9" ht="12.75">
      <c r="A1781" s="717"/>
      <c r="B1781" s="718"/>
      <c r="C1781" s="250"/>
      <c r="D1781" s="250"/>
      <c r="E1781" s="250"/>
      <c r="F1781" s="250"/>
      <c r="G1781" s="471"/>
      <c r="H1781" s="250"/>
      <c r="I1781" s="471"/>
    </row>
    <row r="1782" spans="1:9" ht="12.75">
      <c r="A1782" s="717"/>
      <c r="B1782" s="718"/>
      <c r="C1782" s="250"/>
      <c r="D1782" s="250"/>
      <c r="E1782" s="250"/>
      <c r="F1782" s="250"/>
      <c r="G1782" s="471"/>
      <c r="H1782" s="250"/>
      <c r="I1782" s="471"/>
    </row>
    <row r="1783" spans="1:9" ht="12.75">
      <c r="A1783" s="717"/>
      <c r="B1783" s="718"/>
      <c r="C1783" s="250"/>
      <c r="D1783" s="250"/>
      <c r="E1783" s="250"/>
      <c r="F1783" s="250"/>
      <c r="G1783" s="471"/>
      <c r="H1783" s="250"/>
      <c r="I1783" s="471"/>
    </row>
    <row r="1784" spans="1:9" ht="12.75">
      <c r="A1784" s="717"/>
      <c r="B1784" s="718"/>
      <c r="C1784" s="250"/>
      <c r="D1784" s="250"/>
      <c r="E1784" s="250"/>
      <c r="F1784" s="250"/>
      <c r="G1784" s="471"/>
      <c r="H1784" s="250"/>
      <c r="I1784" s="471"/>
    </row>
    <row r="1785" spans="1:9" ht="12.75">
      <c r="A1785" s="717"/>
      <c r="B1785" s="718"/>
      <c r="C1785" s="250"/>
      <c r="D1785" s="250"/>
      <c r="E1785" s="250"/>
      <c r="F1785" s="250"/>
      <c r="G1785" s="471"/>
      <c r="H1785" s="250"/>
      <c r="I1785" s="471"/>
    </row>
    <row r="1786" spans="1:9" ht="12.75">
      <c r="A1786" s="717"/>
      <c r="B1786" s="718"/>
      <c r="C1786" s="250"/>
      <c r="D1786" s="250"/>
      <c r="E1786" s="250"/>
      <c r="F1786" s="250"/>
      <c r="G1786" s="471"/>
      <c r="H1786" s="250"/>
      <c r="I1786" s="471"/>
    </row>
    <row r="1787" spans="1:9" ht="12.75">
      <c r="A1787" s="717"/>
      <c r="B1787" s="718"/>
      <c r="C1787" s="250"/>
      <c r="D1787" s="250"/>
      <c r="E1787" s="250"/>
      <c r="F1787" s="250"/>
      <c r="G1787" s="471"/>
      <c r="H1787" s="250"/>
      <c r="I1787" s="471"/>
    </row>
    <row r="1788" spans="1:9" ht="12.75">
      <c r="A1788" s="717"/>
      <c r="B1788" s="718"/>
      <c r="C1788" s="250"/>
      <c r="D1788" s="250"/>
      <c r="E1788" s="250"/>
      <c r="F1788" s="250"/>
      <c r="G1788" s="471"/>
      <c r="H1788" s="250"/>
      <c r="I1788" s="471"/>
    </row>
    <row r="1789" spans="1:9" ht="12.75">
      <c r="A1789" s="717"/>
      <c r="B1789" s="718"/>
      <c r="C1789" s="250"/>
      <c r="D1789" s="250"/>
      <c r="E1789" s="250"/>
      <c r="F1789" s="250"/>
      <c r="G1789" s="471"/>
      <c r="H1789" s="250"/>
      <c r="I1789" s="471"/>
    </row>
    <row r="1790" spans="1:9" ht="12.75">
      <c r="A1790" s="717"/>
      <c r="B1790" s="718"/>
      <c r="C1790" s="250"/>
      <c r="D1790" s="250"/>
      <c r="E1790" s="250"/>
      <c r="F1790" s="250"/>
      <c r="G1790" s="471"/>
      <c r="H1790" s="250"/>
      <c r="I1790" s="471"/>
    </row>
    <row r="1791" spans="1:9" ht="12.75">
      <c r="A1791" s="717"/>
      <c r="B1791" s="718"/>
      <c r="C1791" s="250"/>
      <c r="D1791" s="250"/>
      <c r="E1791" s="250"/>
      <c r="F1791" s="250"/>
      <c r="G1791" s="471"/>
      <c r="H1791" s="250"/>
      <c r="I1791" s="471"/>
    </row>
    <row r="1792" spans="1:9" ht="12.75">
      <c r="A1792" s="717"/>
      <c r="B1792" s="718"/>
      <c r="C1792" s="250"/>
      <c r="D1792" s="250"/>
      <c r="E1792" s="250"/>
      <c r="F1792" s="250"/>
      <c r="G1792" s="471"/>
      <c r="H1792" s="250"/>
      <c r="I1792" s="471"/>
    </row>
    <row r="1793" spans="1:9" ht="12.75">
      <c r="A1793" s="717"/>
      <c r="B1793" s="718"/>
      <c r="C1793" s="250"/>
      <c r="D1793" s="250"/>
      <c r="E1793" s="250"/>
      <c r="F1793" s="250"/>
      <c r="G1793" s="471"/>
      <c r="H1793" s="250"/>
      <c r="I1793" s="471"/>
    </row>
    <row r="1794" spans="1:9" ht="12.75">
      <c r="A1794" s="717"/>
      <c r="B1794" s="718"/>
      <c r="C1794" s="250"/>
      <c r="D1794" s="250"/>
      <c r="E1794" s="250"/>
      <c r="F1794" s="250"/>
      <c r="G1794" s="471"/>
      <c r="H1794" s="250"/>
      <c r="I1794" s="471"/>
    </row>
    <row r="1795" spans="1:9" ht="12.75">
      <c r="A1795" s="717"/>
      <c r="B1795" s="718"/>
      <c r="C1795" s="250"/>
      <c r="D1795" s="250"/>
      <c r="E1795" s="250"/>
      <c r="F1795" s="250"/>
      <c r="G1795" s="471"/>
      <c r="H1795" s="250"/>
      <c r="I1795" s="471"/>
    </row>
    <row r="1796" spans="1:9" ht="12.75">
      <c r="A1796" s="717"/>
      <c r="B1796" s="718"/>
      <c r="C1796" s="250"/>
      <c r="D1796" s="250"/>
      <c r="E1796" s="250"/>
      <c r="F1796" s="250"/>
      <c r="G1796" s="471"/>
      <c r="H1796" s="250"/>
      <c r="I1796" s="471"/>
    </row>
    <row r="1797" spans="1:9" ht="12.75">
      <c r="A1797" s="717"/>
      <c r="B1797" s="718"/>
      <c r="C1797" s="250"/>
      <c r="D1797" s="250"/>
      <c r="E1797" s="250"/>
      <c r="F1797" s="250"/>
      <c r="G1797" s="471"/>
      <c r="H1797" s="250"/>
      <c r="I1797" s="471"/>
    </row>
    <row r="1798" spans="1:9" ht="12.75">
      <c r="A1798" s="717"/>
      <c r="B1798" s="718"/>
      <c r="C1798" s="250"/>
      <c r="D1798" s="250"/>
      <c r="E1798" s="250"/>
      <c r="F1798" s="250"/>
      <c r="G1798" s="471"/>
      <c r="H1798" s="250"/>
      <c r="I1798" s="471"/>
    </row>
    <row r="1799" spans="1:9" ht="12.75">
      <c r="A1799" s="717"/>
      <c r="B1799" s="718"/>
      <c r="C1799" s="250"/>
      <c r="D1799" s="250"/>
      <c r="E1799" s="250"/>
      <c r="F1799" s="250"/>
      <c r="G1799" s="471"/>
      <c r="H1799" s="250"/>
      <c r="I1799" s="471"/>
    </row>
    <row r="1800" spans="1:9" ht="12.75">
      <c r="A1800" s="717"/>
      <c r="B1800" s="718"/>
      <c r="C1800" s="250"/>
      <c r="D1800" s="250"/>
      <c r="E1800" s="250"/>
      <c r="F1800" s="250"/>
      <c r="G1800" s="471"/>
      <c r="H1800" s="250"/>
      <c r="I1800" s="471"/>
    </row>
    <row r="1801" spans="1:9" ht="12.75">
      <c r="A1801" s="717"/>
      <c r="B1801" s="718"/>
      <c r="C1801" s="250"/>
      <c r="D1801" s="250"/>
      <c r="E1801" s="250"/>
      <c r="F1801" s="250"/>
      <c r="G1801" s="471"/>
      <c r="H1801" s="250"/>
      <c r="I1801" s="471"/>
    </row>
    <row r="1802" spans="1:9" ht="12.75">
      <c r="A1802" s="717"/>
      <c r="B1802" s="718"/>
      <c r="C1802" s="250"/>
      <c r="D1802" s="250"/>
      <c r="E1802" s="250"/>
      <c r="F1802" s="250"/>
      <c r="G1802" s="471"/>
      <c r="H1802" s="250"/>
      <c r="I1802" s="471"/>
    </row>
    <row r="1803" spans="1:9" ht="12.75">
      <c r="A1803" s="717"/>
      <c r="B1803" s="718"/>
      <c r="C1803" s="250"/>
      <c r="D1803" s="250"/>
      <c r="E1803" s="250"/>
      <c r="F1803" s="250"/>
      <c r="G1803" s="471"/>
      <c r="H1803" s="250"/>
      <c r="I1803" s="471"/>
    </row>
    <row r="1804" spans="1:9" ht="12.75">
      <c r="A1804" s="717"/>
      <c r="B1804" s="718"/>
      <c r="C1804" s="250"/>
      <c r="D1804" s="250"/>
      <c r="E1804" s="250"/>
      <c r="F1804" s="250"/>
      <c r="G1804" s="471"/>
      <c r="H1804" s="250"/>
      <c r="I1804" s="471"/>
    </row>
    <row r="1805" spans="1:9" ht="12.75">
      <c r="A1805" s="717"/>
      <c r="B1805" s="718"/>
      <c r="C1805" s="250"/>
      <c r="D1805" s="250"/>
      <c r="E1805" s="250"/>
      <c r="F1805" s="250"/>
      <c r="G1805" s="471"/>
      <c r="H1805" s="250"/>
      <c r="I1805" s="471"/>
    </row>
    <row r="1806" spans="1:9" ht="12.75">
      <c r="A1806" s="717"/>
      <c r="B1806" s="718"/>
      <c r="C1806" s="250"/>
      <c r="D1806" s="250"/>
      <c r="E1806" s="250"/>
      <c r="F1806" s="250"/>
      <c r="G1806" s="471"/>
      <c r="H1806" s="250"/>
      <c r="I1806" s="471"/>
    </row>
    <row r="1807" spans="1:9" ht="12.75">
      <c r="A1807" s="717"/>
      <c r="B1807" s="718"/>
      <c r="C1807" s="250"/>
      <c r="D1807" s="250"/>
      <c r="E1807" s="250"/>
      <c r="F1807" s="250"/>
      <c r="G1807" s="471"/>
      <c r="H1807" s="250"/>
      <c r="I1807" s="471"/>
    </row>
    <row r="1808" spans="1:9" ht="12.75">
      <c r="A1808" s="717"/>
      <c r="B1808" s="718"/>
      <c r="C1808" s="250"/>
      <c r="D1808" s="250"/>
      <c r="E1808" s="250"/>
      <c r="F1808" s="250"/>
      <c r="G1808" s="471"/>
      <c r="H1808" s="250"/>
      <c r="I1808" s="471"/>
    </row>
    <row r="1809" spans="1:9" ht="12.75">
      <c r="A1809" s="717"/>
      <c r="B1809" s="718"/>
      <c r="C1809" s="250"/>
      <c r="D1809" s="250"/>
      <c r="E1809" s="250"/>
      <c r="F1809" s="250"/>
      <c r="G1809" s="471"/>
      <c r="H1809" s="250"/>
      <c r="I1809" s="471"/>
    </row>
    <row r="1810" spans="1:9" ht="12.75">
      <c r="A1810" s="717"/>
      <c r="B1810" s="718"/>
      <c r="C1810" s="250"/>
      <c r="D1810" s="250"/>
      <c r="E1810" s="250"/>
      <c r="F1810" s="250"/>
      <c r="G1810" s="471"/>
      <c r="H1810" s="250"/>
      <c r="I1810" s="471"/>
    </row>
    <row r="1811" spans="1:9" ht="12.75">
      <c r="A1811" s="717"/>
      <c r="B1811" s="718"/>
      <c r="C1811" s="250"/>
      <c r="D1811" s="250"/>
      <c r="E1811" s="250"/>
      <c r="F1811" s="250"/>
      <c r="G1811" s="471"/>
      <c r="H1811" s="250"/>
      <c r="I1811" s="471"/>
    </row>
    <row r="1812" spans="1:9" ht="12.75">
      <c r="A1812" s="717"/>
      <c r="B1812" s="718"/>
      <c r="C1812" s="250"/>
      <c r="D1812" s="250"/>
      <c r="E1812" s="250"/>
      <c r="F1812" s="250"/>
      <c r="G1812" s="471"/>
      <c r="H1812" s="250"/>
      <c r="I1812" s="471"/>
    </row>
    <row r="1813" spans="1:9" ht="12.75">
      <c r="A1813" s="717"/>
      <c r="B1813" s="718"/>
      <c r="C1813" s="250"/>
      <c r="D1813" s="250"/>
      <c r="E1813" s="250"/>
      <c r="F1813" s="250"/>
      <c r="G1813" s="471"/>
      <c r="H1813" s="250"/>
      <c r="I1813" s="471"/>
    </row>
    <row r="1814" spans="1:9" ht="12.75">
      <c r="A1814" s="717"/>
      <c r="B1814" s="718"/>
      <c r="C1814" s="250"/>
      <c r="D1814" s="250"/>
      <c r="E1814" s="250"/>
      <c r="F1814" s="250"/>
      <c r="G1814" s="471"/>
      <c r="H1814" s="250"/>
      <c r="I1814" s="471"/>
    </row>
    <row r="1815" spans="1:9" ht="12.75">
      <c r="A1815" s="717"/>
      <c r="B1815" s="718"/>
      <c r="C1815" s="250"/>
      <c r="D1815" s="250"/>
      <c r="E1815" s="250"/>
      <c r="F1815" s="250"/>
      <c r="G1815" s="471"/>
      <c r="H1815" s="250"/>
      <c r="I1815" s="471"/>
    </row>
    <row r="1816" spans="1:9" ht="12.75">
      <c r="A1816" s="717"/>
      <c r="B1816" s="718"/>
      <c r="C1816" s="250"/>
      <c r="D1816" s="250"/>
      <c r="E1816" s="250"/>
      <c r="F1816" s="250"/>
      <c r="G1816" s="471"/>
      <c r="H1816" s="250"/>
      <c r="I1816" s="471"/>
    </row>
    <row r="1817" spans="1:9" ht="12.75">
      <c r="A1817" s="717"/>
      <c r="B1817" s="718"/>
      <c r="C1817" s="250"/>
      <c r="D1817" s="250"/>
      <c r="E1817" s="250"/>
      <c r="F1817" s="250"/>
      <c r="G1817" s="471"/>
      <c r="H1817" s="250"/>
      <c r="I1817" s="471"/>
    </row>
    <row r="1818" spans="1:9" ht="12.75">
      <c r="A1818" s="717"/>
      <c r="B1818" s="718"/>
      <c r="C1818" s="250"/>
      <c r="D1818" s="250"/>
      <c r="E1818" s="250"/>
      <c r="F1818" s="250"/>
      <c r="G1818" s="471"/>
      <c r="H1818" s="250"/>
      <c r="I1818" s="471"/>
    </row>
    <row r="1819" spans="1:9" ht="12.75">
      <c r="A1819" s="717"/>
      <c r="B1819" s="718"/>
      <c r="C1819" s="250"/>
      <c r="D1819" s="250"/>
      <c r="E1819" s="250"/>
      <c r="F1819" s="250"/>
      <c r="G1819" s="471"/>
      <c r="H1819" s="250"/>
      <c r="I1819" s="471"/>
    </row>
    <row r="1820" spans="1:9" ht="12.75">
      <c r="A1820" s="717"/>
      <c r="B1820" s="718"/>
      <c r="C1820" s="250"/>
      <c r="D1820" s="250"/>
      <c r="E1820" s="250"/>
      <c r="F1820" s="250"/>
      <c r="G1820" s="471"/>
      <c r="H1820" s="250"/>
      <c r="I1820" s="471"/>
    </row>
    <row r="1821" spans="1:9" ht="12.75">
      <c r="A1821" s="717"/>
      <c r="B1821" s="718"/>
      <c r="C1821" s="250"/>
      <c r="D1821" s="250"/>
      <c r="E1821" s="250"/>
      <c r="F1821" s="250"/>
      <c r="G1821" s="471"/>
      <c r="H1821" s="250"/>
      <c r="I1821" s="471"/>
    </row>
    <row r="1822" spans="1:9" ht="12.75">
      <c r="A1822" s="717"/>
      <c r="B1822" s="718"/>
      <c r="C1822" s="250"/>
      <c r="D1822" s="250"/>
      <c r="E1822" s="250"/>
      <c r="F1822" s="250"/>
      <c r="G1822" s="471"/>
      <c r="H1822" s="250"/>
      <c r="I1822" s="471"/>
    </row>
    <row r="1823" spans="1:9" ht="12.75">
      <c r="A1823" s="717"/>
      <c r="B1823" s="718"/>
      <c r="C1823" s="250"/>
      <c r="D1823" s="250"/>
      <c r="E1823" s="250"/>
      <c r="F1823" s="250"/>
      <c r="G1823" s="471"/>
      <c r="H1823" s="250"/>
      <c r="I1823" s="471"/>
    </row>
    <row r="1824" spans="1:9" ht="12.75">
      <c r="A1824" s="717"/>
      <c r="B1824" s="718"/>
      <c r="C1824" s="250"/>
      <c r="D1824" s="250"/>
      <c r="E1824" s="250"/>
      <c r="F1824" s="250"/>
      <c r="G1824" s="471"/>
      <c r="H1824" s="250"/>
      <c r="I1824" s="471"/>
    </row>
    <row r="1825" spans="1:9" ht="12.75">
      <c r="A1825" s="717"/>
      <c r="B1825" s="718"/>
      <c r="C1825" s="250"/>
      <c r="D1825" s="250"/>
      <c r="E1825" s="250"/>
      <c r="F1825" s="250"/>
      <c r="G1825" s="471"/>
      <c r="H1825" s="250"/>
      <c r="I1825" s="471"/>
    </row>
    <row r="1826" spans="1:9" ht="12.75">
      <c r="A1826" s="717"/>
      <c r="B1826" s="718"/>
      <c r="C1826" s="250"/>
      <c r="D1826" s="250"/>
      <c r="E1826" s="250"/>
      <c r="F1826" s="250"/>
      <c r="G1826" s="471"/>
      <c r="H1826" s="250"/>
      <c r="I1826" s="471"/>
    </row>
    <row r="1827" spans="1:9" ht="12.75">
      <c r="A1827" s="717"/>
      <c r="B1827" s="718"/>
      <c r="C1827" s="250"/>
      <c r="D1827" s="250"/>
      <c r="E1827" s="250"/>
      <c r="F1827" s="250"/>
      <c r="G1827" s="471"/>
      <c r="H1827" s="250"/>
      <c r="I1827" s="471"/>
    </row>
    <row r="1828" spans="1:9" ht="12.75">
      <c r="A1828" s="717"/>
      <c r="B1828" s="718"/>
      <c r="C1828" s="250"/>
      <c r="D1828" s="250"/>
      <c r="E1828" s="250"/>
      <c r="F1828" s="250"/>
      <c r="G1828" s="471"/>
      <c r="H1828" s="250"/>
      <c r="I1828" s="471"/>
    </row>
    <row r="1829" spans="1:9" ht="12.75">
      <c r="A1829" s="717"/>
      <c r="B1829" s="718"/>
      <c r="C1829" s="250"/>
      <c r="D1829" s="250"/>
      <c r="E1829" s="250"/>
      <c r="F1829" s="250"/>
      <c r="G1829" s="471"/>
      <c r="H1829" s="250"/>
      <c r="I1829" s="471"/>
    </row>
    <row r="1830" spans="1:9" ht="12.75">
      <c r="A1830" s="717"/>
      <c r="B1830" s="718"/>
      <c r="C1830" s="250"/>
      <c r="D1830" s="250"/>
      <c r="E1830" s="250"/>
      <c r="F1830" s="250"/>
      <c r="G1830" s="471"/>
      <c r="H1830" s="250"/>
      <c r="I1830" s="471"/>
    </row>
    <row r="1831" spans="1:9" ht="12.75">
      <c r="A1831" s="717"/>
      <c r="B1831" s="718"/>
      <c r="C1831" s="250"/>
      <c r="D1831" s="250"/>
      <c r="E1831" s="250"/>
      <c r="F1831" s="250"/>
      <c r="G1831" s="471"/>
      <c r="H1831" s="250"/>
      <c r="I1831" s="471"/>
    </row>
    <row r="1832" spans="1:9" ht="12.75">
      <c r="A1832" s="717"/>
      <c r="B1832" s="718"/>
      <c r="C1832" s="250"/>
      <c r="D1832" s="250"/>
      <c r="E1832" s="250"/>
      <c r="F1832" s="250"/>
      <c r="G1832" s="471"/>
      <c r="H1832" s="250"/>
      <c r="I1832" s="471"/>
    </row>
    <row r="1833" spans="1:9" ht="12.75">
      <c r="A1833" s="717"/>
      <c r="B1833" s="718"/>
      <c r="C1833" s="250"/>
      <c r="D1833" s="250"/>
      <c r="E1833" s="250"/>
      <c r="F1833" s="250"/>
      <c r="G1833" s="471"/>
      <c r="H1833" s="250"/>
      <c r="I1833" s="471"/>
    </row>
    <row r="1834" spans="1:9" ht="12.75">
      <c r="A1834" s="717"/>
      <c r="B1834" s="718"/>
      <c r="C1834" s="250"/>
      <c r="D1834" s="250"/>
      <c r="E1834" s="250"/>
      <c r="F1834" s="250"/>
      <c r="G1834" s="471"/>
      <c r="H1834" s="250"/>
      <c r="I1834" s="471"/>
    </row>
    <row r="1835" spans="1:9" ht="12.75">
      <c r="A1835" s="717"/>
      <c r="B1835" s="718"/>
      <c r="C1835" s="250"/>
      <c r="D1835" s="250"/>
      <c r="E1835" s="250"/>
      <c r="F1835" s="250"/>
      <c r="G1835" s="471"/>
      <c r="H1835" s="250"/>
      <c r="I1835" s="471"/>
    </row>
    <row r="1836" spans="1:9" ht="12.75">
      <c r="A1836" s="717"/>
      <c r="B1836" s="718"/>
      <c r="C1836" s="250"/>
      <c r="D1836" s="250"/>
      <c r="E1836" s="250"/>
      <c r="F1836" s="250"/>
      <c r="G1836" s="471"/>
      <c r="H1836" s="250"/>
      <c r="I1836" s="471"/>
    </row>
    <row r="1837" spans="1:9" ht="12.75">
      <c r="A1837" s="717"/>
      <c r="B1837" s="718"/>
      <c r="C1837" s="250"/>
      <c r="D1837" s="250"/>
      <c r="E1837" s="250"/>
      <c r="F1837" s="250"/>
      <c r="G1837" s="471"/>
      <c r="H1837" s="250"/>
      <c r="I1837" s="471"/>
    </row>
    <row r="1838" spans="1:9" ht="12.75">
      <c r="A1838" s="717"/>
      <c r="B1838" s="718"/>
      <c r="C1838" s="250"/>
      <c r="D1838" s="250"/>
      <c r="E1838" s="250"/>
      <c r="F1838" s="250"/>
      <c r="G1838" s="471"/>
      <c r="H1838" s="250"/>
      <c r="I1838" s="471"/>
    </row>
    <row r="1839" spans="1:9" ht="12.75">
      <c r="A1839" s="717"/>
      <c r="B1839" s="718"/>
      <c r="C1839" s="250"/>
      <c r="D1839" s="250"/>
      <c r="E1839" s="250"/>
      <c r="F1839" s="250"/>
      <c r="G1839" s="471"/>
      <c r="H1839" s="250"/>
      <c r="I1839" s="471"/>
    </row>
    <row r="1840" spans="1:9" ht="12.75">
      <c r="A1840" s="717"/>
      <c r="B1840" s="718"/>
      <c r="C1840" s="250"/>
      <c r="D1840" s="250"/>
      <c r="E1840" s="250"/>
      <c r="F1840" s="250"/>
      <c r="G1840" s="471"/>
      <c r="H1840" s="250"/>
      <c r="I1840" s="471"/>
    </row>
    <row r="1841" spans="1:9" ht="12.75">
      <c r="A1841" s="717"/>
      <c r="B1841" s="718"/>
      <c r="C1841" s="250"/>
      <c r="D1841" s="250"/>
      <c r="E1841" s="250"/>
      <c r="F1841" s="250"/>
      <c r="G1841" s="471"/>
      <c r="H1841" s="250"/>
      <c r="I1841" s="471"/>
    </row>
    <row r="1842" spans="1:9" ht="12.75">
      <c r="A1842" s="717"/>
      <c r="B1842" s="718"/>
      <c r="C1842" s="250"/>
      <c r="D1842" s="250"/>
      <c r="E1842" s="250"/>
      <c r="F1842" s="250"/>
      <c r="G1842" s="471"/>
      <c r="H1842" s="250"/>
      <c r="I1842" s="471"/>
    </row>
    <row r="1843" spans="1:9" ht="12.75">
      <c r="A1843" s="717"/>
      <c r="B1843" s="718"/>
      <c r="C1843" s="250"/>
      <c r="D1843" s="250"/>
      <c r="E1843" s="250"/>
      <c r="F1843" s="250"/>
      <c r="G1843" s="471"/>
      <c r="H1843" s="250"/>
      <c r="I1843" s="471"/>
    </row>
    <row r="1844" spans="1:9" ht="12.75">
      <c r="A1844" s="717"/>
      <c r="B1844" s="718"/>
      <c r="C1844" s="250"/>
      <c r="D1844" s="250"/>
      <c r="E1844" s="250"/>
      <c r="F1844" s="250"/>
      <c r="G1844" s="471"/>
      <c r="H1844" s="250"/>
      <c r="I1844" s="471"/>
    </row>
    <row r="1845" spans="1:9" ht="12.75">
      <c r="A1845" s="717"/>
      <c r="B1845" s="718"/>
      <c r="C1845" s="250"/>
      <c r="D1845" s="250"/>
      <c r="E1845" s="250"/>
      <c r="F1845" s="250"/>
      <c r="G1845" s="471"/>
      <c r="H1845" s="250"/>
      <c r="I1845" s="471"/>
    </row>
    <row r="1846" spans="1:9" ht="12.75">
      <c r="A1846" s="717"/>
      <c r="B1846" s="718"/>
      <c r="C1846" s="250"/>
      <c r="D1846" s="250"/>
      <c r="E1846" s="250"/>
      <c r="F1846" s="250"/>
      <c r="G1846" s="471"/>
      <c r="H1846" s="250"/>
      <c r="I1846" s="471"/>
    </row>
    <row r="1847" spans="1:9" ht="12.75">
      <c r="A1847" s="717"/>
      <c r="B1847" s="718"/>
      <c r="C1847" s="250"/>
      <c r="D1847" s="250"/>
      <c r="E1847" s="250"/>
      <c r="F1847" s="250"/>
      <c r="G1847" s="471"/>
      <c r="H1847" s="250"/>
      <c r="I1847" s="471"/>
    </row>
    <row r="1848" spans="1:9" ht="12.75">
      <c r="A1848" s="717"/>
      <c r="B1848" s="718"/>
      <c r="C1848" s="250"/>
      <c r="D1848" s="250"/>
      <c r="E1848" s="250"/>
      <c r="F1848" s="250"/>
      <c r="G1848" s="471"/>
      <c r="H1848" s="250"/>
      <c r="I1848" s="471"/>
    </row>
    <row r="1849" spans="1:9" ht="12.75">
      <c r="A1849" s="717"/>
      <c r="B1849" s="718"/>
      <c r="C1849" s="250"/>
      <c r="D1849" s="250"/>
      <c r="E1849" s="250"/>
      <c r="F1849" s="250"/>
      <c r="G1849" s="471"/>
      <c r="H1849" s="250"/>
      <c r="I1849" s="471"/>
    </row>
    <row r="1850" spans="1:9" ht="12.75">
      <c r="A1850" s="717"/>
      <c r="B1850" s="718"/>
      <c r="C1850" s="250"/>
      <c r="D1850" s="250"/>
      <c r="E1850" s="250"/>
      <c r="F1850" s="250"/>
      <c r="G1850" s="471"/>
      <c r="H1850" s="250"/>
      <c r="I1850" s="471"/>
    </row>
    <row r="1851" spans="1:9" ht="12.75">
      <c r="A1851" s="717"/>
      <c r="B1851" s="718"/>
      <c r="C1851" s="250"/>
      <c r="D1851" s="250"/>
      <c r="E1851" s="250"/>
      <c r="F1851" s="250"/>
      <c r="G1851" s="471"/>
      <c r="H1851" s="250"/>
      <c r="I1851" s="471"/>
    </row>
    <row r="1852" spans="1:9" ht="12.75">
      <c r="A1852" s="717"/>
      <c r="B1852" s="718"/>
      <c r="C1852" s="250"/>
      <c r="D1852" s="250"/>
      <c r="E1852" s="250"/>
      <c r="F1852" s="250"/>
      <c r="G1852" s="471"/>
      <c r="H1852" s="250"/>
      <c r="I1852" s="471"/>
    </row>
    <row r="1853" spans="1:9" ht="12.75">
      <c r="A1853" s="717"/>
      <c r="B1853" s="718"/>
      <c r="C1853" s="250"/>
      <c r="D1853" s="250"/>
      <c r="E1853" s="250"/>
      <c r="F1853" s="250"/>
      <c r="G1853" s="471"/>
      <c r="H1853" s="250"/>
      <c r="I1853" s="471"/>
    </row>
    <row r="1854" spans="1:9" ht="12.75">
      <c r="A1854" s="717"/>
      <c r="B1854" s="718"/>
      <c r="C1854" s="250"/>
      <c r="D1854" s="250"/>
      <c r="E1854" s="250"/>
      <c r="F1854" s="250"/>
      <c r="G1854" s="471"/>
      <c r="H1854" s="250"/>
      <c r="I1854" s="471"/>
    </row>
    <row r="1855" spans="1:9" ht="12.75">
      <c r="A1855" s="717"/>
      <c r="B1855" s="718"/>
      <c r="C1855" s="250"/>
      <c r="D1855" s="250"/>
      <c r="E1855" s="250"/>
      <c r="F1855" s="250"/>
      <c r="G1855" s="471"/>
      <c r="H1855" s="250"/>
      <c r="I1855" s="471"/>
    </row>
    <row r="1856" spans="1:9" ht="12.75">
      <c r="A1856" s="717"/>
      <c r="B1856" s="718"/>
      <c r="C1856" s="250"/>
      <c r="D1856" s="250"/>
      <c r="E1856" s="250"/>
      <c r="F1856" s="250"/>
      <c r="G1856" s="471"/>
      <c r="H1856" s="250"/>
      <c r="I1856" s="471"/>
    </row>
    <row r="1857" spans="1:9" ht="12.75">
      <c r="A1857" s="717"/>
      <c r="B1857" s="718"/>
      <c r="C1857" s="250"/>
      <c r="D1857" s="250"/>
      <c r="E1857" s="250"/>
      <c r="F1857" s="250"/>
      <c r="G1857" s="471"/>
      <c r="H1857" s="250"/>
      <c r="I1857" s="471"/>
    </row>
    <row r="1858" spans="1:9" ht="12.75">
      <c r="A1858" s="717"/>
      <c r="B1858" s="718"/>
      <c r="C1858" s="250"/>
      <c r="D1858" s="250"/>
      <c r="E1858" s="250"/>
      <c r="F1858" s="250"/>
      <c r="G1858" s="471"/>
      <c r="H1858" s="250"/>
      <c r="I1858" s="471"/>
    </row>
    <row r="1859" spans="1:9" ht="12.75">
      <c r="A1859" s="717"/>
      <c r="B1859" s="718"/>
      <c r="C1859" s="250"/>
      <c r="D1859" s="250"/>
      <c r="E1859" s="250"/>
      <c r="F1859" s="250"/>
      <c r="G1859" s="471"/>
      <c r="H1859" s="250"/>
      <c r="I1859" s="471"/>
    </row>
    <row r="1860" spans="1:9" ht="12.75">
      <c r="A1860" s="717"/>
      <c r="B1860" s="718"/>
      <c r="C1860" s="250"/>
      <c r="D1860" s="250"/>
      <c r="E1860" s="250"/>
      <c r="F1860" s="250"/>
      <c r="G1860" s="471"/>
      <c r="H1860" s="250"/>
      <c r="I1860" s="471"/>
    </row>
    <row r="1861" spans="1:9" ht="12.75">
      <c r="A1861" s="717"/>
      <c r="B1861" s="718"/>
      <c r="C1861" s="250"/>
      <c r="D1861" s="250"/>
      <c r="E1861" s="250"/>
      <c r="F1861" s="250"/>
      <c r="G1861" s="471"/>
      <c r="H1861" s="250"/>
      <c r="I1861" s="471"/>
    </row>
    <row r="1862" spans="1:9" ht="12.75">
      <c r="A1862" s="717"/>
      <c r="B1862" s="718"/>
      <c r="C1862" s="250"/>
      <c r="D1862" s="250"/>
      <c r="E1862" s="250"/>
      <c r="F1862" s="250"/>
      <c r="G1862" s="471"/>
      <c r="H1862" s="250"/>
      <c r="I1862" s="471"/>
    </row>
    <row r="1863" spans="1:9" ht="12.75">
      <c r="A1863" s="717"/>
      <c r="B1863" s="718"/>
      <c r="C1863" s="250"/>
      <c r="D1863" s="250"/>
      <c r="E1863" s="250"/>
      <c r="F1863" s="250"/>
      <c r="G1863" s="471"/>
      <c r="H1863" s="250"/>
      <c r="I1863" s="471"/>
    </row>
    <row r="1864" spans="1:9" ht="12.75">
      <c r="A1864" s="717"/>
      <c r="B1864" s="718"/>
      <c r="C1864" s="250"/>
      <c r="D1864" s="250"/>
      <c r="E1864" s="250"/>
      <c r="F1864" s="250"/>
      <c r="G1864" s="471"/>
      <c r="H1864" s="250"/>
      <c r="I1864" s="471"/>
    </row>
    <row r="1865" spans="1:9" ht="12.75">
      <c r="A1865" s="717"/>
      <c r="B1865" s="718"/>
      <c r="C1865" s="250"/>
      <c r="D1865" s="250"/>
      <c r="E1865" s="250"/>
      <c r="F1865" s="250"/>
      <c r="G1865" s="471"/>
      <c r="H1865" s="250"/>
      <c r="I1865" s="471"/>
    </row>
    <row r="1866" spans="1:9" ht="12.75">
      <c r="A1866" s="717"/>
      <c r="B1866" s="718"/>
      <c r="C1866" s="250"/>
      <c r="D1866" s="250"/>
      <c r="E1866" s="250"/>
      <c r="F1866" s="250"/>
      <c r="G1866" s="471"/>
      <c r="H1866" s="250"/>
      <c r="I1866" s="471"/>
    </row>
    <row r="1867" spans="1:9" ht="12.75">
      <c r="A1867" s="717"/>
      <c r="B1867" s="718"/>
      <c r="C1867" s="250"/>
      <c r="D1867" s="250"/>
      <c r="E1867" s="250"/>
      <c r="F1867" s="250"/>
      <c r="G1867" s="471"/>
      <c r="H1867" s="250"/>
      <c r="I1867" s="471"/>
    </row>
    <row r="1868" spans="1:9" ht="12.75">
      <c r="A1868" s="717"/>
      <c r="B1868" s="718"/>
      <c r="C1868" s="250"/>
      <c r="D1868" s="250"/>
      <c r="E1868" s="250"/>
      <c r="F1868" s="250"/>
      <c r="G1868" s="471"/>
      <c r="H1868" s="250"/>
      <c r="I1868" s="471"/>
    </row>
    <row r="1869" spans="1:9" ht="12.75">
      <c r="A1869" s="717"/>
      <c r="B1869" s="718"/>
      <c r="C1869" s="250"/>
      <c r="D1869" s="250"/>
      <c r="E1869" s="250"/>
      <c r="F1869" s="250"/>
      <c r="G1869" s="471"/>
      <c r="H1869" s="250"/>
      <c r="I1869" s="471"/>
    </row>
    <row r="1870" spans="1:9" ht="12.75">
      <c r="A1870" s="717"/>
      <c r="B1870" s="718"/>
      <c r="C1870" s="250"/>
      <c r="D1870" s="250"/>
      <c r="E1870" s="250"/>
      <c r="F1870" s="250"/>
      <c r="G1870" s="471"/>
      <c r="H1870" s="250"/>
      <c r="I1870" s="471"/>
    </row>
    <row r="1871" spans="1:9" ht="12.75">
      <c r="A1871" s="717"/>
      <c r="B1871" s="718"/>
      <c r="C1871" s="250"/>
      <c r="D1871" s="250"/>
      <c r="E1871" s="250"/>
      <c r="F1871" s="250"/>
      <c r="G1871" s="471"/>
      <c r="H1871" s="250"/>
      <c r="I1871" s="471"/>
    </row>
    <row r="1872" spans="1:9" ht="12.75">
      <c r="A1872" s="717"/>
      <c r="B1872" s="718"/>
      <c r="C1872" s="250"/>
      <c r="D1872" s="250"/>
      <c r="E1872" s="250"/>
      <c r="F1872" s="250"/>
      <c r="G1872" s="471"/>
      <c r="H1872" s="250"/>
      <c r="I1872" s="471"/>
    </row>
    <row r="1873" spans="1:9" ht="12.75">
      <c r="A1873" s="717"/>
      <c r="B1873" s="718"/>
      <c r="C1873" s="250"/>
      <c r="D1873" s="250"/>
      <c r="E1873" s="250"/>
      <c r="F1873" s="250"/>
      <c r="G1873" s="471"/>
      <c r="H1873" s="250"/>
      <c r="I1873" s="471"/>
    </row>
    <row r="1874" spans="1:9" ht="12.75">
      <c r="A1874" s="717"/>
      <c r="B1874" s="718"/>
      <c r="C1874" s="250"/>
      <c r="D1874" s="250"/>
      <c r="E1874" s="250"/>
      <c r="F1874" s="250"/>
      <c r="G1874" s="471"/>
      <c r="H1874" s="250"/>
      <c r="I1874" s="471"/>
    </row>
    <row r="1875" spans="1:9" ht="12.75">
      <c r="A1875" s="717"/>
      <c r="B1875" s="718"/>
      <c r="C1875" s="250"/>
      <c r="D1875" s="250"/>
      <c r="E1875" s="250"/>
      <c r="F1875" s="250"/>
      <c r="G1875" s="471"/>
      <c r="H1875" s="250"/>
      <c r="I1875" s="471"/>
    </row>
    <row r="1876" spans="1:9" ht="12.75">
      <c r="A1876" s="717"/>
      <c r="B1876" s="718"/>
      <c r="C1876" s="250"/>
      <c r="D1876" s="250"/>
      <c r="E1876" s="250"/>
      <c r="F1876" s="250"/>
      <c r="G1876" s="471"/>
      <c r="H1876" s="250"/>
      <c r="I1876" s="471"/>
    </row>
    <row r="1877" spans="1:9" ht="12.75">
      <c r="A1877" s="717"/>
      <c r="B1877" s="718"/>
      <c r="C1877" s="250"/>
      <c r="D1877" s="250"/>
      <c r="E1877" s="250"/>
      <c r="F1877" s="250"/>
      <c r="G1877" s="471"/>
      <c r="H1877" s="250"/>
      <c r="I1877" s="471"/>
    </row>
    <row r="1878" spans="1:9" ht="12.75">
      <c r="A1878" s="717"/>
      <c r="B1878" s="718"/>
      <c r="C1878" s="250"/>
      <c r="D1878" s="250"/>
      <c r="E1878" s="250"/>
      <c r="F1878" s="250"/>
      <c r="G1878" s="471"/>
      <c r="H1878" s="250"/>
      <c r="I1878" s="471"/>
    </row>
    <row r="1879" spans="1:9" ht="12.75">
      <c r="A1879" s="717"/>
      <c r="B1879" s="718"/>
      <c r="C1879" s="250"/>
      <c r="D1879" s="250"/>
      <c r="E1879" s="250"/>
      <c r="F1879" s="250"/>
      <c r="G1879" s="471"/>
      <c r="H1879" s="250"/>
      <c r="I1879" s="471"/>
    </row>
    <row r="1880" spans="1:9" ht="12.75">
      <c r="A1880" s="717"/>
      <c r="B1880" s="718"/>
      <c r="C1880" s="250"/>
      <c r="D1880" s="250"/>
      <c r="E1880" s="250"/>
      <c r="F1880" s="250"/>
      <c r="G1880" s="471"/>
      <c r="H1880" s="250"/>
      <c r="I1880" s="471"/>
    </row>
    <row r="1881" spans="1:9" ht="12.75">
      <c r="A1881" s="717"/>
      <c r="B1881" s="718"/>
      <c r="C1881" s="250"/>
      <c r="D1881" s="250"/>
      <c r="E1881" s="250"/>
      <c r="F1881" s="250"/>
      <c r="G1881" s="471"/>
      <c r="H1881" s="250"/>
      <c r="I1881" s="471"/>
    </row>
    <row r="1882" spans="1:9" ht="12.75">
      <c r="A1882" s="717"/>
      <c r="B1882" s="718"/>
      <c r="C1882" s="250"/>
      <c r="D1882" s="250"/>
      <c r="E1882" s="250"/>
      <c r="F1882" s="250"/>
      <c r="G1882" s="471"/>
      <c r="H1882" s="250"/>
      <c r="I1882" s="471"/>
    </row>
    <row r="1883" spans="1:9" ht="12.75">
      <c r="A1883" s="717"/>
      <c r="B1883" s="718"/>
      <c r="C1883" s="250"/>
      <c r="D1883" s="250"/>
      <c r="E1883" s="250"/>
      <c r="F1883" s="250"/>
      <c r="G1883" s="471"/>
      <c r="H1883" s="250"/>
      <c r="I1883" s="471"/>
    </row>
    <row r="1884" spans="1:9" ht="12.75">
      <c r="A1884" s="717"/>
      <c r="B1884" s="718"/>
      <c r="C1884" s="250"/>
      <c r="D1884" s="250"/>
      <c r="E1884" s="250"/>
      <c r="F1884" s="250"/>
      <c r="G1884" s="471"/>
      <c r="H1884" s="250"/>
      <c r="I1884" s="471"/>
    </row>
    <row r="1885" spans="1:9" ht="12.75">
      <c r="A1885" s="717"/>
      <c r="B1885" s="718"/>
      <c r="C1885" s="250"/>
      <c r="D1885" s="250"/>
      <c r="E1885" s="250"/>
      <c r="F1885" s="250"/>
      <c r="G1885" s="471"/>
      <c r="H1885" s="250"/>
      <c r="I1885" s="471"/>
    </row>
    <row r="1886" spans="1:9" ht="12.75">
      <c r="A1886" s="717"/>
      <c r="B1886" s="718"/>
      <c r="C1886" s="250"/>
      <c r="D1886" s="250"/>
      <c r="E1886" s="250"/>
      <c r="F1886" s="250"/>
      <c r="G1886" s="471"/>
      <c r="H1886" s="250"/>
      <c r="I1886" s="471"/>
    </row>
    <row r="1887" spans="1:9" ht="12.75">
      <c r="A1887" s="717"/>
      <c r="B1887" s="718"/>
      <c r="C1887" s="250"/>
      <c r="D1887" s="250"/>
      <c r="E1887" s="250"/>
      <c r="F1887" s="250"/>
      <c r="G1887" s="471"/>
      <c r="H1887" s="250"/>
      <c r="I1887" s="471"/>
    </row>
    <row r="1888" spans="1:9" ht="12.75">
      <c r="A1888" s="717"/>
      <c r="B1888" s="718"/>
      <c r="C1888" s="250"/>
      <c r="D1888" s="250"/>
      <c r="E1888" s="250"/>
      <c r="F1888" s="250"/>
      <c r="G1888" s="471"/>
      <c r="H1888" s="250"/>
      <c r="I1888" s="471"/>
    </row>
    <row r="1889" spans="1:9" ht="12.75">
      <c r="A1889" s="717"/>
      <c r="B1889" s="718"/>
      <c r="C1889" s="250"/>
      <c r="D1889" s="250"/>
      <c r="E1889" s="250"/>
      <c r="F1889" s="250"/>
      <c r="G1889" s="471"/>
      <c r="H1889" s="250"/>
      <c r="I1889" s="471"/>
    </row>
    <row r="1890" spans="1:9" ht="12.75">
      <c r="A1890" s="717"/>
      <c r="B1890" s="718"/>
      <c r="C1890" s="250"/>
      <c r="D1890" s="250"/>
      <c r="E1890" s="250"/>
      <c r="F1890" s="250"/>
      <c r="G1890" s="471"/>
      <c r="H1890" s="250"/>
      <c r="I1890" s="471"/>
    </row>
    <row r="1891" spans="1:9" ht="12.75">
      <c r="A1891" s="717"/>
      <c r="B1891" s="718"/>
      <c r="C1891" s="250"/>
      <c r="D1891" s="250"/>
      <c r="E1891" s="250"/>
      <c r="F1891" s="250"/>
      <c r="G1891" s="471"/>
      <c r="H1891" s="250"/>
      <c r="I1891" s="471"/>
    </row>
    <row r="1892" spans="1:9" ht="12.75">
      <c r="A1892" s="717"/>
      <c r="B1892" s="718"/>
      <c r="C1892" s="250"/>
      <c r="D1892" s="250"/>
      <c r="E1892" s="250"/>
      <c r="F1892" s="250"/>
      <c r="G1892" s="471"/>
      <c r="H1892" s="250"/>
      <c r="I1892" s="471"/>
    </row>
    <row r="1893" spans="1:9" ht="12.75">
      <c r="A1893" s="717"/>
      <c r="B1893" s="718"/>
      <c r="C1893" s="250"/>
      <c r="D1893" s="250"/>
      <c r="E1893" s="250"/>
      <c r="F1893" s="250"/>
      <c r="G1893" s="471"/>
      <c r="H1893" s="250"/>
      <c r="I1893" s="471"/>
    </row>
    <row r="1894" spans="1:9" ht="12.75">
      <c r="A1894" s="717"/>
      <c r="B1894" s="718"/>
      <c r="C1894" s="250"/>
      <c r="D1894" s="250"/>
      <c r="E1894" s="250"/>
      <c r="F1894" s="250"/>
      <c r="G1894" s="471"/>
      <c r="H1894" s="250"/>
      <c r="I1894" s="471"/>
    </row>
    <row r="1895" spans="1:9" ht="12.75">
      <c r="A1895" s="717"/>
      <c r="B1895" s="718"/>
      <c r="C1895" s="250"/>
      <c r="D1895" s="250"/>
      <c r="E1895" s="250"/>
      <c r="F1895" s="250"/>
      <c r="G1895" s="471"/>
      <c r="H1895" s="250"/>
      <c r="I1895" s="471"/>
    </row>
    <row r="1896" spans="1:9" ht="12.75">
      <c r="A1896" s="717"/>
      <c r="B1896" s="718"/>
      <c r="C1896" s="250"/>
      <c r="D1896" s="250"/>
      <c r="E1896" s="250"/>
      <c r="F1896" s="250"/>
      <c r="G1896" s="471"/>
      <c r="H1896" s="250"/>
      <c r="I1896" s="471"/>
    </row>
    <row r="1897" spans="1:9" ht="12.75">
      <c r="A1897" s="717"/>
      <c r="B1897" s="718"/>
      <c r="C1897" s="250"/>
      <c r="D1897" s="250"/>
      <c r="E1897" s="250"/>
      <c r="F1897" s="250"/>
      <c r="G1897" s="471"/>
      <c r="H1897" s="250"/>
      <c r="I1897" s="471"/>
    </row>
    <row r="1898" spans="1:9" ht="12.75">
      <c r="A1898" s="717"/>
      <c r="B1898" s="718"/>
      <c r="C1898" s="250"/>
      <c r="D1898" s="250"/>
      <c r="E1898" s="250"/>
      <c r="F1898" s="250"/>
      <c r="G1898" s="471"/>
      <c r="H1898" s="250"/>
      <c r="I1898" s="471"/>
    </row>
    <row r="1899" spans="1:9" ht="12.75">
      <c r="A1899" s="717"/>
      <c r="B1899" s="718"/>
      <c r="C1899" s="250"/>
      <c r="D1899" s="250"/>
      <c r="E1899" s="250"/>
      <c r="F1899" s="250"/>
      <c r="G1899" s="471"/>
      <c r="H1899" s="250"/>
      <c r="I1899" s="471"/>
    </row>
    <row r="1900" spans="1:9" ht="12.75">
      <c r="A1900" s="717"/>
      <c r="B1900" s="718"/>
      <c r="C1900" s="250"/>
      <c r="D1900" s="250"/>
      <c r="E1900" s="250"/>
      <c r="F1900" s="250"/>
      <c r="G1900" s="471"/>
      <c r="H1900" s="250"/>
      <c r="I1900" s="471"/>
    </row>
    <row r="1901" spans="1:9" ht="12.75">
      <c r="A1901" s="717"/>
      <c r="B1901" s="718"/>
      <c r="C1901" s="250"/>
      <c r="D1901" s="250"/>
      <c r="E1901" s="250"/>
      <c r="F1901" s="250"/>
      <c r="G1901" s="471"/>
      <c r="H1901" s="250"/>
      <c r="I1901" s="471"/>
    </row>
    <row r="1902" spans="1:9" ht="12.75">
      <c r="A1902" s="717"/>
      <c r="B1902" s="718"/>
      <c r="C1902" s="250"/>
      <c r="D1902" s="250"/>
      <c r="E1902" s="250"/>
      <c r="F1902" s="250"/>
      <c r="G1902" s="471"/>
      <c r="H1902" s="250"/>
      <c r="I1902" s="471"/>
    </row>
    <row r="1903" spans="1:9" ht="12.75">
      <c r="A1903" s="717"/>
      <c r="B1903" s="718"/>
      <c r="C1903" s="250"/>
      <c r="D1903" s="250"/>
      <c r="E1903" s="250"/>
      <c r="F1903" s="250"/>
      <c r="G1903" s="471"/>
      <c r="H1903" s="250"/>
      <c r="I1903" s="471"/>
    </row>
    <row r="1904" spans="1:9" ht="12.75">
      <c r="A1904" s="717"/>
      <c r="B1904" s="718"/>
      <c r="C1904" s="250"/>
      <c r="D1904" s="250"/>
      <c r="E1904" s="250"/>
      <c r="F1904" s="250"/>
      <c r="G1904" s="471"/>
      <c r="H1904" s="250"/>
      <c r="I1904" s="471"/>
    </row>
    <row r="1905" spans="1:9" ht="12.75">
      <c r="A1905" s="717"/>
      <c r="B1905" s="718"/>
      <c r="C1905" s="250"/>
      <c r="D1905" s="250"/>
      <c r="E1905" s="250"/>
      <c r="F1905" s="250"/>
      <c r="G1905" s="471"/>
      <c r="H1905" s="250"/>
      <c r="I1905" s="471"/>
    </row>
    <row r="1906" spans="1:9" ht="12.75">
      <c r="A1906" s="717"/>
      <c r="B1906" s="718"/>
      <c r="C1906" s="250"/>
      <c r="D1906" s="250"/>
      <c r="E1906" s="250"/>
      <c r="F1906" s="250"/>
      <c r="G1906" s="471"/>
      <c r="H1906" s="250"/>
      <c r="I1906" s="471"/>
    </row>
    <row r="1907" spans="1:9" ht="12.75">
      <c r="A1907" s="717"/>
      <c r="B1907" s="718"/>
      <c r="C1907" s="250"/>
      <c r="D1907" s="250"/>
      <c r="E1907" s="250"/>
      <c r="F1907" s="250"/>
      <c r="G1907" s="471"/>
      <c r="H1907" s="250"/>
      <c r="I1907" s="471"/>
    </row>
    <row r="1908" spans="1:9" ht="12.75">
      <c r="A1908" s="717"/>
      <c r="B1908" s="718"/>
      <c r="C1908" s="250"/>
      <c r="D1908" s="250"/>
      <c r="E1908" s="250"/>
      <c r="F1908" s="250"/>
      <c r="G1908" s="471"/>
      <c r="H1908" s="250"/>
      <c r="I1908" s="471"/>
    </row>
    <row r="1909" spans="1:9" ht="12.75">
      <c r="A1909" s="717"/>
      <c r="B1909" s="718"/>
      <c r="C1909" s="250"/>
      <c r="D1909" s="250"/>
      <c r="E1909" s="250"/>
      <c r="F1909" s="250"/>
      <c r="G1909" s="471"/>
      <c r="H1909" s="250"/>
      <c r="I1909" s="471"/>
    </row>
    <row r="1910" spans="1:9" ht="12.75">
      <c r="A1910" s="717"/>
      <c r="B1910" s="718"/>
      <c r="C1910" s="250"/>
      <c r="D1910" s="250"/>
      <c r="E1910" s="250"/>
      <c r="F1910" s="250"/>
      <c r="G1910" s="471"/>
      <c r="H1910" s="250"/>
      <c r="I1910" s="471"/>
    </row>
    <row r="1911" spans="1:9" ht="12.75">
      <c r="A1911" s="717"/>
      <c r="B1911" s="718"/>
      <c r="C1911" s="250"/>
      <c r="D1911" s="250"/>
      <c r="E1911" s="250"/>
      <c r="F1911" s="250"/>
      <c r="G1911" s="471"/>
      <c r="H1911" s="250"/>
      <c r="I1911" s="471"/>
    </row>
    <row r="1912" spans="1:9" ht="12.75">
      <c r="A1912" s="717"/>
      <c r="B1912" s="718"/>
      <c r="C1912" s="250"/>
      <c r="D1912" s="250"/>
      <c r="E1912" s="250"/>
      <c r="F1912" s="250"/>
      <c r="G1912" s="471"/>
      <c r="H1912" s="250"/>
      <c r="I1912" s="471"/>
    </row>
    <row r="1913" spans="1:9" ht="12.75">
      <c r="A1913" s="717"/>
      <c r="B1913" s="718"/>
      <c r="C1913" s="250"/>
      <c r="D1913" s="250"/>
      <c r="E1913" s="250"/>
      <c r="F1913" s="250"/>
      <c r="G1913" s="471"/>
      <c r="H1913" s="250"/>
      <c r="I1913" s="471"/>
    </row>
    <row r="1914" spans="1:9" ht="12.75">
      <c r="A1914" s="717"/>
      <c r="B1914" s="718"/>
      <c r="C1914" s="250"/>
      <c r="D1914" s="250"/>
      <c r="E1914" s="250"/>
      <c r="F1914" s="250"/>
      <c r="G1914" s="471"/>
      <c r="H1914" s="250"/>
      <c r="I1914" s="471"/>
    </row>
    <row r="1915" spans="1:9" ht="12.75">
      <c r="A1915" s="717"/>
      <c r="B1915" s="718"/>
      <c r="C1915" s="250"/>
      <c r="D1915" s="250"/>
      <c r="E1915" s="250"/>
      <c r="F1915" s="250"/>
      <c r="G1915" s="471"/>
      <c r="H1915" s="250"/>
      <c r="I1915" s="471"/>
    </row>
    <row r="1916" spans="1:9" ht="12.75">
      <c r="A1916" s="717"/>
      <c r="B1916" s="718"/>
      <c r="C1916" s="250"/>
      <c r="D1916" s="250"/>
      <c r="E1916" s="250"/>
      <c r="F1916" s="250"/>
      <c r="G1916" s="471"/>
      <c r="H1916" s="250"/>
      <c r="I1916" s="471"/>
    </row>
    <row r="1917" spans="1:9" ht="12.75">
      <c r="A1917" s="717"/>
      <c r="B1917" s="718"/>
      <c r="C1917" s="250"/>
      <c r="D1917" s="250"/>
      <c r="E1917" s="250"/>
      <c r="F1917" s="250"/>
      <c r="G1917" s="471"/>
      <c r="H1917" s="250"/>
      <c r="I1917" s="471"/>
    </row>
    <row r="1918" spans="1:9" ht="12.75">
      <c r="A1918" s="717"/>
      <c r="B1918" s="718"/>
      <c r="C1918" s="250"/>
      <c r="D1918" s="250"/>
      <c r="E1918" s="250"/>
      <c r="F1918" s="250"/>
      <c r="G1918" s="471"/>
      <c r="H1918" s="250"/>
      <c r="I1918" s="471"/>
    </row>
    <row r="1919" spans="1:9" ht="12.75">
      <c r="A1919" s="717"/>
      <c r="B1919" s="718"/>
      <c r="C1919" s="250"/>
      <c r="D1919" s="250"/>
      <c r="E1919" s="250"/>
      <c r="F1919" s="250"/>
      <c r="G1919" s="471"/>
      <c r="H1919" s="250"/>
      <c r="I1919" s="471"/>
    </row>
    <row r="1920" spans="1:9" ht="12.75">
      <c r="A1920" s="717"/>
      <c r="B1920" s="718"/>
      <c r="C1920" s="250"/>
      <c r="D1920" s="250"/>
      <c r="E1920" s="250"/>
      <c r="F1920" s="250"/>
      <c r="G1920" s="471"/>
      <c r="H1920" s="250"/>
      <c r="I1920" s="471"/>
    </row>
    <row r="1921" spans="1:9" ht="12.75">
      <c r="A1921" s="717"/>
      <c r="B1921" s="718"/>
      <c r="C1921" s="250"/>
      <c r="D1921" s="250"/>
      <c r="E1921" s="250"/>
      <c r="F1921" s="250"/>
      <c r="G1921" s="471"/>
      <c r="H1921" s="250"/>
      <c r="I1921" s="471"/>
    </row>
    <row r="1922" spans="1:9" ht="12.75">
      <c r="A1922" s="717"/>
      <c r="B1922" s="718"/>
      <c r="C1922" s="250"/>
      <c r="D1922" s="250"/>
      <c r="E1922" s="250"/>
      <c r="F1922" s="250"/>
      <c r="G1922" s="471"/>
      <c r="H1922" s="250"/>
      <c r="I1922" s="471"/>
    </row>
    <row r="1923" spans="1:9" ht="12.75">
      <c r="A1923" s="717"/>
      <c r="B1923" s="718"/>
      <c r="C1923" s="250"/>
      <c r="D1923" s="250"/>
      <c r="E1923" s="250"/>
      <c r="F1923" s="250"/>
      <c r="G1923" s="471"/>
      <c r="H1923" s="250"/>
      <c r="I1923" s="471"/>
    </row>
    <row r="1924" spans="1:9" ht="12.75">
      <c r="A1924" s="717"/>
      <c r="B1924" s="718"/>
      <c r="C1924" s="250"/>
      <c r="D1924" s="250"/>
      <c r="E1924" s="250"/>
      <c r="F1924" s="250"/>
      <c r="G1924" s="471"/>
      <c r="H1924" s="250"/>
      <c r="I1924" s="471"/>
    </row>
    <row r="1925" spans="1:9" ht="12.75">
      <c r="A1925" s="717"/>
      <c r="B1925" s="718"/>
      <c r="C1925" s="250"/>
      <c r="D1925" s="250"/>
      <c r="E1925" s="250"/>
      <c r="F1925" s="250"/>
      <c r="G1925" s="471"/>
      <c r="H1925" s="250"/>
      <c r="I1925" s="471"/>
    </row>
    <row r="1926" spans="1:9" ht="12.75">
      <c r="A1926" s="717"/>
      <c r="B1926" s="718"/>
      <c r="C1926" s="250"/>
      <c r="D1926" s="250"/>
      <c r="E1926" s="250"/>
      <c r="F1926" s="250"/>
      <c r="G1926" s="471"/>
      <c r="H1926" s="250"/>
      <c r="I1926" s="471"/>
    </row>
    <row r="1927" spans="1:9" ht="12.75">
      <c r="A1927" s="717"/>
      <c r="B1927" s="718"/>
      <c r="C1927" s="250"/>
      <c r="D1927" s="250"/>
      <c r="E1927" s="250"/>
      <c r="F1927" s="250"/>
      <c r="G1927" s="471"/>
      <c r="H1927" s="250"/>
      <c r="I1927" s="471"/>
    </row>
    <row r="1928" spans="1:9" ht="12.75">
      <c r="A1928" s="717"/>
      <c r="B1928" s="718"/>
      <c r="C1928" s="250"/>
      <c r="D1928" s="250"/>
      <c r="E1928" s="250"/>
      <c r="F1928" s="250"/>
      <c r="G1928" s="471"/>
      <c r="H1928" s="250"/>
      <c r="I1928" s="471"/>
    </row>
    <row r="1929" spans="1:9" ht="12.75">
      <c r="A1929" s="717"/>
      <c r="B1929" s="718"/>
      <c r="C1929" s="250"/>
      <c r="D1929" s="250"/>
      <c r="E1929" s="250"/>
      <c r="F1929" s="250"/>
      <c r="G1929" s="471"/>
      <c r="H1929" s="250"/>
      <c r="I1929" s="471"/>
    </row>
    <row r="1930" spans="1:9" ht="12.75">
      <c r="A1930" s="717"/>
      <c r="B1930" s="718"/>
      <c r="C1930" s="250"/>
      <c r="D1930" s="250"/>
      <c r="E1930" s="250"/>
      <c r="F1930" s="250"/>
      <c r="G1930" s="471"/>
      <c r="H1930" s="250"/>
      <c r="I1930" s="471"/>
    </row>
    <row r="1931" spans="1:9" ht="12.75">
      <c r="A1931" s="717"/>
      <c r="B1931" s="718"/>
      <c r="C1931" s="250"/>
      <c r="D1931" s="250"/>
      <c r="E1931" s="250"/>
      <c r="F1931" s="250"/>
      <c r="G1931" s="471"/>
      <c r="H1931" s="250"/>
      <c r="I1931" s="471"/>
    </row>
    <row r="1932" spans="1:9" ht="12.75">
      <c r="A1932" s="717"/>
      <c r="B1932" s="718"/>
      <c r="C1932" s="250"/>
      <c r="D1932" s="250"/>
      <c r="E1932" s="250"/>
      <c r="F1932" s="250"/>
      <c r="G1932" s="471"/>
      <c r="H1932" s="250"/>
      <c r="I1932" s="471"/>
    </row>
    <row r="1933" spans="1:9" ht="12.75">
      <c r="A1933" s="717"/>
      <c r="B1933" s="718"/>
      <c r="C1933" s="250"/>
      <c r="D1933" s="250"/>
      <c r="E1933" s="250"/>
      <c r="F1933" s="250"/>
      <c r="G1933" s="471"/>
      <c r="H1933" s="250"/>
      <c r="I1933" s="471"/>
    </row>
    <row r="1934" spans="1:9" ht="12.75">
      <c r="A1934" s="717"/>
      <c r="B1934" s="718"/>
      <c r="C1934" s="250"/>
      <c r="D1934" s="250"/>
      <c r="E1934" s="250"/>
      <c r="F1934" s="250"/>
      <c r="G1934" s="471"/>
      <c r="H1934" s="250"/>
      <c r="I1934" s="471"/>
    </row>
    <row r="1935" spans="1:9" ht="12.75">
      <c r="A1935" s="717"/>
      <c r="B1935" s="718"/>
      <c r="C1935" s="250"/>
      <c r="D1935" s="250"/>
      <c r="E1935" s="250"/>
      <c r="F1935" s="250"/>
      <c r="G1935" s="471"/>
      <c r="H1935" s="250"/>
      <c r="I1935" s="471"/>
    </row>
    <row r="1936" spans="1:9" ht="12.75">
      <c r="A1936" s="717"/>
      <c r="B1936" s="718"/>
      <c r="C1936" s="250"/>
      <c r="D1936" s="250"/>
      <c r="E1936" s="250"/>
      <c r="F1936" s="250"/>
      <c r="G1936" s="471"/>
      <c r="H1936" s="250"/>
      <c r="I1936" s="471"/>
    </row>
    <row r="1937" spans="1:9" ht="12.75">
      <c r="A1937" s="717"/>
      <c r="B1937" s="718"/>
      <c r="C1937" s="250"/>
      <c r="D1937" s="250"/>
      <c r="E1937" s="250"/>
      <c r="F1937" s="250"/>
      <c r="G1937" s="471"/>
      <c r="H1937" s="250"/>
      <c r="I1937" s="471"/>
    </row>
    <row r="1938" spans="1:9" ht="12.75">
      <c r="A1938" s="717"/>
      <c r="B1938" s="718"/>
      <c r="C1938" s="250"/>
      <c r="D1938" s="250"/>
      <c r="E1938" s="250"/>
      <c r="F1938" s="250"/>
      <c r="G1938" s="471"/>
      <c r="H1938" s="250"/>
      <c r="I1938" s="471"/>
    </row>
    <row r="1939" spans="1:9" ht="12.75">
      <c r="A1939" s="717"/>
      <c r="B1939" s="718"/>
      <c r="C1939" s="250"/>
      <c r="D1939" s="250"/>
      <c r="E1939" s="250"/>
      <c r="F1939" s="250"/>
      <c r="G1939" s="471"/>
      <c r="H1939" s="250"/>
      <c r="I1939" s="471"/>
    </row>
    <row r="1940" spans="1:9" ht="12.75">
      <c r="A1940" s="717"/>
      <c r="B1940" s="718"/>
      <c r="C1940" s="250"/>
      <c r="D1940" s="250"/>
      <c r="E1940" s="250"/>
      <c r="F1940" s="250"/>
      <c r="G1940" s="471"/>
      <c r="H1940" s="250"/>
      <c r="I1940" s="471"/>
    </row>
    <row r="1941" spans="1:9" ht="12.75">
      <c r="A1941" s="717"/>
      <c r="B1941" s="718"/>
      <c r="C1941" s="250"/>
      <c r="D1941" s="250"/>
      <c r="E1941" s="250"/>
      <c r="F1941" s="250"/>
      <c r="G1941" s="471"/>
      <c r="H1941" s="250"/>
      <c r="I1941" s="471"/>
    </row>
    <row r="1942" spans="1:9" ht="12.75">
      <c r="A1942" s="717"/>
      <c r="B1942" s="718"/>
      <c r="C1942" s="250"/>
      <c r="D1942" s="250"/>
      <c r="E1942" s="250"/>
      <c r="F1942" s="250"/>
      <c r="G1942" s="471"/>
      <c r="H1942" s="250"/>
      <c r="I1942" s="471"/>
    </row>
    <row r="1943" spans="1:9" ht="12.75">
      <c r="A1943" s="717"/>
      <c r="B1943" s="718"/>
      <c r="C1943" s="250"/>
      <c r="D1943" s="250"/>
      <c r="E1943" s="250"/>
      <c r="F1943" s="250"/>
      <c r="G1943" s="471"/>
      <c r="H1943" s="250"/>
      <c r="I1943" s="471"/>
    </row>
    <row r="1944" spans="1:9" ht="12.75">
      <c r="A1944" s="717"/>
      <c r="B1944" s="718"/>
      <c r="C1944" s="250"/>
      <c r="D1944" s="250"/>
      <c r="E1944" s="250"/>
      <c r="F1944" s="250"/>
      <c r="G1944" s="471"/>
      <c r="H1944" s="250"/>
      <c r="I1944" s="471"/>
    </row>
    <row r="1945" spans="1:9" ht="12.75">
      <c r="A1945" s="717"/>
      <c r="B1945" s="718"/>
      <c r="C1945" s="250"/>
      <c r="D1945" s="250"/>
      <c r="E1945" s="250"/>
      <c r="F1945" s="250"/>
      <c r="G1945" s="471"/>
      <c r="H1945" s="250"/>
      <c r="I1945" s="471"/>
    </row>
    <row r="1946" spans="1:9" ht="12.75">
      <c r="A1946" s="717"/>
      <c r="B1946" s="718"/>
      <c r="C1946" s="250"/>
      <c r="D1946" s="250"/>
      <c r="E1946" s="250"/>
      <c r="F1946" s="250"/>
      <c r="G1946" s="471"/>
      <c r="H1946" s="250"/>
      <c r="I1946" s="471"/>
    </row>
    <row r="1947" spans="1:9" ht="12.75">
      <c r="A1947" s="717"/>
      <c r="B1947" s="718"/>
      <c r="C1947" s="250"/>
      <c r="D1947" s="250"/>
      <c r="E1947" s="250"/>
      <c r="F1947" s="250"/>
      <c r="G1947" s="471"/>
      <c r="H1947" s="250"/>
      <c r="I1947" s="471"/>
    </row>
    <row r="1948" spans="1:9" ht="12.75">
      <c r="A1948" s="717"/>
      <c r="B1948" s="718"/>
      <c r="C1948" s="250"/>
      <c r="D1948" s="250"/>
      <c r="E1948" s="250"/>
      <c r="F1948" s="250"/>
      <c r="G1948" s="471"/>
      <c r="H1948" s="250"/>
      <c r="I1948" s="471"/>
    </row>
    <row r="1949" spans="1:9" ht="12.75">
      <c r="A1949" s="717"/>
      <c r="B1949" s="718"/>
      <c r="C1949" s="250"/>
      <c r="D1949" s="250"/>
      <c r="E1949" s="250"/>
      <c r="F1949" s="250"/>
      <c r="G1949" s="471"/>
      <c r="H1949" s="250"/>
      <c r="I1949" s="471"/>
    </row>
    <row r="1950" spans="1:9" ht="12.75">
      <c r="A1950" s="717"/>
      <c r="B1950" s="718"/>
      <c r="C1950" s="250"/>
      <c r="D1950" s="250"/>
      <c r="E1950" s="250"/>
      <c r="F1950" s="250"/>
      <c r="G1950" s="471"/>
      <c r="H1950" s="250"/>
      <c r="I1950" s="471"/>
    </row>
    <row r="1951" spans="1:9" ht="12.75">
      <c r="A1951" s="717"/>
      <c r="B1951" s="718"/>
      <c r="C1951" s="250"/>
      <c r="D1951" s="250"/>
      <c r="E1951" s="250"/>
      <c r="F1951" s="250"/>
      <c r="G1951" s="471"/>
      <c r="H1951" s="250"/>
      <c r="I1951" s="471"/>
    </row>
    <row r="1952" spans="1:9" ht="12.75">
      <c r="A1952" s="717"/>
      <c r="B1952" s="718"/>
      <c r="C1952" s="250"/>
      <c r="D1952" s="250"/>
      <c r="E1952" s="250"/>
      <c r="F1952" s="250"/>
      <c r="G1952" s="471"/>
      <c r="H1952" s="250"/>
      <c r="I1952" s="471"/>
    </row>
    <row r="1953" spans="1:9" ht="12.75">
      <c r="A1953" s="717"/>
      <c r="B1953" s="718"/>
      <c r="C1953" s="250"/>
      <c r="D1953" s="250"/>
      <c r="E1953" s="250"/>
      <c r="F1953" s="250"/>
      <c r="G1953" s="471"/>
      <c r="H1953" s="250"/>
      <c r="I1953" s="471"/>
    </row>
    <row r="1954" spans="1:9" ht="12.75">
      <c r="A1954" s="717"/>
      <c r="B1954" s="718"/>
      <c r="C1954" s="250"/>
      <c r="D1954" s="250"/>
      <c r="E1954" s="250"/>
      <c r="F1954" s="250"/>
      <c r="G1954" s="471"/>
      <c r="H1954" s="250"/>
      <c r="I1954" s="471"/>
    </row>
    <row r="1955" spans="1:9" ht="12.75">
      <c r="A1955" s="717"/>
      <c r="B1955" s="718"/>
      <c r="C1955" s="250"/>
      <c r="D1955" s="250"/>
      <c r="E1955" s="250"/>
      <c r="F1955" s="250"/>
      <c r="G1955" s="471"/>
      <c r="H1955" s="250"/>
      <c r="I1955" s="471"/>
    </row>
    <row r="1956" spans="1:9" ht="12.75">
      <c r="A1956" s="717"/>
      <c r="B1956" s="718"/>
      <c r="C1956" s="250"/>
      <c r="D1956" s="250"/>
      <c r="E1956" s="250"/>
      <c r="F1956" s="250"/>
      <c r="G1956" s="471"/>
      <c r="H1956" s="250"/>
      <c r="I1956" s="471"/>
    </row>
    <row r="1957" spans="1:9" ht="12.75">
      <c r="A1957" s="717"/>
      <c r="B1957" s="718"/>
      <c r="C1957" s="250"/>
      <c r="D1957" s="250"/>
      <c r="E1957" s="250"/>
      <c r="F1957" s="250"/>
      <c r="G1957" s="471"/>
      <c r="H1957" s="250"/>
      <c r="I1957" s="471"/>
    </row>
    <row r="1958" spans="1:9" ht="12.75">
      <c r="A1958" s="717"/>
      <c r="B1958" s="718"/>
      <c r="C1958" s="250"/>
      <c r="D1958" s="250"/>
      <c r="E1958" s="250"/>
      <c r="F1958" s="250"/>
      <c r="G1958" s="471"/>
      <c r="H1958" s="250"/>
      <c r="I1958" s="471"/>
    </row>
    <row r="1959" spans="1:9" ht="12.75">
      <c r="A1959" s="717"/>
      <c r="B1959" s="718"/>
      <c r="C1959" s="250"/>
      <c r="D1959" s="250"/>
      <c r="E1959" s="250"/>
      <c r="F1959" s="250"/>
      <c r="G1959" s="471"/>
      <c r="H1959" s="250"/>
      <c r="I1959" s="471"/>
    </row>
    <row r="1960" spans="1:9" ht="12.75">
      <c r="A1960" s="717"/>
      <c r="B1960" s="718"/>
      <c r="C1960" s="250"/>
      <c r="D1960" s="250"/>
      <c r="E1960" s="250"/>
      <c r="F1960" s="250"/>
      <c r="G1960" s="471"/>
      <c r="H1960" s="250"/>
      <c r="I1960" s="471"/>
    </row>
    <row r="1961" spans="1:9" ht="12.75">
      <c r="A1961" s="717"/>
      <c r="B1961" s="718"/>
      <c r="C1961" s="250"/>
      <c r="D1961" s="250"/>
      <c r="E1961" s="250"/>
      <c r="F1961" s="250"/>
      <c r="G1961" s="471"/>
      <c r="H1961" s="250"/>
      <c r="I1961" s="471"/>
    </row>
    <row r="1962" spans="1:9" ht="12.75">
      <c r="A1962" s="717"/>
      <c r="B1962" s="718"/>
      <c r="C1962" s="250"/>
      <c r="D1962" s="250"/>
      <c r="E1962" s="250"/>
      <c r="F1962" s="250"/>
      <c r="G1962" s="471"/>
      <c r="H1962" s="250"/>
      <c r="I1962" s="471"/>
    </row>
    <row r="1963" spans="1:9" ht="12.75">
      <c r="A1963" s="717"/>
      <c r="B1963" s="718"/>
      <c r="C1963" s="250"/>
      <c r="D1963" s="250"/>
      <c r="E1963" s="250"/>
      <c r="F1963" s="250"/>
      <c r="G1963" s="471"/>
      <c r="H1963" s="250"/>
      <c r="I1963" s="471"/>
    </row>
    <row r="1964" spans="1:9" ht="12.75">
      <c r="A1964" s="717"/>
      <c r="B1964" s="718"/>
      <c r="C1964" s="250"/>
      <c r="D1964" s="250"/>
      <c r="E1964" s="250"/>
      <c r="F1964" s="250"/>
      <c r="G1964" s="471"/>
      <c r="H1964" s="250"/>
      <c r="I1964" s="471"/>
    </row>
    <row r="1965" spans="1:9" ht="12.75">
      <c r="A1965" s="717"/>
      <c r="B1965" s="718"/>
      <c r="C1965" s="250"/>
      <c r="D1965" s="250"/>
      <c r="E1965" s="250"/>
      <c r="F1965" s="250"/>
      <c r="G1965" s="471"/>
      <c r="H1965" s="250"/>
      <c r="I1965" s="471"/>
    </row>
    <row r="1966" spans="1:9" ht="12.75">
      <c r="A1966" s="717"/>
      <c r="B1966" s="718"/>
      <c r="C1966" s="250"/>
      <c r="D1966" s="250"/>
      <c r="E1966" s="250"/>
      <c r="F1966" s="250"/>
      <c r="G1966" s="471"/>
      <c r="H1966" s="250"/>
      <c r="I1966" s="471"/>
    </row>
    <row r="1967" spans="1:9" ht="12.75">
      <c r="A1967" s="717"/>
      <c r="B1967" s="718"/>
      <c r="C1967" s="250"/>
      <c r="D1967" s="250"/>
      <c r="E1967" s="250"/>
      <c r="F1967" s="250"/>
      <c r="G1967" s="471"/>
      <c r="H1967" s="250"/>
      <c r="I1967" s="471"/>
    </row>
    <row r="1968" spans="1:9" ht="12.75">
      <c r="A1968" s="717"/>
      <c r="B1968" s="718"/>
      <c r="C1968" s="250"/>
      <c r="D1968" s="250"/>
      <c r="E1968" s="250"/>
      <c r="F1968" s="250"/>
      <c r="G1968" s="471"/>
      <c r="H1968" s="250"/>
      <c r="I1968" s="471"/>
    </row>
    <row r="1969" spans="1:9" ht="12.75">
      <c r="A1969" s="717"/>
      <c r="B1969" s="718"/>
      <c r="C1969" s="250"/>
      <c r="D1969" s="250"/>
      <c r="E1969" s="250"/>
      <c r="F1969" s="250"/>
      <c r="G1969" s="471"/>
      <c r="H1969" s="250"/>
      <c r="I1969" s="471"/>
    </row>
    <row r="1970" spans="1:9" ht="12.75">
      <c r="A1970" s="717"/>
      <c r="B1970" s="718"/>
      <c r="C1970" s="250"/>
      <c r="D1970" s="250"/>
      <c r="E1970" s="250"/>
      <c r="F1970" s="250"/>
      <c r="G1970" s="471"/>
      <c r="H1970" s="250"/>
      <c r="I1970" s="471"/>
    </row>
    <row r="1971" spans="1:9" ht="12.75">
      <c r="A1971" s="717"/>
      <c r="B1971" s="718"/>
      <c r="C1971" s="250"/>
      <c r="D1971" s="250"/>
      <c r="E1971" s="250"/>
      <c r="F1971" s="250"/>
      <c r="G1971" s="471"/>
      <c r="H1971" s="250"/>
      <c r="I1971" s="471"/>
    </row>
    <row r="1972" spans="1:9" ht="12.75">
      <c r="A1972" s="717"/>
      <c r="B1972" s="718"/>
      <c r="C1972" s="250"/>
      <c r="D1972" s="250"/>
      <c r="E1972" s="250"/>
      <c r="F1972" s="250"/>
      <c r="G1972" s="471"/>
      <c r="H1972" s="250"/>
      <c r="I1972" s="471"/>
    </row>
    <row r="1973" spans="1:9" ht="12.75">
      <c r="A1973" s="717"/>
      <c r="B1973" s="718"/>
      <c r="C1973" s="250"/>
      <c r="D1973" s="250"/>
      <c r="E1973" s="250"/>
      <c r="F1973" s="250"/>
      <c r="G1973" s="471"/>
      <c r="H1973" s="250"/>
      <c r="I1973" s="471"/>
    </row>
    <row r="1974" spans="1:9" ht="12.75">
      <c r="A1974" s="717"/>
      <c r="B1974" s="718"/>
      <c r="C1974" s="250"/>
      <c r="D1974" s="250"/>
      <c r="E1974" s="250"/>
      <c r="F1974" s="250"/>
      <c r="G1974" s="471"/>
      <c r="H1974" s="250"/>
      <c r="I1974" s="471"/>
    </row>
    <row r="1975" spans="1:9" ht="12.75">
      <c r="A1975" s="717"/>
      <c r="B1975" s="718"/>
      <c r="C1975" s="250"/>
      <c r="D1975" s="250"/>
      <c r="E1975" s="250"/>
      <c r="F1975" s="250"/>
      <c r="G1975" s="471"/>
      <c r="H1975" s="250"/>
      <c r="I1975" s="471"/>
    </row>
    <row r="1976" spans="1:9" ht="12.75">
      <c r="A1976" s="717"/>
      <c r="B1976" s="718"/>
      <c r="C1976" s="250"/>
      <c r="D1976" s="250"/>
      <c r="E1976" s="250"/>
      <c r="F1976" s="250"/>
      <c r="G1976" s="471"/>
      <c r="H1976" s="250"/>
      <c r="I1976" s="471"/>
    </row>
    <row r="1977" spans="1:9" ht="12.75">
      <c r="A1977" s="717"/>
      <c r="B1977" s="718"/>
      <c r="C1977" s="250"/>
      <c r="D1977" s="250"/>
      <c r="E1977" s="250"/>
      <c r="F1977" s="250"/>
      <c r="G1977" s="471"/>
      <c r="H1977" s="250"/>
      <c r="I1977" s="471"/>
    </row>
    <row r="1978" spans="1:9" ht="12.75">
      <c r="A1978" s="717"/>
      <c r="B1978" s="718"/>
      <c r="C1978" s="250"/>
      <c r="D1978" s="250"/>
      <c r="E1978" s="250"/>
      <c r="F1978" s="250"/>
      <c r="G1978" s="471"/>
      <c r="H1978" s="250"/>
      <c r="I1978" s="471"/>
    </row>
    <row r="1979" spans="1:9" ht="12.75">
      <c r="A1979" s="717"/>
      <c r="B1979" s="718"/>
      <c r="C1979" s="250"/>
      <c r="D1979" s="250"/>
      <c r="E1979" s="250"/>
      <c r="F1979" s="250"/>
      <c r="G1979" s="471"/>
      <c r="H1979" s="250"/>
      <c r="I1979" s="471"/>
    </row>
    <row r="1980" spans="1:9" ht="12.75">
      <c r="A1980" s="717"/>
      <c r="B1980" s="718"/>
      <c r="C1980" s="250"/>
      <c r="D1980" s="250"/>
      <c r="E1980" s="250"/>
      <c r="F1980" s="250"/>
      <c r="G1980" s="471"/>
      <c r="H1980" s="250"/>
      <c r="I1980" s="471"/>
    </row>
    <row r="1981" spans="1:9" ht="12.75">
      <c r="A1981" s="717"/>
      <c r="B1981" s="718"/>
      <c r="C1981" s="250"/>
      <c r="D1981" s="250"/>
      <c r="E1981" s="250"/>
      <c r="F1981" s="250"/>
      <c r="G1981" s="471"/>
      <c r="H1981" s="250"/>
      <c r="I1981" s="471"/>
    </row>
    <row r="1982" spans="1:9" ht="12.75">
      <c r="A1982" s="717"/>
      <c r="B1982" s="718"/>
      <c r="C1982" s="250"/>
      <c r="D1982" s="250"/>
      <c r="E1982" s="250"/>
      <c r="F1982" s="250"/>
      <c r="G1982" s="471"/>
      <c r="H1982" s="250"/>
      <c r="I1982" s="471"/>
    </row>
    <row r="1983" spans="1:9" ht="12.75">
      <c r="A1983" s="717"/>
      <c r="B1983" s="718"/>
      <c r="C1983" s="250"/>
      <c r="D1983" s="250"/>
      <c r="E1983" s="250"/>
      <c r="F1983" s="250"/>
      <c r="G1983" s="471"/>
      <c r="H1983" s="250"/>
      <c r="I1983" s="471"/>
    </row>
    <row r="1984" spans="1:9" ht="12.75">
      <c r="A1984" s="717"/>
      <c r="B1984" s="718"/>
      <c r="C1984" s="250"/>
      <c r="D1984" s="250"/>
      <c r="E1984" s="250"/>
      <c r="F1984" s="250"/>
      <c r="G1984" s="471"/>
      <c r="H1984" s="250"/>
      <c r="I1984" s="471"/>
    </row>
    <row r="1985" spans="1:9" ht="12.75">
      <c r="A1985" s="717"/>
      <c r="B1985" s="718"/>
      <c r="C1985" s="250"/>
      <c r="D1985" s="250"/>
      <c r="E1985" s="250"/>
      <c r="F1985" s="250"/>
      <c r="G1985" s="471"/>
      <c r="H1985" s="250"/>
      <c r="I1985" s="471"/>
    </row>
    <row r="1986" spans="1:9" ht="12.75">
      <c r="A1986" s="717"/>
      <c r="B1986" s="718"/>
      <c r="C1986" s="250"/>
      <c r="D1986" s="250"/>
      <c r="E1986" s="250"/>
      <c r="F1986" s="250"/>
      <c r="G1986" s="471"/>
      <c r="H1986" s="250"/>
      <c r="I1986" s="471"/>
    </row>
    <row r="1987" spans="1:9" ht="12.75">
      <c r="A1987" s="717"/>
      <c r="B1987" s="718"/>
      <c r="C1987" s="250"/>
      <c r="D1987" s="250"/>
      <c r="E1987" s="250"/>
      <c r="F1987" s="250"/>
      <c r="G1987" s="471"/>
      <c r="H1987" s="250"/>
      <c r="I1987" s="471"/>
    </row>
    <row r="1988" spans="1:9" ht="12.75">
      <c r="A1988" s="717"/>
      <c r="B1988" s="718"/>
      <c r="C1988" s="250"/>
      <c r="D1988" s="250"/>
      <c r="E1988" s="250"/>
      <c r="F1988" s="250"/>
      <c r="G1988" s="471"/>
      <c r="H1988" s="250"/>
      <c r="I1988" s="471"/>
    </row>
    <row r="1989" spans="1:9" ht="12.75">
      <c r="A1989" s="717"/>
      <c r="B1989" s="718"/>
      <c r="C1989" s="250"/>
      <c r="D1989" s="250"/>
      <c r="E1989" s="250"/>
      <c r="F1989" s="250"/>
      <c r="G1989" s="471"/>
      <c r="H1989" s="250"/>
      <c r="I1989" s="471"/>
    </row>
    <row r="1990" spans="1:9" ht="12.75">
      <c r="A1990" s="717"/>
      <c r="B1990" s="718"/>
      <c r="C1990" s="250"/>
      <c r="D1990" s="250"/>
      <c r="E1990" s="250"/>
      <c r="F1990" s="250"/>
      <c r="G1990" s="471"/>
      <c r="H1990" s="250"/>
      <c r="I1990" s="471"/>
    </row>
    <row r="1991" spans="1:9" ht="12.75">
      <c r="A1991" s="717"/>
      <c r="B1991" s="718"/>
      <c r="C1991" s="250"/>
      <c r="D1991" s="250"/>
      <c r="E1991" s="250"/>
      <c r="F1991" s="250"/>
      <c r="G1991" s="471"/>
      <c r="H1991" s="250"/>
      <c r="I1991" s="471"/>
    </row>
    <row r="1992" spans="1:9" ht="12.75">
      <c r="A1992" s="717"/>
      <c r="B1992" s="718"/>
      <c r="C1992" s="250"/>
      <c r="D1992" s="250"/>
      <c r="E1992" s="250"/>
      <c r="F1992" s="250"/>
      <c r="G1992" s="471"/>
      <c r="H1992" s="250"/>
      <c r="I1992" s="471"/>
    </row>
    <row r="1993" spans="1:9" ht="12.75">
      <c r="A1993" s="717"/>
      <c r="B1993" s="718"/>
      <c r="C1993" s="250"/>
      <c r="D1993" s="250"/>
      <c r="E1993" s="250"/>
      <c r="F1993" s="250"/>
      <c r="G1993" s="471"/>
      <c r="H1993" s="250"/>
      <c r="I1993" s="471"/>
    </row>
    <row r="1994" spans="1:9" ht="12.75">
      <c r="A1994" s="717"/>
      <c r="B1994" s="718"/>
      <c r="C1994" s="250"/>
      <c r="D1994" s="250"/>
      <c r="E1994" s="250"/>
      <c r="F1994" s="250"/>
      <c r="G1994" s="471"/>
      <c r="H1994" s="250"/>
      <c r="I1994" s="471"/>
    </row>
    <row r="1995" spans="1:9" ht="12.75">
      <c r="A1995" s="717"/>
      <c r="B1995" s="718"/>
      <c r="C1995" s="250"/>
      <c r="D1995" s="250"/>
      <c r="E1995" s="250"/>
      <c r="F1995" s="250"/>
      <c r="G1995" s="471"/>
      <c r="H1995" s="250"/>
      <c r="I1995" s="471"/>
    </row>
    <row r="1996" spans="1:9" ht="12.75">
      <c r="A1996" s="717"/>
      <c r="B1996" s="718"/>
      <c r="C1996" s="250"/>
      <c r="D1996" s="250"/>
      <c r="E1996" s="250"/>
      <c r="F1996" s="250"/>
      <c r="G1996" s="471"/>
      <c r="H1996" s="250"/>
      <c r="I1996" s="471"/>
    </row>
    <row r="1997" spans="1:9" ht="12.75">
      <c r="A1997" s="717"/>
      <c r="B1997" s="718"/>
      <c r="C1997" s="250"/>
      <c r="D1997" s="250"/>
      <c r="E1997" s="250"/>
      <c r="F1997" s="250"/>
      <c r="G1997" s="471"/>
      <c r="H1997" s="250"/>
      <c r="I1997" s="471"/>
    </row>
    <row r="1998" spans="1:9" ht="12.75">
      <c r="A1998" s="717"/>
      <c r="B1998" s="718"/>
      <c r="C1998" s="250"/>
      <c r="D1998" s="250"/>
      <c r="E1998" s="250"/>
      <c r="F1998" s="250"/>
      <c r="G1998" s="471"/>
      <c r="H1998" s="250"/>
      <c r="I1998" s="471"/>
    </row>
    <row r="1999" spans="1:9" ht="12.75">
      <c r="A1999" s="717"/>
      <c r="B1999" s="718"/>
      <c r="C1999" s="250"/>
      <c r="D1999" s="250"/>
      <c r="E1999" s="250"/>
      <c r="F1999" s="250"/>
      <c r="G1999" s="471"/>
      <c r="H1999" s="250"/>
      <c r="I1999" s="471"/>
    </row>
    <row r="2000" spans="1:9" ht="12.75">
      <c r="A2000" s="717"/>
      <c r="B2000" s="718"/>
      <c r="C2000" s="250"/>
      <c r="D2000" s="250"/>
      <c r="E2000" s="250"/>
      <c r="F2000" s="250"/>
      <c r="G2000" s="471"/>
      <c r="H2000" s="250"/>
      <c r="I2000" s="471"/>
    </row>
    <row r="2001" spans="1:9" ht="12.75">
      <c r="A2001" s="717"/>
      <c r="B2001" s="718"/>
      <c r="C2001" s="250"/>
      <c r="D2001" s="250"/>
      <c r="E2001" s="250"/>
      <c r="F2001" s="250"/>
      <c r="G2001" s="471"/>
      <c r="H2001" s="250"/>
      <c r="I2001" s="471"/>
    </row>
    <row r="2002" spans="1:9" ht="12.75">
      <c r="A2002" s="717"/>
      <c r="B2002" s="718"/>
      <c r="C2002" s="250"/>
      <c r="D2002" s="250"/>
      <c r="E2002" s="250"/>
      <c r="F2002" s="250"/>
      <c r="G2002" s="471"/>
      <c r="H2002" s="250"/>
      <c r="I2002" s="471"/>
    </row>
    <row r="2003" spans="1:9" ht="12.75">
      <c r="A2003" s="717"/>
      <c r="B2003" s="718"/>
      <c r="C2003" s="250"/>
      <c r="D2003" s="250"/>
      <c r="E2003" s="250"/>
      <c r="F2003" s="250"/>
      <c r="G2003" s="471"/>
      <c r="H2003" s="250"/>
      <c r="I2003" s="471"/>
    </row>
    <row r="2004" spans="1:9" ht="12.75">
      <c r="A2004" s="717"/>
      <c r="B2004" s="718"/>
      <c r="C2004" s="250"/>
      <c r="D2004" s="250"/>
      <c r="E2004" s="250"/>
      <c r="F2004" s="250"/>
      <c r="G2004" s="471"/>
      <c r="H2004" s="250"/>
      <c r="I2004" s="471"/>
    </row>
    <row r="2005" spans="1:9" ht="12.75">
      <c r="A2005" s="717"/>
      <c r="B2005" s="718"/>
      <c r="C2005" s="250"/>
      <c r="D2005" s="250"/>
      <c r="E2005" s="250"/>
      <c r="F2005" s="250"/>
      <c r="G2005" s="471"/>
      <c r="H2005" s="250"/>
      <c r="I2005" s="471"/>
    </row>
    <row r="2006" spans="1:9" ht="12.75">
      <c r="A2006" s="717"/>
      <c r="B2006" s="718"/>
      <c r="C2006" s="250"/>
      <c r="D2006" s="250"/>
      <c r="E2006" s="250"/>
      <c r="F2006" s="250"/>
      <c r="G2006" s="471"/>
      <c r="H2006" s="250"/>
      <c r="I2006" s="471"/>
    </row>
    <row r="2007" spans="1:9" ht="12.75">
      <c r="A2007" s="717"/>
      <c r="B2007" s="718"/>
      <c r="C2007" s="250"/>
      <c r="D2007" s="250"/>
      <c r="E2007" s="250"/>
      <c r="F2007" s="250"/>
      <c r="G2007" s="471"/>
      <c r="H2007" s="250"/>
      <c r="I2007" s="471"/>
    </row>
    <row r="2008" spans="1:9" ht="12.75">
      <c r="A2008" s="717"/>
      <c r="B2008" s="718"/>
      <c r="C2008" s="250"/>
      <c r="D2008" s="250"/>
      <c r="E2008" s="250"/>
      <c r="F2008" s="250"/>
      <c r="G2008" s="471"/>
      <c r="H2008" s="250"/>
      <c r="I2008" s="471"/>
    </row>
    <row r="2009" spans="1:9" ht="12.75">
      <c r="A2009" s="717"/>
      <c r="B2009" s="718"/>
      <c r="C2009" s="250"/>
      <c r="D2009" s="250"/>
      <c r="E2009" s="250"/>
      <c r="F2009" s="250"/>
      <c r="G2009" s="471"/>
      <c r="H2009" s="250"/>
      <c r="I2009" s="471"/>
    </row>
    <row r="2010" spans="1:9" ht="12.75">
      <c r="A2010" s="717"/>
      <c r="B2010" s="718"/>
      <c r="C2010" s="250"/>
      <c r="D2010" s="250"/>
      <c r="E2010" s="250"/>
      <c r="F2010" s="250"/>
      <c r="G2010" s="471"/>
      <c r="H2010" s="250"/>
      <c r="I2010" s="471"/>
    </row>
    <row r="2011" spans="1:9" ht="12.75">
      <c r="A2011" s="717"/>
      <c r="B2011" s="718"/>
      <c r="C2011" s="250"/>
      <c r="D2011" s="250"/>
      <c r="E2011" s="250"/>
      <c r="F2011" s="250"/>
      <c r="G2011" s="471"/>
      <c r="H2011" s="250"/>
      <c r="I2011" s="471"/>
    </row>
    <row r="2012" spans="1:9" ht="12.75">
      <c r="A2012" s="717"/>
      <c r="B2012" s="718"/>
      <c r="C2012" s="250"/>
      <c r="D2012" s="250"/>
      <c r="E2012" s="250"/>
      <c r="F2012" s="250"/>
      <c r="G2012" s="471"/>
      <c r="H2012" s="250"/>
      <c r="I2012" s="471"/>
    </row>
    <row r="2013" spans="1:9" ht="12.75">
      <c r="A2013" s="717"/>
      <c r="B2013" s="718"/>
      <c r="C2013" s="250"/>
      <c r="D2013" s="250"/>
      <c r="E2013" s="250"/>
      <c r="F2013" s="250"/>
      <c r="G2013" s="471"/>
      <c r="H2013" s="250"/>
      <c r="I2013" s="471"/>
    </row>
    <row r="2014" spans="1:9" ht="12.75">
      <c r="A2014" s="717"/>
      <c r="B2014" s="718"/>
      <c r="C2014" s="250"/>
      <c r="D2014" s="250"/>
      <c r="E2014" s="250"/>
      <c r="F2014" s="250"/>
      <c r="G2014" s="471"/>
      <c r="H2014" s="250"/>
      <c r="I2014" s="471"/>
    </row>
    <row r="2015" spans="1:9" ht="12.75">
      <c r="A2015" s="717"/>
      <c r="B2015" s="718"/>
      <c r="C2015" s="250"/>
      <c r="D2015" s="250"/>
      <c r="E2015" s="250"/>
      <c r="F2015" s="250"/>
      <c r="G2015" s="471"/>
      <c r="H2015" s="250"/>
      <c r="I2015" s="471"/>
    </row>
    <row r="2016" spans="1:9" ht="12.75">
      <c r="A2016" s="717"/>
      <c r="B2016" s="718"/>
      <c r="C2016" s="250"/>
      <c r="D2016" s="250"/>
      <c r="E2016" s="250"/>
      <c r="F2016" s="250"/>
      <c r="G2016" s="471"/>
      <c r="H2016" s="250"/>
      <c r="I2016" s="471"/>
    </row>
    <row r="2017" spans="1:9" ht="12.75">
      <c r="A2017" s="717"/>
      <c r="B2017" s="718"/>
      <c r="C2017" s="250"/>
      <c r="D2017" s="250"/>
      <c r="E2017" s="250"/>
      <c r="F2017" s="250"/>
      <c r="G2017" s="471"/>
      <c r="H2017" s="250"/>
      <c r="I2017" s="471"/>
    </row>
    <row r="2018" spans="1:9" ht="12.75">
      <c r="A2018" s="717"/>
      <c r="B2018" s="718"/>
      <c r="C2018" s="250"/>
      <c r="D2018" s="250"/>
      <c r="E2018" s="250"/>
      <c r="F2018" s="250"/>
      <c r="G2018" s="471"/>
      <c r="H2018" s="250"/>
      <c r="I2018" s="471"/>
    </row>
    <row r="2019" spans="1:9" ht="12.75">
      <c r="A2019" s="717"/>
      <c r="B2019" s="718"/>
      <c r="C2019" s="250"/>
      <c r="D2019" s="250"/>
      <c r="E2019" s="250"/>
      <c r="F2019" s="250"/>
      <c r="G2019" s="471"/>
      <c r="H2019" s="250"/>
      <c r="I2019" s="471"/>
    </row>
    <row r="2020" spans="1:9" ht="12.75">
      <c r="A2020" s="717"/>
      <c r="B2020" s="718"/>
      <c r="C2020" s="250"/>
      <c r="D2020" s="250"/>
      <c r="E2020" s="250"/>
      <c r="F2020" s="250"/>
      <c r="G2020" s="471"/>
      <c r="H2020" s="250"/>
      <c r="I2020" s="471"/>
    </row>
    <row r="2021" spans="1:9" ht="12.75">
      <c r="A2021" s="717"/>
      <c r="B2021" s="718"/>
      <c r="C2021" s="250"/>
      <c r="D2021" s="250"/>
      <c r="E2021" s="250"/>
      <c r="F2021" s="250"/>
      <c r="G2021" s="471"/>
      <c r="H2021" s="250"/>
      <c r="I2021" s="471"/>
    </row>
    <row r="2022" spans="1:9" ht="12.75">
      <c r="A2022" s="717"/>
      <c r="B2022" s="718"/>
      <c r="C2022" s="250"/>
      <c r="D2022" s="250"/>
      <c r="E2022" s="250"/>
      <c r="F2022" s="250"/>
      <c r="G2022" s="471"/>
      <c r="H2022" s="250"/>
      <c r="I2022" s="471"/>
    </row>
    <row r="2023" spans="1:9" ht="12.75">
      <c r="A2023" s="717"/>
      <c r="B2023" s="718"/>
      <c r="C2023" s="250"/>
      <c r="D2023" s="250"/>
      <c r="E2023" s="250"/>
      <c r="F2023" s="250"/>
      <c r="G2023" s="471"/>
      <c r="H2023" s="250"/>
      <c r="I2023" s="471"/>
    </row>
    <row r="2024" spans="1:9" ht="12.75">
      <c r="A2024" s="717"/>
      <c r="B2024" s="718"/>
      <c r="C2024" s="250"/>
      <c r="D2024" s="250"/>
      <c r="E2024" s="250"/>
      <c r="F2024" s="250"/>
      <c r="G2024" s="471"/>
      <c r="H2024" s="250"/>
      <c r="I2024" s="471"/>
    </row>
    <row r="2025" spans="1:9" ht="12.75">
      <c r="A2025" s="717"/>
      <c r="B2025" s="718"/>
      <c r="C2025" s="250"/>
      <c r="D2025" s="250"/>
      <c r="E2025" s="250"/>
      <c r="F2025" s="250"/>
      <c r="G2025" s="471"/>
      <c r="H2025" s="250"/>
      <c r="I2025" s="471"/>
    </row>
    <row r="2026" spans="1:9" ht="12.75">
      <c r="A2026" s="717"/>
      <c r="B2026" s="718"/>
      <c r="C2026" s="250"/>
      <c r="D2026" s="250"/>
      <c r="E2026" s="250"/>
      <c r="F2026" s="250"/>
      <c r="G2026" s="471"/>
      <c r="H2026" s="250"/>
      <c r="I2026" s="471"/>
    </row>
    <row r="2027" spans="1:9" ht="12.75">
      <c r="A2027" s="717"/>
      <c r="B2027" s="718"/>
      <c r="C2027" s="250"/>
      <c r="D2027" s="250"/>
      <c r="E2027" s="250"/>
      <c r="F2027" s="250"/>
      <c r="G2027" s="471"/>
      <c r="H2027" s="250"/>
      <c r="I2027" s="471"/>
    </row>
    <row r="2028" spans="1:9" ht="12.75">
      <c r="A2028" s="717"/>
      <c r="B2028" s="718"/>
      <c r="C2028" s="250"/>
      <c r="D2028" s="250"/>
      <c r="E2028" s="250"/>
      <c r="F2028" s="250"/>
      <c r="G2028" s="471"/>
      <c r="H2028" s="250"/>
      <c r="I2028" s="471"/>
    </row>
    <row r="2029" spans="1:9" ht="12.75">
      <c r="A2029" s="717"/>
      <c r="B2029" s="718"/>
      <c r="C2029" s="250"/>
      <c r="D2029" s="250"/>
      <c r="E2029" s="250"/>
      <c r="F2029" s="250"/>
      <c r="G2029" s="471"/>
      <c r="H2029" s="250"/>
      <c r="I2029" s="471"/>
    </row>
    <row r="2030" spans="1:9" ht="12.75">
      <c r="A2030" s="717"/>
      <c r="B2030" s="718"/>
      <c r="C2030" s="250"/>
      <c r="D2030" s="250"/>
      <c r="E2030" s="250"/>
      <c r="F2030" s="250"/>
      <c r="G2030" s="471"/>
      <c r="H2030" s="250"/>
      <c r="I2030" s="471"/>
    </row>
    <row r="2031" spans="1:9" ht="12.75">
      <c r="A2031" s="717"/>
      <c r="B2031" s="718"/>
      <c r="C2031" s="250"/>
      <c r="D2031" s="250"/>
      <c r="E2031" s="250"/>
      <c r="F2031" s="250"/>
      <c r="G2031" s="471"/>
      <c r="H2031" s="250"/>
      <c r="I2031" s="471"/>
    </row>
    <row r="2032" spans="1:9" ht="12.75">
      <c r="A2032" s="717"/>
      <c r="B2032" s="718"/>
      <c r="C2032" s="250"/>
      <c r="D2032" s="250"/>
      <c r="E2032" s="250"/>
      <c r="F2032" s="250"/>
      <c r="G2032" s="471"/>
      <c r="H2032" s="250"/>
      <c r="I2032" s="471"/>
    </row>
    <row r="2033" spans="1:9" ht="12.75">
      <c r="A2033" s="717"/>
      <c r="B2033" s="718"/>
      <c r="C2033" s="250"/>
      <c r="D2033" s="250"/>
      <c r="E2033" s="250"/>
      <c r="F2033" s="250"/>
      <c r="G2033" s="471"/>
      <c r="H2033" s="250"/>
      <c r="I2033" s="471"/>
    </row>
    <row r="2034" spans="1:9" ht="12.75">
      <c r="A2034" s="717"/>
      <c r="B2034" s="718"/>
      <c r="C2034" s="250"/>
      <c r="D2034" s="250"/>
      <c r="E2034" s="250"/>
      <c r="F2034" s="250"/>
      <c r="G2034" s="471"/>
      <c r="H2034" s="250"/>
      <c r="I2034" s="471"/>
    </row>
    <row r="2035" spans="1:9" ht="12.75">
      <c r="A2035" s="717"/>
      <c r="B2035" s="718"/>
      <c r="C2035" s="250"/>
      <c r="D2035" s="250"/>
      <c r="E2035" s="250"/>
      <c r="F2035" s="250"/>
      <c r="G2035" s="471"/>
      <c r="H2035" s="250"/>
      <c r="I2035" s="471"/>
    </row>
    <row r="2036" spans="1:9" ht="12.75">
      <c r="A2036" s="717"/>
      <c r="B2036" s="718"/>
      <c r="C2036" s="250"/>
      <c r="D2036" s="250"/>
      <c r="E2036" s="250"/>
      <c r="F2036" s="250"/>
      <c r="G2036" s="471"/>
      <c r="H2036" s="250"/>
      <c r="I2036" s="471"/>
    </row>
    <row r="2037" spans="1:9" ht="12.75">
      <c r="A2037" s="717"/>
      <c r="B2037" s="718"/>
      <c r="C2037" s="250"/>
      <c r="D2037" s="250"/>
      <c r="E2037" s="250"/>
      <c r="F2037" s="250"/>
      <c r="G2037" s="471"/>
      <c r="H2037" s="250"/>
      <c r="I2037" s="471"/>
    </row>
    <row r="2038" spans="1:9" ht="12.75">
      <c r="A2038" s="717"/>
      <c r="B2038" s="718"/>
      <c r="C2038" s="250"/>
      <c r="D2038" s="250"/>
      <c r="E2038" s="250"/>
      <c r="F2038" s="250"/>
      <c r="G2038" s="471"/>
      <c r="H2038" s="250"/>
      <c r="I2038" s="471"/>
    </row>
    <row r="2039" spans="1:9" ht="12.75">
      <c r="A2039" s="717"/>
      <c r="B2039" s="718"/>
      <c r="C2039" s="250"/>
      <c r="D2039" s="250"/>
      <c r="E2039" s="250"/>
      <c r="F2039" s="250"/>
      <c r="G2039" s="471"/>
      <c r="H2039" s="250"/>
      <c r="I2039" s="471"/>
    </row>
    <row r="2040" spans="1:9" ht="12.75">
      <c r="A2040" s="717"/>
      <c r="B2040" s="718"/>
      <c r="C2040" s="250"/>
      <c r="D2040" s="250"/>
      <c r="E2040" s="250"/>
      <c r="F2040" s="250"/>
      <c r="G2040" s="471"/>
      <c r="H2040" s="250"/>
      <c r="I2040" s="471"/>
    </row>
    <row r="2041" spans="1:9" ht="12.75">
      <c r="A2041" s="717"/>
      <c r="B2041" s="718"/>
      <c r="C2041" s="250"/>
      <c r="D2041" s="250"/>
      <c r="E2041" s="250"/>
      <c r="F2041" s="250"/>
      <c r="G2041" s="471"/>
      <c r="H2041" s="250"/>
      <c r="I2041" s="471"/>
    </row>
    <row r="2042" spans="1:9" ht="12.75">
      <c r="A2042" s="717"/>
      <c r="B2042" s="718"/>
      <c r="C2042" s="250"/>
      <c r="D2042" s="250"/>
      <c r="E2042" s="250"/>
      <c r="F2042" s="250"/>
      <c r="G2042" s="471"/>
      <c r="H2042" s="250"/>
      <c r="I2042" s="471"/>
    </row>
    <row r="2043" spans="1:9" ht="12.75">
      <c r="A2043" s="717"/>
      <c r="B2043" s="718"/>
      <c r="C2043" s="250"/>
      <c r="D2043" s="250"/>
      <c r="E2043" s="250"/>
      <c r="F2043" s="250"/>
      <c r="G2043" s="471"/>
      <c r="H2043" s="250"/>
      <c r="I2043" s="471"/>
    </row>
    <row r="2044" spans="1:9" ht="12.75">
      <c r="A2044" s="717"/>
      <c r="B2044" s="718"/>
      <c r="C2044" s="250"/>
      <c r="D2044" s="250"/>
      <c r="E2044" s="250"/>
      <c r="F2044" s="250"/>
      <c r="G2044" s="471"/>
      <c r="H2044" s="250"/>
      <c r="I2044" s="471"/>
    </row>
    <row r="2045" spans="1:9" ht="12.75">
      <c r="A2045" s="717"/>
      <c r="B2045" s="718"/>
      <c r="C2045" s="250"/>
      <c r="D2045" s="250"/>
      <c r="E2045" s="250"/>
      <c r="F2045" s="250"/>
      <c r="G2045" s="471"/>
      <c r="H2045" s="250"/>
      <c r="I2045" s="471"/>
    </row>
    <row r="2046" spans="1:9" ht="12.75">
      <c r="A2046" s="717"/>
      <c r="B2046" s="718"/>
      <c r="C2046" s="250"/>
      <c r="D2046" s="250"/>
      <c r="E2046" s="250"/>
      <c r="F2046" s="250"/>
      <c r="G2046" s="471"/>
      <c r="H2046" s="250"/>
      <c r="I2046" s="471"/>
    </row>
    <row r="2047" spans="1:9" ht="12.75">
      <c r="A2047" s="717"/>
      <c r="B2047" s="718"/>
      <c r="C2047" s="250"/>
      <c r="D2047" s="250"/>
      <c r="E2047" s="250"/>
      <c r="F2047" s="250"/>
      <c r="G2047" s="471"/>
      <c r="H2047" s="250"/>
      <c r="I2047" s="471"/>
    </row>
    <row r="2048" spans="1:9" ht="12.75">
      <c r="A2048" s="717"/>
      <c r="B2048" s="718"/>
      <c r="C2048" s="250"/>
      <c r="D2048" s="250"/>
      <c r="E2048" s="250"/>
      <c r="F2048" s="250"/>
      <c r="G2048" s="471"/>
      <c r="H2048" s="250"/>
      <c r="I2048" s="471"/>
    </row>
    <row r="2049" spans="1:9" ht="12.75">
      <c r="A2049" s="717"/>
      <c r="B2049" s="718"/>
      <c r="C2049" s="250"/>
      <c r="D2049" s="250"/>
      <c r="E2049" s="250"/>
      <c r="F2049" s="250"/>
      <c r="G2049" s="471"/>
      <c r="H2049" s="250"/>
      <c r="I2049" s="471"/>
    </row>
    <row r="2050" spans="1:9" ht="12.75">
      <c r="A2050" s="717"/>
      <c r="B2050" s="718"/>
      <c r="C2050" s="250"/>
      <c r="D2050" s="250"/>
      <c r="E2050" s="250"/>
      <c r="F2050" s="250"/>
      <c r="G2050" s="471"/>
      <c r="H2050" s="250"/>
      <c r="I2050" s="471"/>
    </row>
    <row r="2051" spans="1:9" ht="12.75">
      <c r="A2051" s="717"/>
      <c r="B2051" s="718"/>
      <c r="C2051" s="250"/>
      <c r="D2051" s="250"/>
      <c r="E2051" s="250"/>
      <c r="F2051" s="250"/>
      <c r="G2051" s="471"/>
      <c r="H2051" s="250"/>
      <c r="I2051" s="471"/>
    </row>
    <row r="2052" spans="1:9" ht="12.75">
      <c r="A2052" s="717"/>
      <c r="B2052" s="718"/>
      <c r="C2052" s="250"/>
      <c r="D2052" s="250"/>
      <c r="E2052" s="250"/>
      <c r="F2052" s="250"/>
      <c r="G2052" s="471"/>
      <c r="H2052" s="250"/>
      <c r="I2052" s="471"/>
    </row>
    <row r="2053" spans="1:9" ht="12.75">
      <c r="A2053" s="717"/>
      <c r="B2053" s="718"/>
      <c r="C2053" s="250"/>
      <c r="D2053" s="250"/>
      <c r="E2053" s="250"/>
      <c r="F2053" s="250"/>
      <c r="G2053" s="471"/>
      <c r="H2053" s="250"/>
      <c r="I2053" s="471"/>
    </row>
    <row r="2054" spans="1:9" ht="12.75">
      <c r="A2054" s="717"/>
      <c r="B2054" s="718"/>
      <c r="C2054" s="250"/>
      <c r="D2054" s="250"/>
      <c r="E2054" s="250"/>
      <c r="F2054" s="250"/>
      <c r="G2054" s="471"/>
      <c r="H2054" s="250"/>
      <c r="I2054" s="471"/>
    </row>
    <row r="2055" spans="1:9" ht="12.75">
      <c r="A2055" s="717"/>
      <c r="B2055" s="718"/>
      <c r="C2055" s="250"/>
      <c r="D2055" s="250"/>
      <c r="E2055" s="250"/>
      <c r="F2055" s="250"/>
      <c r="G2055" s="471"/>
      <c r="H2055" s="250"/>
      <c r="I2055" s="471"/>
    </row>
    <row r="2056" spans="1:9" ht="12.75">
      <c r="A2056" s="717"/>
      <c r="B2056" s="718"/>
      <c r="C2056" s="250"/>
      <c r="D2056" s="250"/>
      <c r="E2056" s="250"/>
      <c r="F2056" s="250"/>
      <c r="G2056" s="471"/>
      <c r="H2056" s="250"/>
      <c r="I2056" s="471"/>
    </row>
    <row r="2057" spans="1:9" ht="12.75">
      <c r="A2057" s="717"/>
      <c r="B2057" s="718"/>
      <c r="C2057" s="250"/>
      <c r="D2057" s="250"/>
      <c r="E2057" s="250"/>
      <c r="F2057" s="250"/>
      <c r="G2057" s="471"/>
      <c r="H2057" s="250"/>
      <c r="I2057" s="471"/>
    </row>
    <row r="2058" spans="1:9" ht="12.75">
      <c r="A2058" s="717"/>
      <c r="B2058" s="718"/>
      <c r="C2058" s="250"/>
      <c r="D2058" s="250"/>
      <c r="E2058" s="250"/>
      <c r="F2058" s="250"/>
      <c r="G2058" s="471"/>
      <c r="H2058" s="250"/>
      <c r="I2058" s="471"/>
    </row>
    <row r="2059" spans="1:9" ht="12.75">
      <c r="A2059" s="717"/>
      <c r="B2059" s="718"/>
      <c r="C2059" s="250"/>
      <c r="D2059" s="250"/>
      <c r="E2059" s="250"/>
      <c r="F2059" s="250"/>
      <c r="G2059" s="471"/>
      <c r="H2059" s="250"/>
      <c r="I2059" s="471"/>
    </row>
    <row r="2060" spans="1:9" ht="12.75">
      <c r="A2060" s="717"/>
      <c r="B2060" s="718"/>
      <c r="C2060" s="250"/>
      <c r="D2060" s="250"/>
      <c r="E2060" s="250"/>
      <c r="F2060" s="250"/>
      <c r="G2060" s="471"/>
      <c r="H2060" s="250"/>
      <c r="I2060" s="471"/>
    </row>
    <row r="2061" spans="1:9" ht="12.75">
      <c r="A2061" s="717"/>
      <c r="B2061" s="718"/>
      <c r="C2061" s="250"/>
      <c r="D2061" s="250"/>
      <c r="E2061" s="250"/>
      <c r="F2061" s="250"/>
      <c r="G2061" s="471"/>
      <c r="H2061" s="250"/>
      <c r="I2061" s="471"/>
    </row>
    <row r="2062" spans="1:9" ht="12.75">
      <c r="A2062" s="717"/>
      <c r="B2062" s="718"/>
      <c r="C2062" s="250"/>
      <c r="D2062" s="250"/>
      <c r="E2062" s="250"/>
      <c r="F2062" s="250"/>
      <c r="G2062" s="471"/>
      <c r="H2062" s="250"/>
      <c r="I2062" s="471"/>
    </row>
    <row r="2063" spans="1:9" ht="12.75">
      <c r="A2063" s="717"/>
      <c r="B2063" s="718"/>
      <c r="C2063" s="250"/>
      <c r="D2063" s="250"/>
      <c r="E2063" s="250"/>
      <c r="F2063" s="250"/>
      <c r="G2063" s="471"/>
      <c r="H2063" s="250"/>
      <c r="I2063" s="471"/>
    </row>
    <row r="2064" spans="1:9" ht="12.75">
      <c r="A2064" s="717"/>
      <c r="B2064" s="718"/>
      <c r="C2064" s="250"/>
      <c r="D2064" s="250"/>
      <c r="E2064" s="250"/>
      <c r="F2064" s="250"/>
      <c r="G2064" s="471"/>
      <c r="H2064" s="250"/>
      <c r="I2064" s="471"/>
    </row>
    <row r="2065" spans="1:9" ht="12.75">
      <c r="A2065" s="717"/>
      <c r="B2065" s="718"/>
      <c r="C2065" s="250"/>
      <c r="D2065" s="250"/>
      <c r="E2065" s="250"/>
      <c r="F2065" s="250"/>
      <c r="G2065" s="471"/>
      <c r="H2065" s="250"/>
      <c r="I2065" s="471"/>
    </row>
    <row r="2066" spans="1:9" ht="12.75">
      <c r="A2066" s="717"/>
      <c r="B2066" s="718"/>
      <c r="C2066" s="250"/>
      <c r="D2066" s="250"/>
      <c r="E2066" s="250"/>
      <c r="F2066" s="250"/>
      <c r="G2066" s="471"/>
      <c r="H2066" s="250"/>
      <c r="I2066" s="471"/>
    </row>
    <row r="2067" spans="1:9" ht="12.75">
      <c r="A2067" s="717"/>
      <c r="B2067" s="718"/>
      <c r="C2067" s="250"/>
      <c r="D2067" s="250"/>
      <c r="E2067" s="250"/>
      <c r="F2067" s="250"/>
      <c r="G2067" s="471"/>
      <c r="H2067" s="250"/>
      <c r="I2067" s="471"/>
    </row>
    <row r="2068" spans="1:9" ht="12.75">
      <c r="A2068" s="717"/>
      <c r="B2068" s="718"/>
      <c r="C2068" s="250"/>
      <c r="D2068" s="250"/>
      <c r="E2068" s="250"/>
      <c r="F2068" s="250"/>
      <c r="G2068" s="471"/>
      <c r="H2068" s="250"/>
      <c r="I2068" s="471"/>
    </row>
    <row r="2069" spans="1:9" ht="12.75">
      <c r="A2069" s="717"/>
      <c r="B2069" s="718"/>
      <c r="C2069" s="250"/>
      <c r="D2069" s="250"/>
      <c r="E2069" s="250"/>
      <c r="F2069" s="250"/>
      <c r="G2069" s="471"/>
      <c r="H2069" s="250"/>
      <c r="I2069" s="471"/>
    </row>
    <row r="2070" spans="1:9" ht="12.75">
      <c r="A2070" s="717"/>
      <c r="B2070" s="718"/>
      <c r="C2070" s="250"/>
      <c r="D2070" s="250"/>
      <c r="E2070" s="250"/>
      <c r="F2070" s="250"/>
      <c r="G2070" s="471"/>
      <c r="H2070" s="250"/>
      <c r="I2070" s="471"/>
    </row>
    <row r="2071" spans="1:9" ht="12.75">
      <c r="A2071" s="717"/>
      <c r="B2071" s="718"/>
      <c r="C2071" s="250"/>
      <c r="D2071" s="250"/>
      <c r="E2071" s="250"/>
      <c r="F2071" s="250"/>
      <c r="G2071" s="471"/>
      <c r="H2071" s="250"/>
      <c r="I2071" s="471"/>
    </row>
    <row r="2072" spans="1:9" ht="12.75">
      <c r="A2072" s="717"/>
      <c r="B2072" s="718"/>
      <c r="C2072" s="250"/>
      <c r="D2072" s="250"/>
      <c r="E2072" s="250"/>
      <c r="F2072" s="250"/>
      <c r="G2072" s="471"/>
      <c r="H2072" s="250"/>
      <c r="I2072" s="471"/>
    </row>
    <row r="2073" spans="1:9" ht="12.75">
      <c r="A2073" s="717"/>
      <c r="B2073" s="718"/>
      <c r="C2073" s="250"/>
      <c r="D2073" s="250"/>
      <c r="E2073" s="250"/>
      <c r="F2073" s="250"/>
      <c r="G2073" s="471"/>
      <c r="H2073" s="250"/>
      <c r="I2073" s="471"/>
    </row>
    <row r="2074" spans="1:9" ht="12.75">
      <c r="A2074" s="717"/>
      <c r="B2074" s="718"/>
      <c r="C2074" s="250"/>
      <c r="D2074" s="250"/>
      <c r="E2074" s="250"/>
      <c r="F2074" s="250"/>
      <c r="G2074" s="471"/>
      <c r="H2074" s="250"/>
      <c r="I2074" s="471"/>
    </row>
    <row r="2075" spans="1:9" ht="12.75">
      <c r="A2075" s="717"/>
      <c r="B2075" s="718"/>
      <c r="C2075" s="250"/>
      <c r="D2075" s="250"/>
      <c r="E2075" s="250"/>
      <c r="F2075" s="250"/>
      <c r="G2075" s="471"/>
      <c r="H2075" s="250"/>
      <c r="I2075" s="471"/>
    </row>
    <row r="2076" spans="1:9" ht="12.75">
      <c r="A2076" s="717"/>
      <c r="B2076" s="718"/>
      <c r="C2076" s="250"/>
      <c r="D2076" s="250"/>
      <c r="E2076" s="250"/>
      <c r="F2076" s="250"/>
      <c r="G2076" s="471"/>
      <c r="H2076" s="250"/>
      <c r="I2076" s="471"/>
    </row>
    <row r="2077" spans="1:9" ht="12.75">
      <c r="A2077" s="717"/>
      <c r="B2077" s="718"/>
      <c r="C2077" s="250"/>
      <c r="D2077" s="250"/>
      <c r="E2077" s="250"/>
      <c r="F2077" s="250"/>
      <c r="G2077" s="471"/>
      <c r="H2077" s="250"/>
      <c r="I2077" s="471"/>
    </row>
    <row r="2078" spans="1:9" ht="12.75">
      <c r="A2078" s="717"/>
      <c r="B2078" s="718"/>
      <c r="C2078" s="250"/>
      <c r="D2078" s="250"/>
      <c r="E2078" s="250"/>
      <c r="F2078" s="250"/>
      <c r="G2078" s="471"/>
      <c r="H2078" s="250"/>
      <c r="I2078" s="471"/>
    </row>
    <row r="2079" spans="1:9" ht="12.75">
      <c r="A2079" s="717"/>
      <c r="B2079" s="718"/>
      <c r="C2079" s="250"/>
      <c r="D2079" s="250"/>
      <c r="E2079" s="250"/>
      <c r="F2079" s="250"/>
      <c r="G2079" s="471"/>
      <c r="H2079" s="250"/>
      <c r="I2079" s="471"/>
    </row>
    <row r="2080" spans="1:9" ht="12.75">
      <c r="A2080" s="717"/>
      <c r="B2080" s="718"/>
      <c r="C2080" s="250"/>
      <c r="D2080" s="250"/>
      <c r="E2080" s="250"/>
      <c r="F2080" s="250"/>
      <c r="G2080" s="471"/>
      <c r="H2080" s="250"/>
      <c r="I2080" s="471"/>
    </row>
    <row r="2081" spans="1:9" ht="12.75">
      <c r="A2081" s="717"/>
      <c r="B2081" s="718"/>
      <c r="C2081" s="250"/>
      <c r="D2081" s="250"/>
      <c r="E2081" s="250"/>
      <c r="F2081" s="250"/>
      <c r="G2081" s="471"/>
      <c r="H2081" s="250"/>
      <c r="I2081" s="471"/>
    </row>
    <row r="2082" spans="1:9" ht="12.75">
      <c r="A2082" s="717"/>
      <c r="B2082" s="718"/>
      <c r="C2082" s="250"/>
      <c r="D2082" s="250"/>
      <c r="E2082" s="250"/>
      <c r="F2082" s="250"/>
      <c r="G2082" s="471"/>
      <c r="H2082" s="250"/>
      <c r="I2082" s="471"/>
    </row>
    <row r="2083" spans="1:9" ht="12.75">
      <c r="A2083" s="717"/>
      <c r="B2083" s="718"/>
      <c r="C2083" s="250"/>
      <c r="D2083" s="250"/>
      <c r="E2083" s="250"/>
      <c r="F2083" s="250"/>
      <c r="G2083" s="471"/>
      <c r="H2083" s="250"/>
      <c r="I2083" s="471"/>
    </row>
    <row r="2084" spans="1:9" ht="12.75">
      <c r="A2084" s="717"/>
      <c r="B2084" s="718"/>
      <c r="C2084" s="250"/>
      <c r="D2084" s="250"/>
      <c r="E2084" s="250"/>
      <c r="F2084" s="250"/>
      <c r="G2084" s="471"/>
      <c r="H2084" s="250"/>
      <c r="I2084" s="471"/>
    </row>
    <row r="2085" spans="1:9" ht="12.75">
      <c r="A2085" s="717"/>
      <c r="B2085" s="718"/>
      <c r="C2085" s="250"/>
      <c r="D2085" s="250"/>
      <c r="E2085" s="250"/>
      <c r="F2085" s="250"/>
      <c r="G2085" s="471"/>
      <c r="H2085" s="250"/>
      <c r="I2085" s="471"/>
    </row>
    <row r="2086" spans="1:9" ht="12.75">
      <c r="A2086" s="717"/>
      <c r="B2086" s="718"/>
      <c r="C2086" s="250"/>
      <c r="D2086" s="250"/>
      <c r="E2086" s="250"/>
      <c r="F2086" s="250"/>
      <c r="G2086" s="471"/>
      <c r="H2086" s="250"/>
      <c r="I2086" s="471"/>
    </row>
    <row r="2087" spans="1:9" ht="12.75">
      <c r="A2087" s="717"/>
      <c r="B2087" s="718"/>
      <c r="C2087" s="250"/>
      <c r="D2087" s="250"/>
      <c r="E2087" s="250"/>
      <c r="F2087" s="250"/>
      <c r="G2087" s="471"/>
      <c r="H2087" s="250"/>
      <c r="I2087" s="471"/>
    </row>
    <row r="2088" spans="1:9" ht="12.75">
      <c r="A2088" s="717"/>
      <c r="B2088" s="718"/>
      <c r="C2088" s="250"/>
      <c r="D2088" s="250"/>
      <c r="E2088" s="250"/>
      <c r="F2088" s="250"/>
      <c r="G2088" s="471"/>
      <c r="H2088" s="250"/>
      <c r="I2088" s="471"/>
    </row>
    <row r="2089" spans="1:9" ht="12.75">
      <c r="A2089" s="717"/>
      <c r="B2089" s="718"/>
      <c r="C2089" s="250"/>
      <c r="D2089" s="250"/>
      <c r="E2089" s="250"/>
      <c r="F2089" s="250"/>
      <c r="G2089" s="471"/>
      <c r="H2089" s="250"/>
      <c r="I2089" s="471"/>
    </row>
    <row r="2090" spans="1:9" ht="12.75">
      <c r="A2090" s="717"/>
      <c r="B2090" s="718"/>
      <c r="C2090" s="250"/>
      <c r="D2090" s="250"/>
      <c r="E2090" s="250"/>
      <c r="F2090" s="250"/>
      <c r="G2090" s="471"/>
      <c r="H2090" s="250"/>
      <c r="I2090" s="471"/>
    </row>
    <row r="2091" spans="1:9" ht="12.75">
      <c r="A2091" s="717"/>
      <c r="B2091" s="718"/>
      <c r="C2091" s="250"/>
      <c r="D2091" s="250"/>
      <c r="E2091" s="250"/>
      <c r="F2091" s="250"/>
      <c r="G2091" s="471"/>
      <c r="H2091" s="250"/>
      <c r="I2091" s="471"/>
    </row>
    <row r="2092" spans="1:9" ht="12.75">
      <c r="A2092" s="717"/>
      <c r="B2092" s="718"/>
      <c r="C2092" s="250"/>
      <c r="D2092" s="250"/>
      <c r="E2092" s="250"/>
      <c r="F2092" s="250"/>
      <c r="G2092" s="471"/>
      <c r="H2092" s="250"/>
      <c r="I2092" s="471"/>
    </row>
    <row r="2093" spans="1:9" ht="12.75">
      <c r="A2093" s="717"/>
      <c r="B2093" s="718"/>
      <c r="C2093" s="250"/>
      <c r="D2093" s="250"/>
      <c r="E2093" s="250"/>
      <c r="F2093" s="250"/>
      <c r="G2093" s="471"/>
      <c r="H2093" s="250"/>
      <c r="I2093" s="471"/>
    </row>
    <row r="2094" spans="1:9" ht="12.75">
      <c r="A2094" s="717"/>
      <c r="B2094" s="718"/>
      <c r="C2094" s="250"/>
      <c r="D2094" s="250"/>
      <c r="E2094" s="250"/>
      <c r="F2094" s="250"/>
      <c r="G2094" s="471"/>
      <c r="H2094" s="250"/>
      <c r="I2094" s="471"/>
    </row>
    <row r="2095" spans="1:9" ht="12.75">
      <c r="A2095" s="717"/>
      <c r="B2095" s="718"/>
      <c r="C2095" s="250"/>
      <c r="D2095" s="250"/>
      <c r="E2095" s="250"/>
      <c r="F2095" s="250"/>
      <c r="G2095" s="471"/>
      <c r="H2095" s="250"/>
      <c r="I2095" s="471"/>
    </row>
    <row r="2096" spans="1:9" ht="12.75">
      <c r="A2096" s="717"/>
      <c r="B2096" s="718"/>
      <c r="C2096" s="250"/>
      <c r="D2096" s="250"/>
      <c r="E2096" s="250"/>
      <c r="F2096" s="250"/>
      <c r="G2096" s="471"/>
      <c r="H2096" s="250"/>
      <c r="I2096" s="471"/>
    </row>
    <row r="2097" spans="1:9" ht="12.75">
      <c r="A2097" s="717"/>
      <c r="B2097" s="718"/>
      <c r="C2097" s="250"/>
      <c r="D2097" s="250"/>
      <c r="E2097" s="250"/>
      <c r="F2097" s="250"/>
      <c r="G2097" s="471"/>
      <c r="H2097" s="250"/>
      <c r="I2097" s="471"/>
    </row>
    <row r="2098" spans="1:9" ht="12.75">
      <c r="A2098" s="717"/>
      <c r="B2098" s="718"/>
      <c r="C2098" s="250"/>
      <c r="D2098" s="250"/>
      <c r="E2098" s="250"/>
      <c r="F2098" s="250"/>
      <c r="G2098" s="471"/>
      <c r="H2098" s="250"/>
      <c r="I2098" s="471"/>
    </row>
    <row r="2099" spans="1:9" ht="12.75">
      <c r="A2099" s="717"/>
      <c r="B2099" s="718"/>
      <c r="C2099" s="250"/>
      <c r="D2099" s="250"/>
      <c r="E2099" s="250"/>
      <c r="F2099" s="250"/>
      <c r="G2099" s="471"/>
      <c r="H2099" s="250"/>
      <c r="I2099" s="471"/>
    </row>
    <row r="2100" spans="1:9" ht="12.75">
      <c r="A2100" s="717"/>
      <c r="B2100" s="718"/>
      <c r="C2100" s="250"/>
      <c r="D2100" s="250"/>
      <c r="E2100" s="250"/>
      <c r="F2100" s="250"/>
      <c r="G2100" s="471"/>
      <c r="H2100" s="250"/>
      <c r="I2100" s="471"/>
    </row>
    <row r="2101" spans="1:9" ht="12.75">
      <c r="A2101" s="717"/>
      <c r="B2101" s="718"/>
      <c r="C2101" s="250"/>
      <c r="D2101" s="250"/>
      <c r="E2101" s="250"/>
      <c r="F2101" s="250"/>
      <c r="G2101" s="471"/>
      <c r="H2101" s="250"/>
      <c r="I2101" s="471"/>
    </row>
    <row r="2102" spans="1:9" ht="12.75">
      <c r="A2102" s="717"/>
      <c r="B2102" s="718"/>
      <c r="C2102" s="250"/>
      <c r="D2102" s="250"/>
      <c r="E2102" s="250"/>
      <c r="F2102" s="250"/>
      <c r="G2102" s="471"/>
      <c r="H2102" s="250"/>
      <c r="I2102" s="471"/>
    </row>
    <row r="2103" spans="1:9" ht="12.75">
      <c r="A2103" s="717"/>
      <c r="B2103" s="718"/>
      <c r="C2103" s="250"/>
      <c r="D2103" s="250"/>
      <c r="E2103" s="250"/>
      <c r="F2103" s="250"/>
      <c r="G2103" s="471"/>
      <c r="H2103" s="250"/>
      <c r="I2103" s="471"/>
    </row>
    <row r="2104" spans="1:9" ht="12.75">
      <c r="A2104" s="717"/>
      <c r="B2104" s="718"/>
      <c r="C2104" s="250"/>
      <c r="D2104" s="250"/>
      <c r="E2104" s="250"/>
      <c r="F2104" s="250"/>
      <c r="G2104" s="471"/>
      <c r="H2104" s="250"/>
      <c r="I2104" s="471"/>
    </row>
    <row r="2105" spans="1:9" ht="12.75">
      <c r="A2105" s="717"/>
      <c r="B2105" s="718"/>
      <c r="C2105" s="250"/>
      <c r="D2105" s="250"/>
      <c r="E2105" s="250"/>
      <c r="F2105" s="250"/>
      <c r="G2105" s="471"/>
      <c r="H2105" s="250"/>
      <c r="I2105" s="471"/>
    </row>
    <row r="2106" spans="1:9" ht="12.75">
      <c r="A2106" s="717"/>
      <c r="B2106" s="718"/>
      <c r="C2106" s="250"/>
      <c r="D2106" s="250"/>
      <c r="E2106" s="250"/>
      <c r="F2106" s="250"/>
      <c r="G2106" s="471"/>
      <c r="H2106" s="250"/>
      <c r="I2106" s="471"/>
    </row>
    <row r="2107" spans="1:9" ht="12.75">
      <c r="A2107" s="717"/>
      <c r="B2107" s="718"/>
      <c r="C2107" s="250"/>
      <c r="D2107" s="250"/>
      <c r="E2107" s="250"/>
      <c r="F2107" s="250"/>
      <c r="G2107" s="471"/>
      <c r="H2107" s="250"/>
      <c r="I2107" s="471"/>
    </row>
    <row r="2108" spans="1:9" ht="12.75">
      <c r="A2108" s="717"/>
      <c r="B2108" s="718"/>
      <c r="C2108" s="250"/>
      <c r="D2108" s="250"/>
      <c r="E2108" s="250"/>
      <c r="F2108" s="250"/>
      <c r="G2108" s="471"/>
      <c r="H2108" s="250"/>
      <c r="I2108" s="471"/>
    </row>
    <row r="2109" spans="1:9" ht="12.75">
      <c r="A2109" s="717"/>
      <c r="B2109" s="718"/>
      <c r="C2109" s="250"/>
      <c r="D2109" s="250"/>
      <c r="E2109" s="250"/>
      <c r="F2109" s="250"/>
      <c r="G2109" s="471"/>
      <c r="H2109" s="250"/>
      <c r="I2109" s="471"/>
    </row>
    <row r="2110" spans="1:9" ht="12.75">
      <c r="A2110" s="717"/>
      <c r="B2110" s="718"/>
      <c r="C2110" s="250"/>
      <c r="D2110" s="250"/>
      <c r="E2110" s="250"/>
      <c r="F2110" s="250"/>
      <c r="G2110" s="471"/>
      <c r="H2110" s="250"/>
      <c r="I2110" s="471"/>
    </row>
    <row r="2111" spans="1:9" ht="12.75">
      <c r="A2111" s="717"/>
      <c r="B2111" s="718"/>
      <c r="C2111" s="250"/>
      <c r="D2111" s="250"/>
      <c r="E2111" s="250"/>
      <c r="F2111" s="250"/>
      <c r="G2111" s="471"/>
      <c r="H2111" s="250"/>
      <c r="I2111" s="471"/>
    </row>
    <row r="2112" spans="1:9" ht="12.75">
      <c r="A2112" s="717"/>
      <c r="B2112" s="718"/>
      <c r="C2112" s="250"/>
      <c r="D2112" s="250"/>
      <c r="E2112" s="250"/>
      <c r="F2112" s="250"/>
      <c r="G2112" s="471"/>
      <c r="H2112" s="250"/>
      <c r="I2112" s="471"/>
    </row>
    <row r="2113" spans="1:9" ht="12.75">
      <c r="A2113" s="717"/>
      <c r="B2113" s="718"/>
      <c r="C2113" s="250"/>
      <c r="D2113" s="250"/>
      <c r="E2113" s="250"/>
      <c r="F2113" s="250"/>
      <c r="G2113" s="471"/>
      <c r="H2113" s="250"/>
      <c r="I2113" s="471"/>
    </row>
    <row r="2114" spans="1:9" ht="12.75">
      <c r="A2114" s="717"/>
      <c r="B2114" s="718"/>
      <c r="C2114" s="250"/>
      <c r="D2114" s="250"/>
      <c r="E2114" s="250"/>
      <c r="F2114" s="250"/>
      <c r="G2114" s="471"/>
      <c r="H2114" s="250"/>
      <c r="I2114" s="471"/>
    </row>
    <row r="2115" spans="1:9" ht="12.75">
      <c r="A2115" s="717"/>
      <c r="B2115" s="718"/>
      <c r="C2115" s="250"/>
      <c r="D2115" s="250"/>
      <c r="E2115" s="250"/>
      <c r="F2115" s="250"/>
      <c r="G2115" s="471"/>
      <c r="H2115" s="250"/>
      <c r="I2115" s="471"/>
    </row>
    <row r="2116" spans="1:9" ht="12.75">
      <c r="A2116" s="717"/>
      <c r="B2116" s="718"/>
      <c r="C2116" s="250"/>
      <c r="D2116" s="250"/>
      <c r="E2116" s="250"/>
      <c r="F2116" s="250"/>
      <c r="G2116" s="471"/>
      <c r="H2116" s="250"/>
      <c r="I2116" s="471"/>
    </row>
    <row r="2117" spans="1:9" ht="12.75">
      <c r="A2117" s="717"/>
      <c r="B2117" s="718"/>
      <c r="C2117" s="250"/>
      <c r="D2117" s="250"/>
      <c r="E2117" s="250"/>
      <c r="F2117" s="250"/>
      <c r="G2117" s="471"/>
      <c r="H2117" s="250"/>
      <c r="I2117" s="471"/>
    </row>
    <row r="2118" spans="1:9" ht="12.75">
      <c r="A2118" s="717"/>
      <c r="B2118" s="718"/>
      <c r="C2118" s="250"/>
      <c r="D2118" s="250"/>
      <c r="E2118" s="250"/>
      <c r="F2118" s="250"/>
      <c r="G2118" s="471"/>
      <c r="H2118" s="250"/>
      <c r="I2118" s="471"/>
    </row>
    <row r="2119" spans="1:9" ht="12.75">
      <c r="A2119" s="717"/>
      <c r="B2119" s="718"/>
      <c r="C2119" s="250"/>
      <c r="D2119" s="250"/>
      <c r="E2119" s="250"/>
      <c r="F2119" s="250"/>
      <c r="G2119" s="471"/>
      <c r="H2119" s="250"/>
      <c r="I2119" s="471"/>
    </row>
    <row r="2120" spans="1:9" ht="12.75">
      <c r="A2120" s="717"/>
      <c r="B2120" s="718"/>
      <c r="C2120" s="250"/>
      <c r="D2120" s="250"/>
      <c r="E2120" s="250"/>
      <c r="F2120" s="250"/>
      <c r="G2120" s="471"/>
      <c r="H2120" s="250"/>
      <c r="I2120" s="471"/>
    </row>
    <row r="2121" spans="1:9" ht="12.75">
      <c r="A2121" s="717"/>
      <c r="B2121" s="718"/>
      <c r="C2121" s="250"/>
      <c r="D2121" s="250"/>
      <c r="E2121" s="250"/>
      <c r="F2121" s="250"/>
      <c r="G2121" s="471"/>
      <c r="H2121" s="250"/>
      <c r="I2121" s="471"/>
    </row>
    <row r="2122" spans="1:9" ht="12.75">
      <c r="A2122" s="717"/>
      <c r="B2122" s="718"/>
      <c r="C2122" s="250"/>
      <c r="D2122" s="250"/>
      <c r="E2122" s="250"/>
      <c r="F2122" s="250"/>
      <c r="G2122" s="471"/>
      <c r="H2122" s="250"/>
      <c r="I2122" s="471"/>
    </row>
    <row r="2123" spans="1:9" ht="12.75">
      <c r="A2123" s="717"/>
      <c r="B2123" s="718"/>
      <c r="C2123" s="250"/>
      <c r="D2123" s="250"/>
      <c r="E2123" s="250"/>
      <c r="F2123" s="250"/>
      <c r="G2123" s="471"/>
      <c r="H2123" s="250"/>
      <c r="I2123" s="471"/>
    </row>
    <row r="2124" spans="1:9" ht="12.75">
      <c r="A2124" s="717"/>
      <c r="B2124" s="718"/>
      <c r="C2124" s="250"/>
      <c r="D2124" s="250"/>
      <c r="E2124" s="250"/>
      <c r="F2124" s="250"/>
      <c r="G2124" s="471"/>
      <c r="H2124" s="250"/>
      <c r="I2124" s="471"/>
    </row>
    <row r="2125" spans="1:9" ht="12.75">
      <c r="A2125" s="717"/>
      <c r="B2125" s="718"/>
      <c r="C2125" s="250"/>
      <c r="D2125" s="250"/>
      <c r="E2125" s="250"/>
      <c r="F2125" s="250"/>
      <c r="G2125" s="471"/>
      <c r="H2125" s="250"/>
      <c r="I2125" s="471"/>
    </row>
    <row r="2126" spans="1:9" ht="12.75">
      <c r="A2126" s="717"/>
      <c r="B2126" s="718"/>
      <c r="C2126" s="250"/>
      <c r="D2126" s="250"/>
      <c r="E2126" s="250"/>
      <c r="F2126" s="250"/>
      <c r="G2126" s="471"/>
      <c r="H2126" s="250"/>
      <c r="I2126" s="471"/>
    </row>
    <row r="2127" spans="1:9" ht="12.75">
      <c r="A2127" s="717"/>
      <c r="B2127" s="718"/>
      <c r="C2127" s="250"/>
      <c r="D2127" s="250"/>
      <c r="E2127" s="250"/>
      <c r="F2127" s="250"/>
      <c r="G2127" s="471"/>
      <c r="H2127" s="250"/>
      <c r="I2127" s="471"/>
    </row>
    <row r="2128" spans="1:9" ht="12.75">
      <c r="A2128" s="717"/>
      <c r="B2128" s="718"/>
      <c r="C2128" s="250"/>
      <c r="D2128" s="250"/>
      <c r="E2128" s="250"/>
      <c r="F2128" s="250"/>
      <c r="G2128" s="471"/>
      <c r="H2128" s="250"/>
      <c r="I2128" s="471"/>
    </row>
    <row r="2129" spans="1:9" ht="12.75">
      <c r="A2129" s="717"/>
      <c r="B2129" s="718"/>
      <c r="C2129" s="250"/>
      <c r="D2129" s="250"/>
      <c r="E2129" s="250"/>
      <c r="F2129" s="250"/>
      <c r="G2129" s="471"/>
      <c r="H2129" s="250"/>
      <c r="I2129" s="471"/>
    </row>
    <row r="2130" spans="1:9" ht="12.75">
      <c r="A2130" s="717"/>
      <c r="B2130" s="718"/>
      <c r="C2130" s="250"/>
      <c r="D2130" s="250"/>
      <c r="E2130" s="250"/>
      <c r="F2130" s="250"/>
      <c r="G2130" s="471"/>
      <c r="H2130" s="250"/>
      <c r="I2130" s="471"/>
    </row>
    <row r="2131" spans="1:9" ht="12.75">
      <c r="A2131" s="717"/>
      <c r="B2131" s="718"/>
      <c r="C2131" s="250"/>
      <c r="D2131" s="250"/>
      <c r="E2131" s="250"/>
      <c r="F2131" s="250"/>
      <c r="G2131" s="471"/>
      <c r="H2131" s="250"/>
      <c r="I2131" s="471"/>
    </row>
    <row r="2132" spans="1:9" ht="12.75">
      <c r="A2132" s="717"/>
      <c r="B2132" s="718"/>
      <c r="C2132" s="250"/>
      <c r="D2132" s="250"/>
      <c r="E2132" s="250"/>
      <c r="F2132" s="250"/>
      <c r="G2132" s="471"/>
      <c r="H2132" s="250"/>
      <c r="I2132" s="471"/>
    </row>
    <row r="2133" spans="1:9" ht="12.75">
      <c r="A2133" s="717"/>
      <c r="B2133" s="718"/>
      <c r="C2133" s="250"/>
      <c r="D2133" s="250"/>
      <c r="E2133" s="250"/>
      <c r="F2133" s="250"/>
      <c r="G2133" s="471"/>
      <c r="H2133" s="250"/>
      <c r="I2133" s="471"/>
    </row>
    <row r="2134" spans="1:9" ht="12.75">
      <c r="A2134" s="717"/>
      <c r="B2134" s="718"/>
      <c r="C2134" s="250"/>
      <c r="D2134" s="250"/>
      <c r="E2134" s="250"/>
      <c r="F2134" s="250"/>
      <c r="G2134" s="471"/>
      <c r="H2134" s="250"/>
      <c r="I2134" s="471"/>
    </row>
    <row r="2135" spans="1:9" ht="12.75">
      <c r="A2135" s="717"/>
      <c r="B2135" s="718"/>
      <c r="C2135" s="250"/>
      <c r="D2135" s="250"/>
      <c r="E2135" s="250"/>
      <c r="F2135" s="250"/>
      <c r="G2135" s="471"/>
      <c r="H2135" s="250"/>
      <c r="I2135" s="471"/>
    </row>
    <row r="2136" spans="1:9" ht="12.75">
      <c r="A2136" s="717"/>
      <c r="B2136" s="718"/>
      <c r="C2136" s="250"/>
      <c r="D2136" s="250"/>
      <c r="E2136" s="250"/>
      <c r="F2136" s="250"/>
      <c r="G2136" s="471"/>
      <c r="H2136" s="250"/>
      <c r="I2136" s="471"/>
    </row>
    <row r="2137" spans="1:9" ht="12.75">
      <c r="A2137" s="717"/>
      <c r="B2137" s="718"/>
      <c r="C2137" s="250"/>
      <c r="D2137" s="250"/>
      <c r="E2137" s="250"/>
      <c r="F2137" s="250"/>
      <c r="G2137" s="471"/>
      <c r="H2137" s="250"/>
      <c r="I2137" s="471"/>
    </row>
    <row r="2138" spans="1:9" ht="12.75">
      <c r="A2138" s="717"/>
      <c r="B2138" s="718"/>
      <c r="C2138" s="250"/>
      <c r="D2138" s="250"/>
      <c r="E2138" s="250"/>
      <c r="F2138" s="250"/>
      <c r="G2138" s="471"/>
      <c r="H2138" s="250"/>
      <c r="I2138" s="471"/>
    </row>
    <row r="2139" spans="1:9" ht="12.75">
      <c r="A2139" s="717"/>
      <c r="B2139" s="718"/>
      <c r="C2139" s="250"/>
      <c r="D2139" s="250"/>
      <c r="E2139" s="250"/>
      <c r="F2139" s="250"/>
      <c r="G2139" s="471"/>
      <c r="H2139" s="250"/>
      <c r="I2139" s="471"/>
    </row>
    <row r="2140" spans="1:9" ht="12.75">
      <c r="A2140" s="717"/>
      <c r="B2140" s="718"/>
      <c r="C2140" s="250"/>
      <c r="D2140" s="250"/>
      <c r="E2140" s="250"/>
      <c r="F2140" s="250"/>
      <c r="G2140" s="471"/>
      <c r="H2140" s="250"/>
      <c r="I2140" s="471"/>
    </row>
    <row r="2141" spans="1:9" ht="12.75">
      <c r="A2141" s="717"/>
      <c r="B2141" s="718"/>
      <c r="C2141" s="250"/>
      <c r="D2141" s="250"/>
      <c r="E2141" s="250"/>
      <c r="F2141" s="250"/>
      <c r="G2141" s="471"/>
      <c r="H2141" s="250"/>
      <c r="I2141" s="471"/>
    </row>
    <row r="2142" spans="1:9" ht="12.75">
      <c r="A2142" s="717"/>
      <c r="B2142" s="718"/>
      <c r="C2142" s="250"/>
      <c r="D2142" s="250"/>
      <c r="E2142" s="250"/>
      <c r="F2142" s="250"/>
      <c r="G2142" s="471"/>
      <c r="H2142" s="250"/>
      <c r="I2142" s="471"/>
    </row>
    <row r="2143" spans="1:9" ht="12.75">
      <c r="A2143" s="717"/>
      <c r="B2143" s="718"/>
      <c r="C2143" s="250"/>
      <c r="D2143" s="250"/>
      <c r="E2143" s="250"/>
      <c r="F2143" s="250"/>
      <c r="G2143" s="471"/>
      <c r="H2143" s="250"/>
      <c r="I2143" s="471"/>
    </row>
    <row r="2144" spans="1:9" ht="12.75">
      <c r="A2144" s="717"/>
      <c r="B2144" s="718"/>
      <c r="C2144" s="250"/>
      <c r="D2144" s="250"/>
      <c r="E2144" s="250"/>
      <c r="F2144" s="250"/>
      <c r="G2144" s="471"/>
      <c r="H2144" s="250"/>
      <c r="I2144" s="471"/>
    </row>
    <row r="2145" spans="1:9" ht="12.75">
      <c r="A2145" s="717"/>
      <c r="B2145" s="718"/>
      <c r="C2145" s="250"/>
      <c r="D2145" s="250"/>
      <c r="E2145" s="250"/>
      <c r="F2145" s="250"/>
      <c r="G2145" s="471"/>
      <c r="H2145" s="250"/>
      <c r="I2145" s="471"/>
    </row>
    <row r="2146" spans="1:9" ht="12.75">
      <c r="A2146" s="717"/>
      <c r="B2146" s="718"/>
      <c r="C2146" s="250"/>
      <c r="D2146" s="250"/>
      <c r="E2146" s="250"/>
      <c r="F2146" s="250"/>
      <c r="G2146" s="471"/>
      <c r="H2146" s="250"/>
      <c r="I2146" s="471"/>
    </row>
    <row r="2147" spans="1:9" ht="12.75">
      <c r="A2147" s="717"/>
      <c r="B2147" s="718"/>
      <c r="C2147" s="250"/>
      <c r="D2147" s="250"/>
      <c r="E2147" s="250"/>
      <c r="F2147" s="250"/>
      <c r="G2147" s="471"/>
      <c r="H2147" s="250"/>
      <c r="I2147" s="471"/>
    </row>
    <row r="2148" spans="1:9" ht="12.75">
      <c r="A2148" s="717"/>
      <c r="B2148" s="718"/>
      <c r="C2148" s="250"/>
      <c r="D2148" s="250"/>
      <c r="E2148" s="250"/>
      <c r="F2148" s="250"/>
      <c r="G2148" s="471"/>
      <c r="H2148" s="250"/>
      <c r="I2148" s="471"/>
    </row>
    <row r="2149" spans="1:9" ht="12.75">
      <c r="A2149" s="717"/>
      <c r="B2149" s="718"/>
      <c r="C2149" s="250"/>
      <c r="D2149" s="250"/>
      <c r="E2149" s="250"/>
      <c r="F2149" s="250"/>
      <c r="G2149" s="471"/>
      <c r="H2149" s="250"/>
      <c r="I2149" s="471"/>
    </row>
    <row r="2150" spans="1:9" ht="12.75">
      <c r="A2150" s="717"/>
      <c r="B2150" s="718"/>
      <c r="C2150" s="250"/>
      <c r="D2150" s="250"/>
      <c r="E2150" s="250"/>
      <c r="F2150" s="250"/>
      <c r="G2150" s="471"/>
      <c r="H2150" s="250"/>
      <c r="I2150" s="471"/>
    </row>
    <row r="2151" spans="1:9" ht="12.75">
      <c r="A2151" s="717"/>
      <c r="B2151" s="718"/>
      <c r="C2151" s="250"/>
      <c r="D2151" s="250"/>
      <c r="E2151" s="250"/>
      <c r="F2151" s="250"/>
      <c r="G2151" s="471"/>
      <c r="H2151" s="250"/>
      <c r="I2151" s="471"/>
    </row>
    <row r="2152" spans="1:9" ht="12.75">
      <c r="A2152" s="717"/>
      <c r="B2152" s="718"/>
      <c r="C2152" s="250"/>
      <c r="D2152" s="250"/>
      <c r="E2152" s="250"/>
      <c r="F2152" s="250"/>
      <c r="G2152" s="471"/>
      <c r="H2152" s="250"/>
      <c r="I2152" s="471"/>
    </row>
    <row r="2153" spans="1:9" ht="12.75">
      <c r="A2153" s="717"/>
      <c r="B2153" s="718"/>
      <c r="C2153" s="250"/>
      <c r="D2153" s="250"/>
      <c r="E2153" s="250"/>
      <c r="F2153" s="250"/>
      <c r="G2153" s="471"/>
      <c r="H2153" s="250"/>
      <c r="I2153" s="471"/>
    </row>
    <row r="2154" spans="1:9" ht="12.75">
      <c r="A2154" s="717"/>
      <c r="B2154" s="718"/>
      <c r="C2154" s="250"/>
      <c r="D2154" s="250"/>
      <c r="E2154" s="250"/>
      <c r="F2154" s="250"/>
      <c r="G2154" s="471"/>
      <c r="H2154" s="250"/>
      <c r="I2154" s="471"/>
    </row>
    <row r="2155" spans="1:9" ht="12.75">
      <c r="A2155" s="717"/>
      <c r="B2155" s="718"/>
      <c r="C2155" s="250"/>
      <c r="D2155" s="250"/>
      <c r="E2155" s="250"/>
      <c r="F2155" s="250"/>
      <c r="G2155" s="471"/>
      <c r="H2155" s="250"/>
      <c r="I2155" s="471"/>
    </row>
    <row r="2156" spans="1:9" ht="12.75">
      <c r="A2156" s="717"/>
      <c r="B2156" s="718"/>
      <c r="C2156" s="250"/>
      <c r="D2156" s="250"/>
      <c r="E2156" s="250"/>
      <c r="F2156" s="250"/>
      <c r="G2156" s="471"/>
      <c r="H2156" s="250"/>
      <c r="I2156" s="471"/>
    </row>
    <row r="2157" spans="1:9" ht="12.75">
      <c r="A2157" s="717"/>
      <c r="B2157" s="718"/>
      <c r="C2157" s="250"/>
      <c r="D2157" s="250"/>
      <c r="E2157" s="250"/>
      <c r="F2157" s="250"/>
      <c r="G2157" s="471"/>
      <c r="H2157" s="250"/>
      <c r="I2157" s="471"/>
    </row>
    <row r="2158" spans="1:9" ht="12.75">
      <c r="A2158" s="717"/>
      <c r="B2158" s="718"/>
      <c r="C2158" s="250"/>
      <c r="D2158" s="250"/>
      <c r="E2158" s="250"/>
      <c r="F2158" s="250"/>
      <c r="G2158" s="471"/>
      <c r="H2158" s="250"/>
      <c r="I2158" s="471"/>
    </row>
    <row r="2159" spans="1:9" ht="12.75">
      <c r="A2159" s="717"/>
      <c r="B2159" s="718"/>
      <c r="C2159" s="250"/>
      <c r="D2159" s="250"/>
      <c r="E2159" s="250"/>
      <c r="F2159" s="250"/>
      <c r="G2159" s="471"/>
      <c r="H2159" s="250"/>
      <c r="I2159" s="471"/>
    </row>
    <row r="2160" spans="1:9" ht="12.75">
      <c r="A2160" s="717"/>
      <c r="B2160" s="718"/>
      <c r="C2160" s="250"/>
      <c r="D2160" s="250"/>
      <c r="E2160" s="250"/>
      <c r="F2160" s="250"/>
      <c r="G2160" s="471"/>
      <c r="H2160" s="250"/>
      <c r="I2160" s="471"/>
    </row>
    <row r="2161" spans="1:9" ht="12.75">
      <c r="A2161" s="717"/>
      <c r="B2161" s="718"/>
      <c r="C2161" s="250"/>
      <c r="D2161" s="250"/>
      <c r="E2161" s="250"/>
      <c r="F2161" s="250"/>
      <c r="G2161" s="471"/>
      <c r="H2161" s="250"/>
      <c r="I2161" s="471"/>
    </row>
    <row r="2162" spans="1:9" ht="12.75">
      <c r="A2162" s="717"/>
      <c r="B2162" s="718"/>
      <c r="C2162" s="250"/>
      <c r="D2162" s="250"/>
      <c r="E2162" s="250"/>
      <c r="F2162" s="250"/>
      <c r="G2162" s="471"/>
      <c r="H2162" s="250"/>
      <c r="I2162" s="471"/>
    </row>
    <row r="2163" spans="1:9" ht="12.75">
      <c r="A2163" s="717"/>
      <c r="B2163" s="718"/>
      <c r="C2163" s="250"/>
      <c r="D2163" s="250"/>
      <c r="E2163" s="250"/>
      <c r="F2163" s="250"/>
      <c r="G2163" s="471"/>
      <c r="H2163" s="250"/>
      <c r="I2163" s="471"/>
    </row>
    <row r="2164" spans="1:9" ht="12.75">
      <c r="A2164" s="717"/>
      <c r="B2164" s="718"/>
      <c r="C2164" s="250"/>
      <c r="D2164" s="250"/>
      <c r="E2164" s="250"/>
      <c r="F2164" s="250"/>
      <c r="G2164" s="471"/>
      <c r="H2164" s="250"/>
      <c r="I2164" s="471"/>
    </row>
    <row r="2165" spans="1:9" ht="12.75">
      <c r="A2165" s="717"/>
      <c r="B2165" s="718"/>
      <c r="C2165" s="250"/>
      <c r="D2165" s="250"/>
      <c r="E2165" s="250"/>
      <c r="F2165" s="250"/>
      <c r="G2165" s="471"/>
      <c r="H2165" s="250"/>
      <c r="I2165" s="471"/>
    </row>
    <row r="2166" spans="1:9" ht="12.75">
      <c r="A2166" s="717"/>
      <c r="B2166" s="718"/>
      <c r="C2166" s="250"/>
      <c r="D2166" s="250"/>
      <c r="E2166" s="250"/>
      <c r="F2166" s="250"/>
      <c r="G2166" s="471"/>
      <c r="H2166" s="250"/>
      <c r="I2166" s="471"/>
    </row>
    <row r="2167" spans="1:9" ht="12.75">
      <c r="A2167" s="717"/>
      <c r="B2167" s="718"/>
      <c r="C2167" s="250"/>
      <c r="D2167" s="250"/>
      <c r="E2167" s="250"/>
      <c r="F2167" s="250"/>
      <c r="G2167" s="471"/>
      <c r="H2167" s="250"/>
      <c r="I2167" s="471"/>
    </row>
    <row r="2168" spans="1:9" ht="12.75">
      <c r="A2168" s="717"/>
      <c r="B2168" s="718"/>
      <c r="C2168" s="250"/>
      <c r="D2168" s="250"/>
      <c r="E2168" s="250"/>
      <c r="F2168" s="250"/>
      <c r="G2168" s="471"/>
      <c r="H2168" s="250"/>
      <c r="I2168" s="471"/>
    </row>
    <row r="2169" spans="1:9" ht="12.75">
      <c r="A2169" s="717"/>
      <c r="B2169" s="718"/>
      <c r="C2169" s="250"/>
      <c r="D2169" s="250"/>
      <c r="E2169" s="250"/>
      <c r="F2169" s="250"/>
      <c r="G2169" s="471"/>
      <c r="H2169" s="250"/>
      <c r="I2169" s="471"/>
    </row>
    <row r="2170" spans="1:9" ht="12.75">
      <c r="A2170" s="717"/>
      <c r="B2170" s="718"/>
      <c r="C2170" s="250"/>
      <c r="D2170" s="250"/>
      <c r="E2170" s="250"/>
      <c r="F2170" s="250"/>
      <c r="G2170" s="471"/>
      <c r="H2170" s="250"/>
      <c r="I2170" s="471"/>
    </row>
    <row r="2171" spans="1:9" ht="12.75">
      <c r="A2171" s="717"/>
      <c r="B2171" s="718"/>
      <c r="C2171" s="250"/>
      <c r="D2171" s="250"/>
      <c r="E2171" s="250"/>
      <c r="F2171" s="250"/>
      <c r="G2171" s="471"/>
      <c r="H2171" s="250"/>
      <c r="I2171" s="471"/>
    </row>
    <row r="2172" spans="1:9" ht="12.75">
      <c r="A2172" s="717"/>
      <c r="B2172" s="718"/>
      <c r="C2172" s="250"/>
      <c r="D2172" s="250"/>
      <c r="E2172" s="250"/>
      <c r="F2172" s="250"/>
      <c r="G2172" s="471"/>
      <c r="H2172" s="250"/>
      <c r="I2172" s="471"/>
    </row>
    <row r="2173" spans="1:9" ht="12.75">
      <c r="A2173" s="717"/>
      <c r="B2173" s="718"/>
      <c r="C2173" s="250"/>
      <c r="D2173" s="250"/>
      <c r="E2173" s="250"/>
      <c r="F2173" s="250"/>
      <c r="G2173" s="471"/>
      <c r="H2173" s="250"/>
      <c r="I2173" s="471"/>
    </row>
    <row r="2174" spans="1:9" ht="12.75">
      <c r="A2174" s="717"/>
      <c r="B2174" s="718"/>
      <c r="C2174" s="250"/>
      <c r="D2174" s="250"/>
      <c r="E2174" s="250"/>
      <c r="F2174" s="250"/>
      <c r="G2174" s="471"/>
      <c r="H2174" s="250"/>
      <c r="I2174" s="471"/>
    </row>
    <row r="2175" spans="1:9" ht="12.75">
      <c r="A2175" s="717"/>
      <c r="B2175" s="718"/>
      <c r="C2175" s="250"/>
      <c r="D2175" s="250"/>
      <c r="E2175" s="250"/>
      <c r="F2175" s="250"/>
      <c r="G2175" s="471"/>
      <c r="H2175" s="250"/>
      <c r="I2175" s="471"/>
    </row>
    <row r="2176" spans="1:9" ht="12.75">
      <c r="A2176" s="717"/>
      <c r="B2176" s="718"/>
      <c r="C2176" s="250"/>
      <c r="D2176" s="250"/>
      <c r="E2176" s="250"/>
      <c r="F2176" s="250"/>
      <c r="G2176" s="471"/>
      <c r="H2176" s="250"/>
      <c r="I2176" s="471"/>
    </row>
    <row r="2177" spans="1:9" ht="12.75">
      <c r="A2177" s="717"/>
      <c r="B2177" s="718"/>
      <c r="C2177" s="250"/>
      <c r="D2177" s="250"/>
      <c r="E2177" s="250"/>
      <c r="F2177" s="250"/>
      <c r="G2177" s="471"/>
      <c r="H2177" s="250"/>
      <c r="I2177" s="471"/>
    </row>
    <row r="2178" spans="1:9" ht="12.75">
      <c r="A2178" s="717"/>
      <c r="B2178" s="718"/>
      <c r="C2178" s="250"/>
      <c r="D2178" s="250"/>
      <c r="E2178" s="250"/>
      <c r="F2178" s="250"/>
      <c r="G2178" s="471"/>
      <c r="H2178" s="250"/>
      <c r="I2178" s="471"/>
    </row>
    <row r="2179" spans="1:9" ht="12.75">
      <c r="A2179" s="717"/>
      <c r="B2179" s="718"/>
      <c r="C2179" s="250"/>
      <c r="D2179" s="250"/>
      <c r="E2179" s="250"/>
      <c r="F2179" s="250"/>
      <c r="G2179" s="471"/>
      <c r="H2179" s="250"/>
      <c r="I2179" s="471"/>
    </row>
    <row r="2180" spans="1:9" ht="12.75">
      <c r="A2180" s="717"/>
      <c r="B2180" s="718"/>
      <c r="C2180" s="250"/>
      <c r="D2180" s="250"/>
      <c r="E2180" s="250"/>
      <c r="F2180" s="250"/>
      <c r="G2180" s="471"/>
      <c r="H2180" s="250"/>
      <c r="I2180" s="471"/>
    </row>
    <row r="2181" spans="1:9" ht="12.75">
      <c r="A2181" s="717"/>
      <c r="B2181" s="718"/>
      <c r="C2181" s="250"/>
      <c r="D2181" s="250"/>
      <c r="E2181" s="250"/>
      <c r="F2181" s="250"/>
      <c r="G2181" s="471"/>
      <c r="H2181" s="250"/>
      <c r="I2181" s="471"/>
    </row>
    <row r="2182" spans="1:9" ht="12.75">
      <c r="A2182" s="717"/>
      <c r="B2182" s="718"/>
      <c r="C2182" s="250"/>
      <c r="D2182" s="250"/>
      <c r="E2182" s="250"/>
      <c r="F2182" s="250"/>
      <c r="G2182" s="471"/>
      <c r="H2182" s="250"/>
      <c r="I2182" s="471"/>
    </row>
    <row r="2183" spans="1:9" ht="12.75">
      <c r="A2183" s="717"/>
      <c r="B2183" s="718"/>
      <c r="C2183" s="250"/>
      <c r="D2183" s="250"/>
      <c r="E2183" s="250"/>
      <c r="F2183" s="250"/>
      <c r="G2183" s="471"/>
      <c r="H2183" s="250"/>
      <c r="I2183" s="471"/>
    </row>
    <row r="2184" spans="1:9" ht="12.75">
      <c r="A2184" s="717"/>
      <c r="B2184" s="718"/>
      <c r="C2184" s="250"/>
      <c r="D2184" s="250"/>
      <c r="E2184" s="250"/>
      <c r="F2184" s="250"/>
      <c r="G2184" s="471"/>
      <c r="H2184" s="250"/>
      <c r="I2184" s="471"/>
    </row>
    <row r="2185" spans="1:9" ht="12.75">
      <c r="A2185" s="717"/>
      <c r="B2185" s="718"/>
      <c r="C2185" s="250"/>
      <c r="D2185" s="250"/>
      <c r="E2185" s="250"/>
      <c r="F2185" s="250"/>
      <c r="G2185" s="471"/>
      <c r="H2185" s="250"/>
      <c r="I2185" s="471"/>
    </row>
    <row r="2186" spans="1:9" ht="12.75">
      <c r="A2186" s="717"/>
      <c r="B2186" s="718"/>
      <c r="C2186" s="250"/>
      <c r="D2186" s="250"/>
      <c r="E2186" s="250"/>
      <c r="F2186" s="250"/>
      <c r="G2186" s="471"/>
      <c r="H2186" s="250"/>
      <c r="I2186" s="471"/>
    </row>
    <row r="2187" spans="1:9" ht="12.75">
      <c r="A2187" s="717"/>
      <c r="B2187" s="718"/>
      <c r="C2187" s="250"/>
      <c r="D2187" s="250"/>
      <c r="E2187" s="250"/>
      <c r="F2187" s="250"/>
      <c r="G2187" s="471"/>
      <c r="H2187" s="250"/>
      <c r="I2187" s="471"/>
    </row>
    <row r="2188" spans="1:9" ht="12.75">
      <c r="A2188" s="717"/>
      <c r="B2188" s="718"/>
      <c r="C2188" s="250"/>
      <c r="D2188" s="250"/>
      <c r="E2188" s="250"/>
      <c r="F2188" s="250"/>
      <c r="G2188" s="471"/>
      <c r="H2188" s="250"/>
      <c r="I2188" s="471"/>
    </row>
    <row r="2189" spans="1:9" ht="12.75">
      <c r="A2189" s="717"/>
      <c r="B2189" s="718"/>
      <c r="C2189" s="250"/>
      <c r="D2189" s="250"/>
      <c r="E2189" s="250"/>
      <c r="F2189" s="250"/>
      <c r="G2189" s="471"/>
      <c r="H2189" s="250"/>
      <c r="I2189" s="471"/>
    </row>
    <row r="2190" spans="1:9" ht="12.75">
      <c r="A2190" s="717"/>
      <c r="B2190" s="718"/>
      <c r="C2190" s="250"/>
      <c r="D2190" s="250"/>
      <c r="E2190" s="250"/>
      <c r="F2190" s="250"/>
      <c r="G2190" s="471"/>
      <c r="H2190" s="250"/>
      <c r="I2190" s="471"/>
    </row>
    <row r="2191" spans="1:9" ht="12.75">
      <c r="A2191" s="717"/>
      <c r="B2191" s="718"/>
      <c r="C2191" s="250"/>
      <c r="D2191" s="250"/>
      <c r="E2191" s="250"/>
      <c r="F2191" s="250"/>
      <c r="G2191" s="471"/>
      <c r="H2191" s="250"/>
      <c r="I2191" s="471"/>
    </row>
    <row r="2192" spans="1:9" ht="12.75">
      <c r="A2192" s="717"/>
      <c r="B2192" s="718"/>
      <c r="C2192" s="250"/>
      <c r="D2192" s="250"/>
      <c r="E2192" s="250"/>
      <c r="F2192" s="250"/>
      <c r="G2192" s="471"/>
      <c r="H2192" s="250"/>
      <c r="I2192" s="471"/>
    </row>
    <row r="2193" spans="1:9" ht="12.75">
      <c r="A2193" s="717"/>
      <c r="B2193" s="718"/>
      <c r="C2193" s="250"/>
      <c r="D2193" s="250"/>
      <c r="E2193" s="250"/>
      <c r="F2193" s="250"/>
      <c r="G2193" s="471"/>
      <c r="H2193" s="250"/>
      <c r="I2193" s="471"/>
    </row>
    <row r="2194" spans="1:9" ht="12.75">
      <c r="A2194" s="717"/>
      <c r="B2194" s="718"/>
      <c r="C2194" s="250"/>
      <c r="D2194" s="250"/>
      <c r="E2194" s="250"/>
      <c r="F2194" s="250"/>
      <c r="G2194" s="471"/>
      <c r="H2194" s="250"/>
      <c r="I2194" s="471"/>
    </row>
    <row r="2195" spans="1:9" ht="12.75">
      <c r="A2195" s="717"/>
      <c r="B2195" s="718"/>
      <c r="C2195" s="250"/>
      <c r="D2195" s="250"/>
      <c r="E2195" s="250"/>
      <c r="F2195" s="250"/>
      <c r="G2195" s="471"/>
      <c r="H2195" s="250"/>
      <c r="I2195" s="471"/>
    </row>
    <row r="2196" spans="1:9" ht="12.75">
      <c r="A2196" s="717"/>
      <c r="B2196" s="718"/>
      <c r="C2196" s="250"/>
      <c r="D2196" s="250"/>
      <c r="E2196" s="250"/>
      <c r="F2196" s="250"/>
      <c r="G2196" s="471"/>
      <c r="H2196" s="250"/>
      <c r="I2196" s="471"/>
    </row>
    <row r="2197" spans="1:9" ht="12.75">
      <c r="A2197" s="717"/>
      <c r="B2197" s="718"/>
      <c r="C2197" s="250"/>
      <c r="D2197" s="250"/>
      <c r="E2197" s="250"/>
      <c r="F2197" s="250"/>
      <c r="G2197" s="471"/>
      <c r="H2197" s="250"/>
      <c r="I2197" s="471"/>
    </row>
    <row r="2198" spans="1:9" ht="12.75">
      <c r="A2198" s="717"/>
      <c r="B2198" s="718"/>
      <c r="C2198" s="250"/>
      <c r="D2198" s="250"/>
      <c r="E2198" s="250"/>
      <c r="F2198" s="250"/>
      <c r="G2198" s="471"/>
      <c r="H2198" s="250"/>
      <c r="I2198" s="471"/>
    </row>
    <row r="2199" spans="1:9" ht="12.75">
      <c r="A2199" s="717"/>
      <c r="B2199" s="718"/>
      <c r="C2199" s="250"/>
      <c r="D2199" s="250"/>
      <c r="E2199" s="250"/>
      <c r="F2199" s="250"/>
      <c r="G2199" s="471"/>
      <c r="H2199" s="250"/>
      <c r="I2199" s="471"/>
    </row>
    <row r="2200" spans="1:9" ht="12.75">
      <c r="A2200" s="717"/>
      <c r="B2200" s="718"/>
      <c r="C2200" s="250"/>
      <c r="D2200" s="250"/>
      <c r="E2200" s="250"/>
      <c r="F2200" s="250"/>
      <c r="G2200" s="471"/>
      <c r="H2200" s="250"/>
      <c r="I2200" s="471"/>
    </row>
    <row r="2201" spans="1:9" ht="12.75">
      <c r="A2201" s="717"/>
      <c r="B2201" s="718"/>
      <c r="C2201" s="250"/>
      <c r="D2201" s="250"/>
      <c r="E2201" s="250"/>
      <c r="F2201" s="250"/>
      <c r="G2201" s="471"/>
      <c r="H2201" s="250"/>
      <c r="I2201" s="471"/>
    </row>
    <row r="2202" spans="1:9" ht="12.75">
      <c r="A2202" s="717"/>
      <c r="B2202" s="718"/>
      <c r="C2202" s="250"/>
      <c r="D2202" s="250"/>
      <c r="E2202" s="250"/>
      <c r="F2202" s="250"/>
      <c r="G2202" s="471"/>
      <c r="H2202" s="250"/>
      <c r="I2202" s="471"/>
    </row>
    <row r="2203" spans="1:9" ht="12.75">
      <c r="A2203" s="717"/>
      <c r="B2203" s="718"/>
      <c r="C2203" s="250"/>
      <c r="D2203" s="250"/>
      <c r="E2203" s="250"/>
      <c r="F2203" s="250"/>
      <c r="G2203" s="471"/>
      <c r="H2203" s="250"/>
      <c r="I2203" s="471"/>
    </row>
    <row r="2204" spans="1:9" ht="12.75">
      <c r="A2204" s="717"/>
      <c r="B2204" s="718"/>
      <c r="C2204" s="250"/>
      <c r="D2204" s="250"/>
      <c r="E2204" s="250"/>
      <c r="F2204" s="250"/>
      <c r="G2204" s="471"/>
      <c r="H2204" s="250"/>
      <c r="I2204" s="471"/>
    </row>
    <row r="2205" spans="1:9" ht="12.75">
      <c r="A2205" s="717"/>
      <c r="B2205" s="718"/>
      <c r="C2205" s="250"/>
      <c r="D2205" s="250"/>
      <c r="E2205" s="250"/>
      <c r="F2205" s="250"/>
      <c r="G2205" s="471"/>
      <c r="H2205" s="250"/>
      <c r="I2205" s="471"/>
    </row>
    <row r="2206" spans="1:9" ht="12.75">
      <c r="A2206" s="717"/>
      <c r="B2206" s="718"/>
      <c r="C2206" s="250"/>
      <c r="D2206" s="250"/>
      <c r="E2206" s="250"/>
      <c r="F2206" s="250"/>
      <c r="G2206" s="471"/>
      <c r="H2206" s="250"/>
      <c r="I2206" s="471"/>
    </row>
    <row r="2207" spans="1:9" ht="12.75">
      <c r="A2207" s="717"/>
      <c r="B2207" s="718"/>
      <c r="C2207" s="250"/>
      <c r="D2207" s="250"/>
      <c r="E2207" s="250"/>
      <c r="F2207" s="250"/>
      <c r="G2207" s="471"/>
      <c r="H2207" s="250"/>
      <c r="I2207" s="471"/>
    </row>
    <row r="2208" spans="1:9" ht="12.75">
      <c r="A2208" s="717"/>
      <c r="B2208" s="718"/>
      <c r="C2208" s="250"/>
      <c r="D2208" s="250"/>
      <c r="E2208" s="250"/>
      <c r="F2208" s="250"/>
      <c r="G2208" s="471"/>
      <c r="H2208" s="250"/>
      <c r="I2208" s="471"/>
    </row>
    <row r="2209" spans="1:9" ht="12.75">
      <c r="A2209" s="717"/>
      <c r="B2209" s="718"/>
      <c r="C2209" s="250"/>
      <c r="D2209" s="250"/>
      <c r="E2209" s="250"/>
      <c r="F2209" s="250"/>
      <c r="G2209" s="471"/>
      <c r="H2209" s="250"/>
      <c r="I2209" s="471"/>
    </row>
    <row r="2210" spans="1:9" ht="12.75">
      <c r="A2210" s="717"/>
      <c r="B2210" s="718"/>
      <c r="C2210" s="250"/>
      <c r="D2210" s="250"/>
      <c r="E2210" s="250"/>
      <c r="F2210" s="250"/>
      <c r="G2210" s="471"/>
      <c r="H2210" s="250"/>
      <c r="I2210" s="471"/>
    </row>
    <row r="2211" spans="1:9" ht="12.75">
      <c r="A2211" s="717"/>
      <c r="B2211" s="718"/>
      <c r="C2211" s="250"/>
      <c r="D2211" s="250"/>
      <c r="E2211" s="250"/>
      <c r="F2211" s="250"/>
      <c r="G2211" s="471"/>
      <c r="H2211" s="250"/>
      <c r="I2211" s="471"/>
    </row>
    <row r="2212" spans="1:9" ht="12.75">
      <c r="A2212" s="717"/>
      <c r="B2212" s="718"/>
      <c r="C2212" s="250"/>
      <c r="D2212" s="250"/>
      <c r="E2212" s="250"/>
      <c r="F2212" s="250"/>
      <c r="G2212" s="471"/>
      <c r="H2212" s="250"/>
      <c r="I2212" s="471"/>
    </row>
    <row r="2213" spans="1:9" ht="12.75">
      <c r="A2213" s="717"/>
      <c r="B2213" s="718"/>
      <c r="C2213" s="250"/>
      <c r="D2213" s="250"/>
      <c r="E2213" s="250"/>
      <c r="F2213" s="250"/>
      <c r="G2213" s="471"/>
      <c r="H2213" s="250"/>
      <c r="I2213" s="471"/>
    </row>
    <row r="2214" spans="1:9" ht="12.75">
      <c r="A2214" s="717"/>
      <c r="B2214" s="718"/>
      <c r="C2214" s="250"/>
      <c r="D2214" s="250"/>
      <c r="E2214" s="250"/>
      <c r="F2214" s="250"/>
      <c r="G2214" s="471"/>
      <c r="H2214" s="250"/>
      <c r="I2214" s="471"/>
    </row>
    <row r="2215" spans="1:9" ht="12.75">
      <c r="A2215" s="717"/>
      <c r="B2215" s="718"/>
      <c r="C2215" s="250"/>
      <c r="D2215" s="250"/>
      <c r="E2215" s="250"/>
      <c r="F2215" s="250"/>
      <c r="G2215" s="471"/>
      <c r="H2215" s="250"/>
      <c r="I2215" s="471"/>
    </row>
    <row r="2216" spans="1:9" ht="12.75">
      <c r="A2216" s="717"/>
      <c r="B2216" s="718"/>
      <c r="C2216" s="250"/>
      <c r="D2216" s="250"/>
      <c r="E2216" s="250"/>
      <c r="F2216" s="250"/>
      <c r="G2216" s="471"/>
      <c r="H2216" s="250"/>
      <c r="I2216" s="471"/>
    </row>
    <row r="2217" spans="1:9" ht="12.75">
      <c r="A2217" s="717"/>
      <c r="B2217" s="718"/>
      <c r="C2217" s="250"/>
      <c r="D2217" s="250"/>
      <c r="E2217" s="250"/>
      <c r="F2217" s="250"/>
      <c r="G2217" s="471"/>
      <c r="H2217" s="250"/>
      <c r="I2217" s="471"/>
    </row>
    <row r="2218" spans="1:9" ht="12.75">
      <c r="A2218" s="717"/>
      <c r="B2218" s="718"/>
      <c r="C2218" s="250"/>
      <c r="D2218" s="250"/>
      <c r="E2218" s="250"/>
      <c r="F2218" s="250"/>
      <c r="G2218" s="471"/>
      <c r="H2218" s="250"/>
      <c r="I2218" s="471"/>
    </row>
    <row r="2219" spans="1:9" ht="12.75">
      <c r="A2219" s="717"/>
      <c r="B2219" s="718"/>
      <c r="C2219" s="250"/>
      <c r="D2219" s="250"/>
      <c r="E2219" s="250"/>
      <c r="F2219" s="250"/>
      <c r="G2219" s="471"/>
      <c r="H2219" s="250"/>
      <c r="I2219" s="471"/>
    </row>
    <row r="2220" spans="1:9" ht="12.75">
      <c r="A2220" s="717"/>
      <c r="B2220" s="718"/>
      <c r="C2220" s="250"/>
      <c r="D2220" s="250"/>
      <c r="E2220" s="250"/>
      <c r="F2220" s="250"/>
      <c r="G2220" s="471"/>
      <c r="H2220" s="250"/>
      <c r="I2220" s="471"/>
    </row>
    <row r="2221" spans="1:9" ht="12.75">
      <c r="A2221" s="717"/>
      <c r="B2221" s="718"/>
      <c r="C2221" s="250"/>
      <c r="D2221" s="250"/>
      <c r="E2221" s="250"/>
      <c r="F2221" s="250"/>
      <c r="G2221" s="471"/>
      <c r="H2221" s="250"/>
      <c r="I2221" s="471"/>
    </row>
    <row r="2222" spans="1:9" ht="12.75">
      <c r="A2222" s="717"/>
      <c r="B2222" s="718"/>
      <c r="C2222" s="250"/>
      <c r="D2222" s="250"/>
      <c r="E2222" s="250"/>
      <c r="F2222" s="250"/>
      <c r="G2222" s="471"/>
      <c r="H2222" s="250"/>
      <c r="I2222" s="471"/>
    </row>
    <row r="2223" spans="1:9" ht="12.75">
      <c r="A2223" s="717"/>
      <c r="B2223" s="718"/>
      <c r="C2223" s="250"/>
      <c r="D2223" s="250"/>
      <c r="E2223" s="250"/>
      <c r="F2223" s="250"/>
      <c r="G2223" s="471"/>
      <c r="H2223" s="250"/>
      <c r="I2223" s="471"/>
    </row>
    <row r="2224" spans="1:9" ht="12.75">
      <c r="A2224" s="717"/>
      <c r="B2224" s="718"/>
      <c r="C2224" s="250"/>
      <c r="D2224" s="250"/>
      <c r="E2224" s="250"/>
      <c r="F2224" s="250"/>
      <c r="G2224" s="471"/>
      <c r="H2224" s="250"/>
      <c r="I2224" s="471"/>
    </row>
    <row r="2225" spans="1:9" ht="12.75">
      <c r="A2225" s="717"/>
      <c r="B2225" s="718"/>
      <c r="C2225" s="250"/>
      <c r="D2225" s="250"/>
      <c r="E2225" s="250"/>
      <c r="F2225" s="250"/>
      <c r="G2225" s="471"/>
      <c r="H2225" s="250"/>
      <c r="I2225" s="471"/>
    </row>
    <row r="2226" spans="1:9" ht="12.75">
      <c r="A2226" s="717"/>
      <c r="B2226" s="718"/>
      <c r="C2226" s="250"/>
      <c r="D2226" s="250"/>
      <c r="E2226" s="250"/>
      <c r="F2226" s="250"/>
      <c r="G2226" s="471"/>
      <c r="H2226" s="250"/>
      <c r="I2226" s="471"/>
    </row>
    <row r="2227" spans="1:9" ht="12.75">
      <c r="A2227" s="717"/>
      <c r="B2227" s="718"/>
      <c r="C2227" s="250"/>
      <c r="D2227" s="250"/>
      <c r="E2227" s="250"/>
      <c r="F2227" s="250"/>
      <c r="G2227" s="471"/>
      <c r="H2227" s="250"/>
      <c r="I2227" s="471"/>
    </row>
    <row r="2228" spans="1:9" ht="12.75">
      <c r="A2228" s="717"/>
      <c r="B2228" s="718"/>
      <c r="C2228" s="250"/>
      <c r="D2228" s="250"/>
      <c r="E2228" s="250"/>
      <c r="F2228" s="250"/>
      <c r="G2228" s="471"/>
      <c r="H2228" s="250"/>
      <c r="I2228" s="471"/>
    </row>
    <row r="2229" spans="1:9" ht="12.75">
      <c r="A2229" s="717"/>
      <c r="B2229" s="718"/>
      <c r="C2229" s="250"/>
      <c r="D2229" s="250"/>
      <c r="E2229" s="250"/>
      <c r="F2229" s="250"/>
      <c r="G2229" s="471"/>
      <c r="H2229" s="250"/>
      <c r="I2229" s="471"/>
    </row>
    <row r="2230" spans="1:9" ht="12.75">
      <c r="A2230" s="717"/>
      <c r="B2230" s="718"/>
      <c r="C2230" s="250"/>
      <c r="D2230" s="250"/>
      <c r="E2230" s="250"/>
      <c r="F2230" s="250"/>
      <c r="G2230" s="471"/>
      <c r="H2230" s="250"/>
      <c r="I2230" s="471"/>
    </row>
    <row r="2231" spans="1:9" ht="12.75">
      <c r="A2231" s="717"/>
      <c r="B2231" s="718"/>
      <c r="C2231" s="250"/>
      <c r="D2231" s="250"/>
      <c r="E2231" s="250"/>
      <c r="F2231" s="250"/>
      <c r="G2231" s="471"/>
      <c r="H2231" s="250"/>
      <c r="I2231" s="471"/>
    </row>
    <row r="2232" spans="1:9" ht="12.75">
      <c r="A2232" s="717"/>
      <c r="B2232" s="718"/>
      <c r="C2232" s="250"/>
      <c r="D2232" s="250"/>
      <c r="E2232" s="250"/>
      <c r="F2232" s="250"/>
      <c r="G2232" s="471"/>
      <c r="H2232" s="250"/>
      <c r="I2232" s="471"/>
    </row>
    <row r="2233" spans="1:9" ht="12.75">
      <c r="A2233" s="717"/>
      <c r="B2233" s="718"/>
      <c r="C2233" s="250"/>
      <c r="D2233" s="250"/>
      <c r="E2233" s="250"/>
      <c r="F2233" s="250"/>
      <c r="G2233" s="471"/>
      <c r="H2233" s="250"/>
      <c r="I2233" s="471"/>
    </row>
    <row r="2234" spans="1:9" ht="12.75">
      <c r="A2234" s="717"/>
      <c r="B2234" s="718"/>
      <c r="C2234" s="250"/>
      <c r="D2234" s="250"/>
      <c r="E2234" s="250"/>
      <c r="F2234" s="250"/>
      <c r="G2234" s="471"/>
      <c r="H2234" s="250"/>
      <c r="I2234" s="471"/>
    </row>
    <row r="2235" spans="1:9" ht="12.75">
      <c r="A2235" s="717"/>
      <c r="B2235" s="718"/>
      <c r="C2235" s="250"/>
      <c r="D2235" s="250"/>
      <c r="E2235" s="250"/>
      <c r="F2235" s="250"/>
      <c r="G2235" s="471"/>
      <c r="H2235" s="250"/>
      <c r="I2235" s="471"/>
    </row>
    <row r="2236" spans="1:9" ht="12.75">
      <c r="A2236" s="717"/>
      <c r="B2236" s="718"/>
      <c r="C2236" s="250"/>
      <c r="D2236" s="250"/>
      <c r="E2236" s="250"/>
      <c r="F2236" s="250"/>
      <c r="G2236" s="471"/>
      <c r="H2236" s="250"/>
      <c r="I2236" s="471"/>
    </row>
    <row r="2237" spans="1:9" ht="12.75">
      <c r="A2237" s="717"/>
      <c r="B2237" s="718"/>
      <c r="C2237" s="250"/>
      <c r="D2237" s="250"/>
      <c r="E2237" s="250"/>
      <c r="F2237" s="250"/>
      <c r="G2237" s="471"/>
      <c r="H2237" s="250"/>
      <c r="I2237" s="471"/>
    </row>
    <row r="2238" spans="1:9" ht="12.75">
      <c r="A2238" s="717"/>
      <c r="B2238" s="718"/>
      <c r="C2238" s="250"/>
      <c r="D2238" s="250"/>
      <c r="E2238" s="250"/>
      <c r="F2238" s="250"/>
      <c r="G2238" s="471"/>
      <c r="H2238" s="250"/>
      <c r="I2238" s="471"/>
    </row>
    <row r="2239" spans="1:9" ht="12.75">
      <c r="A2239" s="717"/>
      <c r="B2239" s="718"/>
      <c r="C2239" s="250"/>
      <c r="D2239" s="250"/>
      <c r="E2239" s="250"/>
      <c r="F2239" s="250"/>
      <c r="G2239" s="471"/>
      <c r="H2239" s="250"/>
      <c r="I2239" s="471"/>
    </row>
    <row r="2240" spans="1:9" ht="12.75">
      <c r="A2240" s="717"/>
      <c r="B2240" s="718"/>
      <c r="C2240" s="250"/>
      <c r="D2240" s="250"/>
      <c r="E2240" s="250"/>
      <c r="F2240" s="250"/>
      <c r="G2240" s="471"/>
      <c r="H2240" s="250"/>
      <c r="I2240" s="471"/>
    </row>
    <row r="2241" spans="1:9" ht="12.75">
      <c r="A2241" s="717"/>
      <c r="B2241" s="718"/>
      <c r="C2241" s="250"/>
      <c r="D2241" s="250"/>
      <c r="E2241" s="250"/>
      <c r="F2241" s="250"/>
      <c r="G2241" s="471"/>
      <c r="H2241" s="250"/>
      <c r="I2241" s="471"/>
    </row>
    <row r="2242" spans="1:9" ht="12.75">
      <c r="A2242" s="717"/>
      <c r="B2242" s="718"/>
      <c r="C2242" s="250"/>
      <c r="D2242" s="250"/>
      <c r="E2242" s="250"/>
      <c r="F2242" s="250"/>
      <c r="G2242" s="471"/>
      <c r="H2242" s="250"/>
      <c r="I2242" s="471"/>
    </row>
    <row r="2243" spans="1:9" ht="12.75">
      <c r="A2243" s="717"/>
      <c r="B2243" s="718"/>
      <c r="C2243" s="250"/>
      <c r="D2243" s="250"/>
      <c r="E2243" s="250"/>
      <c r="F2243" s="250"/>
      <c r="G2243" s="471"/>
      <c r="H2243" s="250"/>
      <c r="I2243" s="471"/>
    </row>
    <row r="2244" spans="1:9" ht="12.75">
      <c r="A2244" s="717"/>
      <c r="B2244" s="718"/>
      <c r="C2244" s="250"/>
      <c r="D2244" s="250"/>
      <c r="E2244" s="250"/>
      <c r="F2244" s="250"/>
      <c r="G2244" s="471"/>
      <c r="H2244" s="250"/>
      <c r="I2244" s="471"/>
    </row>
    <row r="2245" spans="1:9" ht="12.75">
      <c r="A2245" s="717"/>
      <c r="B2245" s="718"/>
      <c r="C2245" s="250"/>
      <c r="D2245" s="250"/>
      <c r="E2245" s="250"/>
      <c r="F2245" s="250"/>
      <c r="G2245" s="471"/>
      <c r="H2245" s="250"/>
      <c r="I2245" s="471"/>
    </row>
    <row r="2246" spans="1:9" ht="12.75">
      <c r="A2246" s="717"/>
      <c r="B2246" s="718"/>
      <c r="C2246" s="250"/>
      <c r="D2246" s="250"/>
      <c r="E2246" s="250"/>
      <c r="F2246" s="250"/>
      <c r="G2246" s="471"/>
      <c r="H2246" s="250"/>
      <c r="I2246" s="471"/>
    </row>
    <row r="2247" spans="1:9" ht="12.75">
      <c r="A2247" s="717"/>
      <c r="B2247" s="718"/>
      <c r="C2247" s="250"/>
      <c r="D2247" s="250"/>
      <c r="E2247" s="250"/>
      <c r="F2247" s="250"/>
      <c r="G2247" s="471"/>
      <c r="H2247" s="250"/>
      <c r="I2247" s="471"/>
    </row>
    <row r="2248" spans="1:9" ht="12.75">
      <c r="A2248" s="717"/>
      <c r="B2248" s="718"/>
      <c r="C2248" s="250"/>
      <c r="D2248" s="250"/>
      <c r="E2248" s="250"/>
      <c r="F2248" s="250"/>
      <c r="G2248" s="471"/>
      <c r="H2248" s="250"/>
      <c r="I2248" s="471"/>
    </row>
    <row r="2249" spans="1:9" ht="12.75">
      <c r="A2249" s="717"/>
      <c r="B2249" s="718"/>
      <c r="C2249" s="250"/>
      <c r="D2249" s="250"/>
      <c r="E2249" s="250"/>
      <c r="F2249" s="250"/>
      <c r="G2249" s="471"/>
      <c r="H2249" s="250"/>
      <c r="I2249" s="471"/>
    </row>
    <row r="2250" spans="1:9" ht="12.75">
      <c r="A2250" s="717"/>
      <c r="B2250" s="718"/>
      <c r="C2250" s="250"/>
      <c r="D2250" s="250"/>
      <c r="E2250" s="250"/>
      <c r="F2250" s="250"/>
      <c r="G2250" s="471"/>
      <c r="H2250" s="250"/>
      <c r="I2250" s="471"/>
    </row>
    <row r="2251" spans="1:9" ht="12.75">
      <c r="A2251" s="717"/>
      <c r="B2251" s="718"/>
      <c r="C2251" s="250"/>
      <c r="D2251" s="250"/>
      <c r="E2251" s="250"/>
      <c r="F2251" s="250"/>
      <c r="G2251" s="471"/>
      <c r="H2251" s="250"/>
      <c r="I2251" s="471"/>
    </row>
    <row r="2252" spans="1:9" ht="12.75">
      <c r="A2252" s="717"/>
      <c r="B2252" s="718"/>
      <c r="C2252" s="250"/>
      <c r="D2252" s="250"/>
      <c r="E2252" s="250"/>
      <c r="F2252" s="250"/>
      <c r="G2252" s="471"/>
      <c r="H2252" s="250"/>
      <c r="I2252" s="471"/>
    </row>
    <row r="2253" spans="1:9" ht="12.75">
      <c r="A2253" s="717"/>
      <c r="B2253" s="718"/>
      <c r="C2253" s="250"/>
      <c r="D2253" s="250"/>
      <c r="E2253" s="250"/>
      <c r="F2253" s="250"/>
      <c r="G2253" s="471"/>
      <c r="H2253" s="250"/>
      <c r="I2253" s="471"/>
    </row>
    <row r="2254" spans="1:9" ht="12.75">
      <c r="A2254" s="717"/>
      <c r="B2254" s="718"/>
      <c r="C2254" s="250"/>
      <c r="D2254" s="250"/>
      <c r="E2254" s="250"/>
      <c r="F2254" s="250"/>
      <c r="G2254" s="471"/>
      <c r="H2254" s="250"/>
      <c r="I2254" s="471"/>
    </row>
    <row r="2255" spans="1:9" ht="12.75">
      <c r="A2255" s="717"/>
      <c r="B2255" s="718"/>
      <c r="C2255" s="250"/>
      <c r="D2255" s="250"/>
      <c r="E2255" s="250"/>
      <c r="F2255" s="250"/>
      <c r="G2255" s="471"/>
      <c r="H2255" s="250"/>
      <c r="I2255" s="471"/>
    </row>
    <row r="2256" spans="1:9" ht="12.75">
      <c r="A2256" s="717"/>
      <c r="B2256" s="718"/>
      <c r="C2256" s="250"/>
      <c r="D2256" s="250"/>
      <c r="E2256" s="250"/>
      <c r="F2256" s="250"/>
      <c r="G2256" s="471"/>
      <c r="H2256" s="250"/>
      <c r="I2256" s="471"/>
    </row>
    <row r="2257" spans="1:9" ht="12.75">
      <c r="A2257" s="717"/>
      <c r="B2257" s="718"/>
      <c r="C2257" s="250"/>
      <c r="D2257" s="250"/>
      <c r="E2257" s="250"/>
      <c r="F2257" s="250"/>
      <c r="G2257" s="471"/>
      <c r="H2257" s="250"/>
      <c r="I2257" s="471"/>
    </row>
    <row r="2258" spans="1:9" ht="12.75">
      <c r="A2258" s="717"/>
      <c r="B2258" s="718"/>
      <c r="C2258" s="250"/>
      <c r="D2258" s="250"/>
      <c r="E2258" s="250"/>
      <c r="F2258" s="250"/>
      <c r="G2258" s="471"/>
      <c r="H2258" s="250"/>
      <c r="I2258" s="471"/>
    </row>
    <row r="2259" spans="1:9" ht="12.75">
      <c r="A2259" s="717"/>
      <c r="B2259" s="718"/>
      <c r="C2259" s="250"/>
      <c r="D2259" s="250"/>
      <c r="E2259" s="250"/>
      <c r="F2259" s="250"/>
      <c r="G2259" s="471"/>
      <c r="H2259" s="250"/>
      <c r="I2259" s="471"/>
    </row>
    <row r="2260" spans="1:9" ht="12.75">
      <c r="A2260" s="717"/>
      <c r="B2260" s="718"/>
      <c r="C2260" s="250"/>
      <c r="D2260" s="250"/>
      <c r="E2260" s="250"/>
      <c r="F2260" s="250"/>
      <c r="G2260" s="471"/>
      <c r="H2260" s="250"/>
      <c r="I2260" s="471"/>
    </row>
    <row r="2261" spans="1:9" ht="12.75">
      <c r="A2261" s="717"/>
      <c r="B2261" s="718"/>
      <c r="C2261" s="250"/>
      <c r="D2261" s="250"/>
      <c r="E2261" s="250"/>
      <c r="F2261" s="250"/>
      <c r="G2261" s="471"/>
      <c r="H2261" s="250"/>
      <c r="I2261" s="471"/>
    </row>
    <row r="2262" spans="1:9" ht="12.75">
      <c r="A2262" s="717"/>
      <c r="B2262" s="718"/>
      <c r="C2262" s="250"/>
      <c r="D2262" s="250"/>
      <c r="E2262" s="250"/>
      <c r="F2262" s="250"/>
      <c r="G2262" s="471"/>
      <c r="H2262" s="250"/>
      <c r="I2262" s="471"/>
    </row>
    <row r="2263" spans="1:9" ht="12.75">
      <c r="A2263" s="717"/>
      <c r="B2263" s="718"/>
      <c r="C2263" s="250"/>
      <c r="D2263" s="250"/>
      <c r="E2263" s="250"/>
      <c r="F2263" s="250"/>
      <c r="G2263" s="471"/>
      <c r="H2263" s="250"/>
      <c r="I2263" s="471"/>
    </row>
    <row r="2264" spans="1:9" ht="12.75">
      <c r="A2264" s="717"/>
      <c r="B2264" s="718"/>
      <c r="C2264" s="250"/>
      <c r="D2264" s="250"/>
      <c r="E2264" s="250"/>
      <c r="F2264" s="250"/>
      <c r="G2264" s="471"/>
      <c r="H2264" s="250"/>
      <c r="I2264" s="471"/>
    </row>
    <row r="2265" spans="1:9" ht="12.75">
      <c r="A2265" s="717"/>
      <c r="B2265" s="718"/>
      <c r="C2265" s="250"/>
      <c r="D2265" s="250"/>
      <c r="E2265" s="250"/>
      <c r="F2265" s="250"/>
      <c r="G2265" s="471"/>
      <c r="H2265" s="250"/>
      <c r="I2265" s="471"/>
    </row>
    <row r="2266" spans="1:9" ht="12.75">
      <c r="A2266" s="717"/>
      <c r="B2266" s="718"/>
      <c r="C2266" s="250"/>
      <c r="D2266" s="250"/>
      <c r="E2266" s="250"/>
      <c r="F2266" s="250"/>
      <c r="G2266" s="471"/>
      <c r="H2266" s="250"/>
      <c r="I2266" s="471"/>
    </row>
    <row r="2267" spans="1:9" ht="12.75">
      <c r="A2267" s="717"/>
      <c r="B2267" s="718"/>
      <c r="C2267" s="250"/>
      <c r="D2267" s="250"/>
      <c r="E2267" s="250"/>
      <c r="F2267" s="250"/>
      <c r="G2267" s="471"/>
      <c r="H2267" s="250"/>
      <c r="I2267" s="471"/>
    </row>
    <row r="2268" spans="1:9" ht="12.75">
      <c r="A2268" s="717"/>
      <c r="B2268" s="718"/>
      <c r="C2268" s="250"/>
      <c r="D2268" s="250"/>
      <c r="E2268" s="250"/>
      <c r="F2268" s="250"/>
      <c r="G2268" s="471"/>
      <c r="H2268" s="250"/>
      <c r="I2268" s="471"/>
    </row>
    <row r="2269" spans="1:9" ht="12.75">
      <c r="A2269" s="717"/>
      <c r="B2269" s="718"/>
      <c r="C2269" s="250"/>
      <c r="D2269" s="250"/>
      <c r="E2269" s="250"/>
      <c r="F2269" s="250"/>
      <c r="G2269" s="471"/>
      <c r="H2269" s="250"/>
      <c r="I2269" s="471"/>
    </row>
    <row r="2270" spans="1:9" ht="12.75">
      <c r="A2270" s="717"/>
      <c r="B2270" s="718"/>
      <c r="C2270" s="250"/>
      <c r="D2270" s="250"/>
      <c r="E2270" s="250"/>
      <c r="F2270" s="250"/>
      <c r="G2270" s="471"/>
      <c r="H2270" s="250"/>
      <c r="I2270" s="471"/>
    </row>
    <row r="2271" spans="1:9" ht="12.75">
      <c r="A2271" s="717"/>
      <c r="B2271" s="718"/>
      <c r="C2271" s="250"/>
      <c r="D2271" s="250"/>
      <c r="E2271" s="250"/>
      <c r="F2271" s="250"/>
      <c r="G2271" s="471"/>
      <c r="H2271" s="250"/>
      <c r="I2271" s="471"/>
    </row>
    <row r="2272" spans="1:9" ht="12.75">
      <c r="A2272" s="717"/>
      <c r="B2272" s="718"/>
      <c r="C2272" s="250"/>
      <c r="D2272" s="250"/>
      <c r="E2272" s="250"/>
      <c r="F2272" s="250"/>
      <c r="G2272" s="471"/>
      <c r="H2272" s="250"/>
      <c r="I2272" s="471"/>
    </row>
    <row r="2273" spans="1:9" ht="12.75">
      <c r="A2273" s="717"/>
      <c r="B2273" s="718"/>
      <c r="C2273" s="250"/>
      <c r="D2273" s="250"/>
      <c r="E2273" s="250"/>
      <c r="F2273" s="250"/>
      <c r="G2273" s="471"/>
      <c r="H2273" s="250"/>
      <c r="I2273" s="471"/>
    </row>
    <row r="2274" spans="1:9" ht="12.75">
      <c r="A2274" s="717"/>
      <c r="B2274" s="718"/>
      <c r="C2274" s="250"/>
      <c r="D2274" s="250"/>
      <c r="E2274" s="250"/>
      <c r="F2274" s="250"/>
      <c r="G2274" s="471"/>
      <c r="H2274" s="250"/>
      <c r="I2274" s="471"/>
    </row>
    <row r="2275" spans="1:9" ht="12.75">
      <c r="A2275" s="717"/>
      <c r="B2275" s="718"/>
      <c r="C2275" s="250"/>
      <c r="D2275" s="250"/>
      <c r="E2275" s="250"/>
      <c r="F2275" s="250"/>
      <c r="G2275" s="471"/>
      <c r="H2275" s="250"/>
      <c r="I2275" s="471"/>
    </row>
    <row r="2276" spans="1:9" ht="12.75">
      <c r="A2276" s="717"/>
      <c r="B2276" s="718"/>
      <c r="C2276" s="250"/>
      <c r="D2276" s="250"/>
      <c r="E2276" s="250"/>
      <c r="F2276" s="250"/>
      <c r="G2276" s="471"/>
      <c r="H2276" s="250"/>
      <c r="I2276" s="471"/>
    </row>
    <row r="2277" spans="1:9" ht="12.75">
      <c r="A2277" s="717"/>
      <c r="B2277" s="718"/>
      <c r="C2277" s="250"/>
      <c r="D2277" s="250"/>
      <c r="E2277" s="250"/>
      <c r="F2277" s="250"/>
      <c r="G2277" s="471"/>
      <c r="H2277" s="250"/>
      <c r="I2277" s="471"/>
    </row>
    <row r="2278" spans="1:9" ht="12.75">
      <c r="A2278" s="717"/>
      <c r="B2278" s="718"/>
      <c r="C2278" s="250"/>
      <c r="D2278" s="250"/>
      <c r="E2278" s="250"/>
      <c r="F2278" s="250"/>
      <c r="G2278" s="471"/>
      <c r="H2278" s="250"/>
      <c r="I2278" s="471"/>
    </row>
    <row r="2279" spans="1:9" ht="12.75">
      <c r="A2279" s="717"/>
      <c r="B2279" s="718"/>
      <c r="C2279" s="250"/>
      <c r="D2279" s="250"/>
      <c r="E2279" s="250"/>
      <c r="F2279" s="250"/>
      <c r="G2279" s="471"/>
      <c r="H2279" s="250"/>
      <c r="I2279" s="471"/>
    </row>
    <row r="2280" spans="1:9" ht="12.75">
      <c r="A2280" s="717"/>
      <c r="B2280" s="718"/>
      <c r="C2280" s="250"/>
      <c r="D2280" s="250"/>
      <c r="E2280" s="250"/>
      <c r="F2280" s="250"/>
      <c r="G2280" s="471"/>
      <c r="H2280" s="250"/>
      <c r="I2280" s="471"/>
    </row>
    <row r="2281" spans="1:9" ht="12.75">
      <c r="A2281" s="717"/>
      <c r="B2281" s="718"/>
      <c r="C2281" s="250"/>
      <c r="D2281" s="250"/>
      <c r="E2281" s="250"/>
      <c r="F2281" s="250"/>
      <c r="G2281" s="471"/>
      <c r="H2281" s="250"/>
      <c r="I2281" s="471"/>
    </row>
    <row r="2282" spans="1:9" ht="12.75">
      <c r="A2282" s="717"/>
      <c r="B2282" s="718"/>
      <c r="C2282" s="250"/>
      <c r="D2282" s="250"/>
      <c r="E2282" s="250"/>
      <c r="F2282" s="250"/>
      <c r="G2282" s="471"/>
      <c r="H2282" s="250"/>
      <c r="I2282" s="471"/>
    </row>
    <row r="2283" spans="1:9" ht="12.75">
      <c r="A2283" s="717"/>
      <c r="B2283" s="718"/>
      <c r="C2283" s="250"/>
      <c r="D2283" s="250"/>
      <c r="E2283" s="250"/>
      <c r="F2283" s="250"/>
      <c r="G2283" s="471"/>
      <c r="H2283" s="250"/>
      <c r="I2283" s="471"/>
    </row>
    <row r="2284" spans="1:9" ht="12.75">
      <c r="A2284" s="717"/>
      <c r="B2284" s="718"/>
      <c r="C2284" s="250"/>
      <c r="D2284" s="250"/>
      <c r="E2284" s="250"/>
      <c r="F2284" s="250"/>
      <c r="G2284" s="471"/>
      <c r="H2284" s="250"/>
      <c r="I2284" s="471"/>
    </row>
    <row r="2285" spans="1:9" ht="12.75">
      <c r="A2285" s="717"/>
      <c r="B2285" s="718"/>
      <c r="C2285" s="250"/>
      <c r="D2285" s="250"/>
      <c r="E2285" s="250"/>
      <c r="F2285" s="250"/>
      <c r="G2285" s="471"/>
      <c r="H2285" s="250"/>
      <c r="I2285" s="471"/>
    </row>
    <row r="2286" spans="1:9" ht="12.75">
      <c r="A2286" s="717"/>
      <c r="B2286" s="718"/>
      <c r="C2286" s="250"/>
      <c r="D2286" s="250"/>
      <c r="E2286" s="250"/>
      <c r="F2286" s="250"/>
      <c r="G2286" s="471"/>
      <c r="H2286" s="250"/>
      <c r="I2286" s="471"/>
    </row>
    <row r="2287" spans="1:9" ht="12.75">
      <c r="A2287" s="717"/>
      <c r="B2287" s="718"/>
      <c r="C2287" s="250"/>
      <c r="D2287" s="250"/>
      <c r="E2287" s="250"/>
      <c r="F2287" s="250"/>
      <c r="G2287" s="471"/>
      <c r="H2287" s="250"/>
      <c r="I2287" s="471"/>
    </row>
    <row r="2288" spans="1:9" ht="12.75">
      <c r="A2288" s="717"/>
      <c r="B2288" s="718"/>
      <c r="C2288" s="250"/>
      <c r="D2288" s="250"/>
      <c r="E2288" s="250"/>
      <c r="F2288" s="250"/>
      <c r="G2288" s="471"/>
      <c r="H2288" s="250"/>
      <c r="I2288" s="471"/>
    </row>
    <row r="2289" spans="1:9" ht="12.75">
      <c r="A2289" s="717"/>
      <c r="B2289" s="718"/>
      <c r="C2289" s="250"/>
      <c r="D2289" s="250"/>
      <c r="E2289" s="250"/>
      <c r="F2289" s="250"/>
      <c r="G2289" s="471"/>
      <c r="H2289" s="250"/>
      <c r="I2289" s="471"/>
    </row>
    <row r="2290" spans="1:9" ht="12.75">
      <c r="A2290" s="717"/>
      <c r="B2290" s="718"/>
      <c r="C2290" s="250"/>
      <c r="D2290" s="250"/>
      <c r="E2290" s="250"/>
      <c r="F2290" s="250"/>
      <c r="G2290" s="471"/>
      <c r="H2290" s="250"/>
      <c r="I2290" s="471"/>
    </row>
    <row r="2291" spans="1:9" ht="12.75">
      <c r="A2291" s="717"/>
      <c r="B2291" s="718"/>
      <c r="C2291" s="250"/>
      <c r="D2291" s="250"/>
      <c r="E2291" s="250"/>
      <c r="F2291" s="250"/>
      <c r="G2291" s="471"/>
      <c r="H2291" s="250"/>
      <c r="I2291" s="471"/>
    </row>
    <row r="2292" spans="1:9" ht="12.75">
      <c r="A2292" s="717"/>
      <c r="B2292" s="718"/>
      <c r="C2292" s="250"/>
      <c r="D2292" s="250"/>
      <c r="E2292" s="250"/>
      <c r="F2292" s="250"/>
      <c r="G2292" s="471"/>
      <c r="H2292" s="250"/>
      <c r="I2292" s="471"/>
    </row>
    <row r="2293" spans="1:9" ht="12.75">
      <c r="A2293" s="717"/>
      <c r="B2293" s="718"/>
      <c r="C2293" s="250"/>
      <c r="D2293" s="250"/>
      <c r="E2293" s="250"/>
      <c r="F2293" s="250"/>
      <c r="G2293" s="471"/>
      <c r="H2293" s="250"/>
      <c r="I2293" s="471"/>
    </row>
    <row r="2294" spans="1:9" ht="12.75">
      <c r="A2294" s="717"/>
      <c r="B2294" s="718"/>
      <c r="C2294" s="250"/>
      <c r="D2294" s="250"/>
      <c r="E2294" s="250"/>
      <c r="F2294" s="250"/>
      <c r="G2294" s="471"/>
      <c r="H2294" s="250"/>
      <c r="I2294" s="471"/>
    </row>
    <row r="2295" spans="1:9" ht="12.75">
      <c r="A2295" s="717"/>
      <c r="B2295" s="718"/>
      <c r="C2295" s="250"/>
      <c r="D2295" s="250"/>
      <c r="E2295" s="250"/>
      <c r="F2295" s="250"/>
      <c r="G2295" s="471"/>
      <c r="H2295" s="250"/>
      <c r="I2295" s="471"/>
    </row>
    <row r="2296" spans="1:9" ht="12.75">
      <c r="A2296" s="717"/>
      <c r="B2296" s="718"/>
      <c r="C2296" s="250"/>
      <c r="D2296" s="250"/>
      <c r="E2296" s="250"/>
      <c r="F2296" s="250"/>
      <c r="G2296" s="471"/>
      <c r="H2296" s="250"/>
      <c r="I2296" s="471"/>
    </row>
    <row r="2297" spans="1:9" ht="12.75">
      <c r="A2297" s="717"/>
      <c r="B2297" s="718"/>
      <c r="C2297" s="250"/>
      <c r="D2297" s="250"/>
      <c r="E2297" s="250"/>
      <c r="F2297" s="250"/>
      <c r="G2297" s="471"/>
      <c r="H2297" s="250"/>
      <c r="I2297" s="471"/>
    </row>
    <row r="2298" spans="1:9" ht="12.75">
      <c r="A2298" s="717"/>
      <c r="B2298" s="718"/>
      <c r="C2298" s="250"/>
      <c r="D2298" s="250"/>
      <c r="E2298" s="250"/>
      <c r="F2298" s="250"/>
      <c r="G2298" s="471"/>
      <c r="H2298" s="250"/>
      <c r="I2298" s="471"/>
    </row>
    <row r="2299" spans="1:9" ht="12.75">
      <c r="A2299" s="717"/>
      <c r="B2299" s="718"/>
      <c r="C2299" s="250"/>
      <c r="D2299" s="250"/>
      <c r="E2299" s="250"/>
      <c r="F2299" s="250"/>
      <c r="G2299" s="471"/>
      <c r="H2299" s="250"/>
      <c r="I2299" s="471"/>
    </row>
    <row r="2300" spans="1:9" ht="12.75">
      <c r="A2300" s="717"/>
      <c r="B2300" s="718"/>
      <c r="C2300" s="250"/>
      <c r="D2300" s="250"/>
      <c r="E2300" s="250"/>
      <c r="F2300" s="250"/>
      <c r="G2300" s="471"/>
      <c r="H2300" s="250"/>
      <c r="I2300" s="471"/>
    </row>
    <row r="2301" spans="1:9" ht="12.75">
      <c r="A2301" s="717"/>
      <c r="B2301" s="718"/>
      <c r="C2301" s="250"/>
      <c r="D2301" s="250"/>
      <c r="E2301" s="250"/>
      <c r="F2301" s="250"/>
      <c r="G2301" s="471"/>
      <c r="H2301" s="250"/>
      <c r="I2301" s="471"/>
    </row>
    <row r="2302" spans="1:9" ht="12.75">
      <c r="A2302" s="717"/>
      <c r="B2302" s="718"/>
      <c r="C2302" s="250"/>
      <c r="D2302" s="250"/>
      <c r="E2302" s="250"/>
      <c r="F2302" s="250"/>
      <c r="G2302" s="471"/>
      <c r="H2302" s="250"/>
      <c r="I2302" s="471"/>
    </row>
    <row r="2303" spans="1:9" ht="12.75">
      <c r="A2303" s="717"/>
      <c r="B2303" s="718"/>
      <c r="C2303" s="250"/>
      <c r="D2303" s="250"/>
      <c r="E2303" s="250"/>
      <c r="F2303" s="250"/>
      <c r="G2303" s="471"/>
      <c r="H2303" s="250"/>
      <c r="I2303" s="471"/>
    </row>
    <row r="2304" spans="1:9" ht="12.75">
      <c r="A2304" s="717"/>
      <c r="B2304" s="718"/>
      <c r="C2304" s="250"/>
      <c r="D2304" s="250"/>
      <c r="E2304" s="250"/>
      <c r="F2304" s="250"/>
      <c r="G2304" s="471"/>
      <c r="H2304" s="250"/>
      <c r="I2304" s="471"/>
    </row>
    <row r="2305" spans="1:9" ht="12.75">
      <c r="A2305" s="717"/>
      <c r="B2305" s="718"/>
      <c r="C2305" s="250"/>
      <c r="D2305" s="250"/>
      <c r="E2305" s="250"/>
      <c r="F2305" s="250"/>
      <c r="G2305" s="471"/>
      <c r="H2305" s="250"/>
      <c r="I2305" s="471"/>
    </row>
    <row r="2306" spans="1:9" ht="12.75">
      <c r="A2306" s="717"/>
      <c r="B2306" s="718"/>
      <c r="C2306" s="250"/>
      <c r="D2306" s="250"/>
      <c r="E2306" s="250"/>
      <c r="F2306" s="250"/>
      <c r="G2306" s="471"/>
      <c r="H2306" s="250"/>
      <c r="I2306" s="471"/>
    </row>
    <row r="2307" spans="1:9" ht="12.75">
      <c r="A2307" s="717"/>
      <c r="B2307" s="718"/>
      <c r="C2307" s="250"/>
      <c r="D2307" s="250"/>
      <c r="E2307" s="250"/>
      <c r="F2307" s="250"/>
      <c r="G2307" s="471"/>
      <c r="H2307" s="250"/>
      <c r="I2307" s="471"/>
    </row>
    <row r="2308" spans="1:9" ht="12.75">
      <c r="A2308" s="717"/>
      <c r="B2308" s="718"/>
      <c r="C2308" s="250"/>
      <c r="D2308" s="250"/>
      <c r="E2308" s="250"/>
      <c r="F2308" s="250"/>
      <c r="G2308" s="471"/>
      <c r="H2308" s="250"/>
      <c r="I2308" s="471"/>
    </row>
    <row r="2309" spans="1:9" ht="12.75">
      <c r="A2309" s="717"/>
      <c r="B2309" s="718"/>
      <c r="C2309" s="250"/>
      <c r="D2309" s="250"/>
      <c r="E2309" s="250"/>
      <c r="F2309" s="250"/>
      <c r="G2309" s="471"/>
      <c r="H2309" s="250"/>
      <c r="I2309" s="471"/>
    </row>
    <row r="2310" spans="1:9" ht="12.75">
      <c r="A2310" s="717"/>
      <c r="B2310" s="718"/>
      <c r="C2310" s="250"/>
      <c r="D2310" s="250"/>
      <c r="E2310" s="250"/>
      <c r="F2310" s="250"/>
      <c r="G2310" s="471"/>
      <c r="H2310" s="250"/>
      <c r="I2310" s="471"/>
    </row>
    <row r="2311" spans="1:9" ht="12.75">
      <c r="A2311" s="717"/>
      <c r="B2311" s="718"/>
      <c r="C2311" s="250"/>
      <c r="D2311" s="250"/>
      <c r="E2311" s="250"/>
      <c r="F2311" s="250"/>
      <c r="G2311" s="471"/>
      <c r="H2311" s="250"/>
      <c r="I2311" s="471"/>
    </row>
    <row r="2312" spans="1:9" ht="12.75">
      <c r="A2312" s="717"/>
      <c r="B2312" s="718"/>
      <c r="C2312" s="250"/>
      <c r="D2312" s="250"/>
      <c r="E2312" s="250"/>
      <c r="F2312" s="250"/>
      <c r="G2312" s="471"/>
      <c r="H2312" s="250"/>
      <c r="I2312" s="471"/>
    </row>
    <row r="2313" spans="1:9" ht="12.75">
      <c r="A2313" s="717"/>
      <c r="B2313" s="718"/>
      <c r="C2313" s="250"/>
      <c r="D2313" s="250"/>
      <c r="E2313" s="250"/>
      <c r="F2313" s="250"/>
      <c r="G2313" s="471"/>
      <c r="H2313" s="250"/>
      <c r="I2313" s="471"/>
    </row>
    <row r="2314" spans="1:9" ht="12.75">
      <c r="A2314" s="717"/>
      <c r="B2314" s="718"/>
      <c r="C2314" s="250"/>
      <c r="D2314" s="250"/>
      <c r="E2314" s="250"/>
      <c r="F2314" s="250"/>
      <c r="G2314" s="471"/>
      <c r="H2314" s="250"/>
      <c r="I2314" s="471"/>
    </row>
    <row r="2315" spans="1:9" ht="12.75">
      <c r="A2315" s="717"/>
      <c r="B2315" s="718"/>
      <c r="C2315" s="250"/>
      <c r="D2315" s="250"/>
      <c r="E2315" s="250"/>
      <c r="F2315" s="250"/>
      <c r="G2315" s="471"/>
      <c r="H2315" s="250"/>
      <c r="I2315" s="471"/>
    </row>
    <row r="2316" spans="1:9" ht="12.75">
      <c r="A2316" s="717"/>
      <c r="B2316" s="718"/>
      <c r="C2316" s="250"/>
      <c r="D2316" s="250"/>
      <c r="E2316" s="250"/>
      <c r="F2316" s="250"/>
      <c r="G2316" s="471"/>
      <c r="H2316" s="250"/>
      <c r="I2316" s="471"/>
    </row>
    <row r="2317" spans="1:9" ht="12.75">
      <c r="A2317" s="717"/>
      <c r="B2317" s="718"/>
      <c r="C2317" s="250"/>
      <c r="D2317" s="250"/>
      <c r="E2317" s="250"/>
      <c r="F2317" s="250"/>
      <c r="G2317" s="471"/>
      <c r="H2317" s="250"/>
      <c r="I2317" s="471"/>
    </row>
    <row r="2318" spans="1:9" ht="12.75">
      <c r="A2318" s="717"/>
      <c r="B2318" s="718"/>
      <c r="C2318" s="250"/>
      <c r="D2318" s="250"/>
      <c r="E2318" s="250"/>
      <c r="F2318" s="250"/>
      <c r="G2318" s="471"/>
      <c r="H2318" s="250"/>
      <c r="I2318" s="471"/>
    </row>
    <row r="2319" spans="1:9" ht="12.75">
      <c r="A2319" s="717"/>
      <c r="B2319" s="718"/>
      <c r="C2319" s="250"/>
      <c r="D2319" s="250"/>
      <c r="E2319" s="250"/>
      <c r="F2319" s="250"/>
      <c r="G2319" s="471"/>
      <c r="H2319" s="250"/>
      <c r="I2319" s="471"/>
    </row>
    <row r="2320" spans="1:9" ht="12.75">
      <c r="A2320" s="717"/>
      <c r="B2320" s="718"/>
      <c r="C2320" s="250"/>
      <c r="D2320" s="250"/>
      <c r="E2320" s="250"/>
      <c r="F2320" s="250"/>
      <c r="G2320" s="471"/>
      <c r="H2320" s="250"/>
      <c r="I2320" s="471"/>
    </row>
    <row r="2321" spans="1:9" ht="12.75">
      <c r="A2321" s="717"/>
      <c r="B2321" s="718"/>
      <c r="C2321" s="250"/>
      <c r="D2321" s="250"/>
      <c r="E2321" s="250"/>
      <c r="F2321" s="250"/>
      <c r="G2321" s="471"/>
      <c r="H2321" s="250"/>
      <c r="I2321" s="471"/>
    </row>
    <row r="2322" spans="1:9" ht="12.75">
      <c r="A2322" s="717"/>
      <c r="B2322" s="718"/>
      <c r="C2322" s="250"/>
      <c r="D2322" s="250"/>
      <c r="E2322" s="250"/>
      <c r="F2322" s="250"/>
      <c r="G2322" s="471"/>
      <c r="H2322" s="250"/>
      <c r="I2322" s="471"/>
    </row>
    <row r="2323" spans="1:9" ht="12.75">
      <c r="A2323" s="717"/>
      <c r="B2323" s="718"/>
      <c r="C2323" s="250"/>
      <c r="D2323" s="250"/>
      <c r="E2323" s="250"/>
      <c r="F2323" s="250"/>
      <c r="G2323" s="471"/>
      <c r="H2323" s="250"/>
      <c r="I2323" s="471"/>
    </row>
    <row r="2324" spans="1:9" ht="12.75">
      <c r="A2324" s="717"/>
      <c r="B2324" s="718"/>
      <c r="C2324" s="250"/>
      <c r="D2324" s="250"/>
      <c r="E2324" s="250"/>
      <c r="F2324" s="250"/>
      <c r="G2324" s="471"/>
      <c r="H2324" s="250"/>
      <c r="I2324" s="471"/>
    </row>
    <row r="2325" spans="1:9" ht="12.75">
      <c r="A2325" s="717"/>
      <c r="B2325" s="718"/>
      <c r="C2325" s="250"/>
      <c r="D2325" s="250"/>
      <c r="E2325" s="250"/>
      <c r="F2325" s="250"/>
      <c r="G2325" s="471"/>
      <c r="H2325" s="250"/>
      <c r="I2325" s="471"/>
    </row>
    <row r="2326" spans="1:9" ht="12.75">
      <c r="A2326" s="717"/>
      <c r="B2326" s="718"/>
      <c r="C2326" s="250"/>
      <c r="D2326" s="250"/>
      <c r="E2326" s="250"/>
      <c r="F2326" s="250"/>
      <c r="G2326" s="471"/>
      <c r="H2326" s="250"/>
      <c r="I2326" s="471"/>
    </row>
    <row r="2327" spans="1:9" ht="12.75">
      <c r="A2327" s="717"/>
      <c r="B2327" s="718"/>
      <c r="C2327" s="250"/>
      <c r="D2327" s="250"/>
      <c r="E2327" s="250"/>
      <c r="F2327" s="250"/>
      <c r="G2327" s="471"/>
      <c r="H2327" s="250"/>
      <c r="I2327" s="471"/>
    </row>
    <row r="2328" spans="1:9" ht="12.75">
      <c r="A2328" s="717"/>
      <c r="B2328" s="718"/>
      <c r="C2328" s="250"/>
      <c r="D2328" s="250"/>
      <c r="E2328" s="250"/>
      <c r="F2328" s="250"/>
      <c r="G2328" s="471"/>
      <c r="H2328" s="250"/>
      <c r="I2328" s="471"/>
    </row>
    <row r="2329" spans="1:9" ht="12.75">
      <c r="A2329" s="717"/>
      <c r="B2329" s="718"/>
      <c r="C2329" s="250"/>
      <c r="D2329" s="250"/>
      <c r="E2329" s="250"/>
      <c r="F2329" s="250"/>
      <c r="G2329" s="471"/>
      <c r="H2329" s="250"/>
      <c r="I2329" s="471"/>
    </row>
    <row r="2330" spans="1:9" ht="12.75">
      <c r="A2330" s="717"/>
      <c r="B2330" s="718"/>
      <c r="C2330" s="250"/>
      <c r="D2330" s="250"/>
      <c r="E2330" s="250"/>
      <c r="F2330" s="250"/>
      <c r="G2330" s="471"/>
      <c r="H2330" s="250"/>
      <c r="I2330" s="471"/>
    </row>
    <row r="2331" spans="1:9" ht="12.75">
      <c r="A2331" s="717"/>
      <c r="B2331" s="718"/>
      <c r="C2331" s="250"/>
      <c r="D2331" s="250"/>
      <c r="E2331" s="250"/>
      <c r="F2331" s="250"/>
      <c r="G2331" s="471"/>
      <c r="H2331" s="250"/>
      <c r="I2331" s="471"/>
    </row>
    <row r="2332" spans="1:9" ht="12.75">
      <c r="A2332" s="717"/>
      <c r="B2332" s="718"/>
      <c r="C2332" s="250"/>
      <c r="D2332" s="250"/>
      <c r="E2332" s="250"/>
      <c r="F2332" s="250"/>
      <c r="G2332" s="471"/>
      <c r="H2332" s="250"/>
      <c r="I2332" s="471"/>
    </row>
    <row r="2333" spans="1:9" ht="12.75">
      <c r="A2333" s="717"/>
      <c r="B2333" s="718"/>
      <c r="C2333" s="250"/>
      <c r="D2333" s="250"/>
      <c r="E2333" s="250"/>
      <c r="F2333" s="250"/>
      <c r="G2333" s="471"/>
      <c r="H2333" s="250"/>
      <c r="I2333" s="471"/>
    </row>
    <row r="2334" spans="1:9" ht="12.75">
      <c r="A2334" s="717"/>
      <c r="B2334" s="718"/>
      <c r="C2334" s="250"/>
      <c r="D2334" s="250"/>
      <c r="E2334" s="250"/>
      <c r="F2334" s="250"/>
      <c r="G2334" s="471"/>
      <c r="H2334" s="250"/>
      <c r="I2334" s="471"/>
    </row>
    <row r="2335" spans="1:9" ht="12.75">
      <c r="A2335" s="717"/>
      <c r="B2335" s="718"/>
      <c r="C2335" s="250"/>
      <c r="D2335" s="250"/>
      <c r="E2335" s="250"/>
      <c r="F2335" s="250"/>
      <c r="G2335" s="471"/>
      <c r="H2335" s="250"/>
      <c r="I2335" s="471"/>
    </row>
    <row r="2336" spans="1:9" ht="12.75">
      <c r="A2336" s="717"/>
      <c r="B2336" s="718"/>
      <c r="C2336" s="250"/>
      <c r="D2336" s="250"/>
      <c r="E2336" s="250"/>
      <c r="F2336" s="250"/>
      <c r="G2336" s="471"/>
      <c r="H2336" s="250"/>
      <c r="I2336" s="471"/>
    </row>
    <row r="2337" spans="1:9" ht="12.75">
      <c r="A2337" s="717"/>
      <c r="B2337" s="718"/>
      <c r="C2337" s="250"/>
      <c r="D2337" s="250"/>
      <c r="E2337" s="250"/>
      <c r="F2337" s="250"/>
      <c r="G2337" s="471"/>
      <c r="H2337" s="250"/>
      <c r="I2337" s="471"/>
    </row>
    <row r="2338" spans="1:9" ht="12.75">
      <c r="A2338" s="717"/>
      <c r="B2338" s="718"/>
      <c r="C2338" s="250"/>
      <c r="D2338" s="250"/>
      <c r="E2338" s="250"/>
      <c r="F2338" s="250"/>
      <c r="G2338" s="471"/>
      <c r="H2338" s="250"/>
      <c r="I2338" s="471"/>
    </row>
    <row r="2339" spans="1:9" ht="12.75">
      <c r="A2339" s="717"/>
      <c r="B2339" s="718"/>
      <c r="C2339" s="250"/>
      <c r="D2339" s="250"/>
      <c r="E2339" s="250"/>
      <c r="F2339" s="250"/>
      <c r="G2339" s="471"/>
      <c r="H2339" s="250"/>
      <c r="I2339" s="471"/>
    </row>
    <row r="2340" spans="1:9" ht="12.75">
      <c r="A2340" s="717"/>
      <c r="B2340" s="718"/>
      <c r="C2340" s="250"/>
      <c r="D2340" s="250"/>
      <c r="E2340" s="250"/>
      <c r="F2340" s="250"/>
      <c r="G2340" s="471"/>
      <c r="H2340" s="250"/>
      <c r="I2340" s="471"/>
    </row>
    <row r="2341" spans="1:9" ht="12.75">
      <c r="A2341" s="717"/>
      <c r="B2341" s="718"/>
      <c r="C2341" s="250"/>
      <c r="D2341" s="250"/>
      <c r="E2341" s="250"/>
      <c r="F2341" s="250"/>
      <c r="G2341" s="471"/>
      <c r="H2341" s="250"/>
      <c r="I2341" s="471"/>
    </row>
    <row r="2342" spans="1:9" ht="12.75">
      <c r="A2342" s="717"/>
      <c r="B2342" s="718"/>
      <c r="C2342" s="250"/>
      <c r="D2342" s="250"/>
      <c r="E2342" s="250"/>
      <c r="F2342" s="250"/>
      <c r="G2342" s="471"/>
      <c r="H2342" s="250"/>
      <c r="I2342" s="471"/>
    </row>
    <row r="2343" spans="1:9" ht="12.75">
      <c r="A2343" s="717"/>
      <c r="B2343" s="718"/>
      <c r="C2343" s="250"/>
      <c r="D2343" s="250"/>
      <c r="E2343" s="250"/>
      <c r="F2343" s="250"/>
      <c r="G2343" s="471"/>
      <c r="H2343" s="250"/>
      <c r="I2343" s="471"/>
    </row>
    <row r="2344" spans="1:9" ht="12.75">
      <c r="A2344" s="717"/>
      <c r="B2344" s="718"/>
      <c r="C2344" s="250"/>
      <c r="D2344" s="250"/>
      <c r="E2344" s="250"/>
      <c r="F2344" s="250"/>
      <c r="G2344" s="471"/>
      <c r="H2344" s="250"/>
      <c r="I2344" s="471"/>
    </row>
    <row r="2345" spans="1:9" ht="12.75">
      <c r="A2345" s="717"/>
      <c r="B2345" s="718"/>
      <c r="C2345" s="250"/>
      <c r="D2345" s="250"/>
      <c r="E2345" s="250"/>
      <c r="F2345" s="250"/>
      <c r="G2345" s="471"/>
      <c r="H2345" s="250"/>
      <c r="I2345" s="471"/>
    </row>
    <row r="2346" spans="1:9" ht="12.75">
      <c r="A2346" s="717"/>
      <c r="B2346" s="718"/>
      <c r="C2346" s="250"/>
      <c r="D2346" s="250"/>
      <c r="E2346" s="250"/>
      <c r="F2346" s="250"/>
      <c r="G2346" s="471"/>
      <c r="H2346" s="250"/>
      <c r="I2346" s="471"/>
    </row>
    <row r="2347" spans="1:9" ht="12.75">
      <c r="A2347" s="717"/>
      <c r="B2347" s="718"/>
      <c r="C2347" s="250"/>
      <c r="D2347" s="250"/>
      <c r="E2347" s="250"/>
      <c r="F2347" s="250"/>
      <c r="G2347" s="471"/>
      <c r="H2347" s="250"/>
      <c r="I2347" s="471"/>
    </row>
    <row r="2348" spans="1:9" ht="12.75">
      <c r="A2348" s="717"/>
      <c r="B2348" s="718"/>
      <c r="C2348" s="250"/>
      <c r="D2348" s="250"/>
      <c r="E2348" s="250"/>
      <c r="F2348" s="250"/>
      <c r="G2348" s="471"/>
      <c r="H2348" s="250"/>
      <c r="I2348" s="471"/>
    </row>
    <row r="2349" spans="1:9" ht="12.75">
      <c r="A2349" s="717"/>
      <c r="B2349" s="718"/>
      <c r="C2349" s="250"/>
      <c r="D2349" s="250"/>
      <c r="E2349" s="250"/>
      <c r="F2349" s="250"/>
      <c r="G2349" s="471"/>
      <c r="H2349" s="250"/>
      <c r="I2349" s="471"/>
    </row>
    <row r="2350" spans="1:9" ht="12.75">
      <c r="A2350" s="717"/>
      <c r="B2350" s="718"/>
      <c r="C2350" s="250"/>
      <c r="D2350" s="250"/>
      <c r="E2350" s="250"/>
      <c r="F2350" s="250"/>
      <c r="G2350" s="471"/>
      <c r="H2350" s="250"/>
      <c r="I2350" s="471"/>
    </row>
    <row r="2351" spans="1:9" ht="12.75">
      <c r="A2351" s="717"/>
      <c r="B2351" s="718"/>
      <c r="C2351" s="250"/>
      <c r="D2351" s="250"/>
      <c r="E2351" s="250"/>
      <c r="F2351" s="250"/>
      <c r="G2351" s="471"/>
      <c r="H2351" s="250"/>
      <c r="I2351" s="471"/>
    </row>
    <row r="2352" spans="1:9" ht="12.75">
      <c r="A2352" s="717"/>
      <c r="B2352" s="718"/>
      <c r="C2352" s="250"/>
      <c r="D2352" s="250"/>
      <c r="E2352" s="250"/>
      <c r="F2352" s="250"/>
      <c r="G2352" s="471"/>
      <c r="H2352" s="250"/>
      <c r="I2352" s="471"/>
    </row>
    <row r="2353" spans="1:9" ht="12.75">
      <c r="A2353" s="717"/>
      <c r="B2353" s="718"/>
      <c r="C2353" s="250"/>
      <c r="D2353" s="250"/>
      <c r="E2353" s="250"/>
      <c r="F2353" s="250"/>
      <c r="G2353" s="471"/>
      <c r="H2353" s="250"/>
      <c r="I2353" s="471"/>
    </row>
    <row r="2354" spans="1:9" ht="12.75">
      <c r="A2354" s="717"/>
      <c r="B2354" s="718"/>
      <c r="C2354" s="250"/>
      <c r="D2354" s="250"/>
      <c r="E2354" s="250"/>
      <c r="F2354" s="250"/>
      <c r="G2354" s="471"/>
      <c r="H2354" s="250"/>
      <c r="I2354" s="471"/>
    </row>
    <row r="2355" spans="1:9" ht="12.75">
      <c r="A2355" s="717"/>
      <c r="B2355" s="718"/>
      <c r="C2355" s="250"/>
      <c r="D2355" s="250"/>
      <c r="E2355" s="250"/>
      <c r="F2355" s="250"/>
      <c r="G2355" s="471"/>
      <c r="H2355" s="250"/>
      <c r="I2355" s="471"/>
    </row>
    <row r="2356" spans="1:9" ht="12.75">
      <c r="A2356" s="717"/>
      <c r="B2356" s="718"/>
      <c r="C2356" s="250"/>
      <c r="D2356" s="250"/>
      <c r="E2356" s="250"/>
      <c r="F2356" s="250"/>
      <c r="G2356" s="471"/>
      <c r="H2356" s="250"/>
      <c r="I2356" s="471"/>
    </row>
    <row r="2357" spans="1:9" ht="12.75">
      <c r="A2357" s="717"/>
      <c r="B2357" s="718"/>
      <c r="C2357" s="250"/>
      <c r="D2357" s="250"/>
      <c r="E2357" s="250"/>
      <c r="F2357" s="250"/>
      <c r="G2357" s="471"/>
      <c r="H2357" s="250"/>
      <c r="I2357" s="471"/>
    </row>
    <row r="2358" spans="1:9" ht="12.75">
      <c r="A2358" s="717"/>
      <c r="B2358" s="718"/>
      <c r="C2358" s="250"/>
      <c r="D2358" s="250"/>
      <c r="E2358" s="250"/>
      <c r="F2358" s="250"/>
      <c r="G2358" s="471"/>
      <c r="H2358" s="250"/>
      <c r="I2358" s="471"/>
    </row>
    <row r="2359" spans="1:9" ht="12.75">
      <c r="A2359" s="717"/>
      <c r="B2359" s="718"/>
      <c r="C2359" s="250"/>
      <c r="D2359" s="250"/>
      <c r="E2359" s="250"/>
      <c r="F2359" s="250"/>
      <c r="G2359" s="471"/>
      <c r="H2359" s="250"/>
      <c r="I2359" s="471"/>
    </row>
    <row r="2360" spans="1:9" ht="12.75">
      <c r="A2360" s="717"/>
      <c r="B2360" s="718"/>
      <c r="C2360" s="250"/>
      <c r="D2360" s="250"/>
      <c r="E2360" s="250"/>
      <c r="F2360" s="250"/>
      <c r="G2360" s="471"/>
      <c r="H2360" s="250"/>
      <c r="I2360" s="471"/>
    </row>
    <row r="2361" spans="1:9" ht="12.75">
      <c r="A2361" s="717"/>
      <c r="B2361" s="718"/>
      <c r="C2361" s="250"/>
      <c r="D2361" s="250"/>
      <c r="E2361" s="250"/>
      <c r="F2361" s="250"/>
      <c r="G2361" s="471"/>
      <c r="H2361" s="250"/>
      <c r="I2361" s="471"/>
    </row>
    <row r="2362" spans="1:9" ht="12.75">
      <c r="A2362" s="717"/>
      <c r="B2362" s="718"/>
      <c r="C2362" s="250"/>
      <c r="D2362" s="250"/>
      <c r="E2362" s="250"/>
      <c r="F2362" s="250"/>
      <c r="G2362" s="471"/>
      <c r="H2362" s="250"/>
      <c r="I2362" s="471"/>
    </row>
    <row r="2363" spans="1:9" ht="12.75">
      <c r="A2363" s="717"/>
      <c r="B2363" s="718"/>
      <c r="C2363" s="250"/>
      <c r="D2363" s="250"/>
      <c r="E2363" s="250"/>
      <c r="F2363" s="250"/>
      <c r="G2363" s="471"/>
      <c r="H2363" s="250"/>
      <c r="I2363" s="471"/>
    </row>
    <row r="2364" spans="1:9" ht="12.75">
      <c r="A2364" s="717"/>
      <c r="B2364" s="718"/>
      <c r="C2364" s="250"/>
      <c r="D2364" s="250"/>
      <c r="E2364" s="250"/>
      <c r="F2364" s="250"/>
      <c r="G2364" s="471"/>
      <c r="H2364" s="250"/>
      <c r="I2364" s="471"/>
    </row>
    <row r="2365" spans="1:9" ht="12.75">
      <c r="A2365" s="717"/>
      <c r="B2365" s="718"/>
      <c r="C2365" s="250"/>
      <c r="D2365" s="250"/>
      <c r="E2365" s="250"/>
      <c r="F2365" s="250"/>
      <c r="G2365" s="471"/>
      <c r="H2365" s="250"/>
      <c r="I2365" s="471"/>
    </row>
    <row r="2366" spans="1:9" ht="12.75">
      <c r="A2366" s="717"/>
      <c r="B2366" s="718"/>
      <c r="C2366" s="250"/>
      <c r="D2366" s="250"/>
      <c r="E2366" s="250"/>
      <c r="F2366" s="250"/>
      <c r="G2366" s="471"/>
      <c r="H2366" s="250"/>
      <c r="I2366" s="471"/>
    </row>
    <row r="2367" spans="1:9" ht="12.75">
      <c r="A2367" s="717"/>
      <c r="B2367" s="718"/>
      <c r="C2367" s="250"/>
      <c r="D2367" s="250"/>
      <c r="E2367" s="250"/>
      <c r="F2367" s="250"/>
      <c r="G2367" s="471"/>
      <c r="H2367" s="250"/>
      <c r="I2367" s="471"/>
    </row>
    <row r="2368" spans="1:9" ht="12.75">
      <c r="A2368" s="717"/>
      <c r="B2368" s="718"/>
      <c r="C2368" s="250"/>
      <c r="D2368" s="250"/>
      <c r="E2368" s="250"/>
      <c r="F2368" s="250"/>
      <c r="G2368" s="471"/>
      <c r="H2368" s="250"/>
      <c r="I2368" s="471"/>
    </row>
    <row r="2369" spans="1:9" ht="12.75">
      <c r="A2369" s="717"/>
      <c r="B2369" s="718"/>
      <c r="C2369" s="250"/>
      <c r="D2369" s="250"/>
      <c r="E2369" s="250"/>
      <c r="F2369" s="250"/>
      <c r="G2369" s="471"/>
      <c r="H2369" s="250"/>
      <c r="I2369" s="471"/>
    </row>
    <row r="2370" spans="1:9" ht="12.75">
      <c r="A2370" s="717"/>
      <c r="B2370" s="718"/>
      <c r="C2370" s="250"/>
      <c r="D2370" s="250"/>
      <c r="E2370" s="250"/>
      <c r="F2370" s="250"/>
      <c r="G2370" s="471"/>
      <c r="H2370" s="250"/>
      <c r="I2370" s="471"/>
    </row>
    <row r="2371" spans="1:9" ht="12.75">
      <c r="A2371" s="717"/>
      <c r="B2371" s="718"/>
      <c r="C2371" s="250"/>
      <c r="D2371" s="250"/>
      <c r="E2371" s="250"/>
      <c r="F2371" s="250"/>
      <c r="G2371" s="471"/>
      <c r="H2371" s="250"/>
      <c r="I2371" s="471"/>
    </row>
    <row r="2372" spans="1:9" ht="12.75">
      <c r="A2372" s="717"/>
      <c r="B2372" s="718"/>
      <c r="C2372" s="250"/>
      <c r="D2372" s="250"/>
      <c r="E2372" s="250"/>
      <c r="F2372" s="250"/>
      <c r="G2372" s="471"/>
      <c r="H2372" s="250"/>
      <c r="I2372" s="471"/>
    </row>
    <row r="2373" spans="1:9" ht="12.75">
      <c r="A2373" s="717"/>
      <c r="B2373" s="718"/>
      <c r="C2373" s="250"/>
      <c r="D2373" s="250"/>
      <c r="E2373" s="250"/>
      <c r="F2373" s="250"/>
      <c r="G2373" s="471"/>
      <c r="H2373" s="250"/>
      <c r="I2373" s="471"/>
    </row>
    <row r="2374" spans="1:9" ht="12.75">
      <c r="A2374" s="717"/>
      <c r="B2374" s="718"/>
      <c r="C2374" s="250"/>
      <c r="D2374" s="250"/>
      <c r="E2374" s="250"/>
      <c r="F2374" s="250"/>
      <c r="G2374" s="471"/>
      <c r="H2374" s="250"/>
      <c r="I2374" s="471"/>
    </row>
    <row r="2375" spans="1:9" ht="12.75">
      <c r="A2375" s="717"/>
      <c r="B2375" s="718"/>
      <c r="C2375" s="250"/>
      <c r="D2375" s="250"/>
      <c r="E2375" s="250"/>
      <c r="F2375" s="250"/>
      <c r="G2375" s="471"/>
      <c r="H2375" s="250"/>
      <c r="I2375" s="471"/>
    </row>
    <row r="2376" spans="1:9" ht="12.75">
      <c r="A2376" s="717"/>
      <c r="B2376" s="718"/>
      <c r="C2376" s="250"/>
      <c r="D2376" s="250"/>
      <c r="E2376" s="250"/>
      <c r="F2376" s="250"/>
      <c r="G2376" s="471"/>
      <c r="H2376" s="250"/>
      <c r="I2376" s="471"/>
    </row>
    <row r="2377" spans="1:9" ht="12.75">
      <c r="A2377" s="717"/>
      <c r="B2377" s="718"/>
      <c r="C2377" s="250"/>
      <c r="D2377" s="250"/>
      <c r="E2377" s="250"/>
      <c r="F2377" s="250"/>
      <c r="G2377" s="471"/>
      <c r="H2377" s="250"/>
      <c r="I2377" s="471"/>
    </row>
    <row r="2378" spans="1:9" ht="12.75">
      <c r="A2378" s="717"/>
      <c r="B2378" s="718"/>
      <c r="C2378" s="250"/>
      <c r="D2378" s="250"/>
      <c r="E2378" s="250"/>
      <c r="F2378" s="250"/>
      <c r="G2378" s="471"/>
      <c r="H2378" s="250"/>
      <c r="I2378" s="471"/>
    </row>
    <row r="2379" spans="1:9" ht="12.75">
      <c r="A2379" s="717"/>
      <c r="B2379" s="718"/>
      <c r="C2379" s="250"/>
      <c r="D2379" s="250"/>
      <c r="E2379" s="250"/>
      <c r="F2379" s="250"/>
      <c r="G2379" s="471"/>
      <c r="H2379" s="250"/>
      <c r="I2379" s="471"/>
    </row>
    <row r="2380" spans="1:9" ht="12.75">
      <c r="A2380" s="717"/>
      <c r="B2380" s="718"/>
      <c r="C2380" s="250"/>
      <c r="D2380" s="250"/>
      <c r="E2380" s="250"/>
      <c r="F2380" s="250"/>
      <c r="G2380" s="471"/>
      <c r="H2380" s="250"/>
      <c r="I2380" s="471"/>
    </row>
    <row r="2381" spans="1:9" ht="12.75">
      <c r="A2381" s="717"/>
      <c r="B2381" s="718"/>
      <c r="C2381" s="250"/>
      <c r="D2381" s="250"/>
      <c r="E2381" s="250"/>
      <c r="F2381" s="250"/>
      <c r="G2381" s="471"/>
      <c r="H2381" s="250"/>
      <c r="I2381" s="471"/>
    </row>
    <row r="2382" spans="1:9" ht="12.75">
      <c r="A2382" s="717"/>
      <c r="B2382" s="718"/>
      <c r="C2382" s="250"/>
      <c r="D2382" s="250"/>
      <c r="E2382" s="250"/>
      <c r="F2382" s="250"/>
      <c r="G2382" s="471"/>
      <c r="H2382" s="250"/>
      <c r="I2382" s="471"/>
    </row>
    <row r="2383" spans="1:9" ht="12.75">
      <c r="A2383" s="717"/>
      <c r="B2383" s="718"/>
      <c r="C2383" s="250"/>
      <c r="D2383" s="250"/>
      <c r="E2383" s="250"/>
      <c r="F2383" s="250"/>
      <c r="G2383" s="471"/>
      <c r="H2383" s="250"/>
      <c r="I2383" s="471"/>
    </row>
    <row r="2384" spans="1:9" ht="12.75">
      <c r="A2384" s="717"/>
      <c r="B2384" s="718"/>
      <c r="C2384" s="250"/>
      <c r="D2384" s="250"/>
      <c r="E2384" s="250"/>
      <c r="F2384" s="250"/>
      <c r="G2384" s="471"/>
      <c r="H2384" s="250"/>
      <c r="I2384" s="471"/>
    </row>
    <row r="2385" spans="1:9" ht="12.75">
      <c r="A2385" s="717"/>
      <c r="B2385" s="718"/>
      <c r="C2385" s="250"/>
      <c r="D2385" s="250"/>
      <c r="E2385" s="250"/>
      <c r="F2385" s="250"/>
      <c r="G2385" s="471"/>
      <c r="H2385" s="250"/>
      <c r="I2385" s="471"/>
    </row>
    <row r="2386" spans="1:9" ht="12.75">
      <c r="A2386" s="717"/>
      <c r="B2386" s="718"/>
      <c r="C2386" s="250"/>
      <c r="D2386" s="250"/>
      <c r="E2386" s="250"/>
      <c r="F2386" s="250"/>
      <c r="G2386" s="471"/>
      <c r="H2386" s="250"/>
      <c r="I2386" s="471"/>
    </row>
    <row r="2387" spans="1:9" ht="12.75">
      <c r="A2387" s="717"/>
      <c r="B2387" s="718"/>
      <c r="C2387" s="250"/>
      <c r="D2387" s="250"/>
      <c r="E2387" s="250"/>
      <c r="F2387" s="250"/>
      <c r="G2387" s="471"/>
      <c r="H2387" s="250"/>
      <c r="I2387" s="471"/>
    </row>
    <row r="2388" spans="1:9" ht="12.75">
      <c r="A2388" s="717"/>
      <c r="B2388" s="718"/>
      <c r="C2388" s="250"/>
      <c r="D2388" s="250"/>
      <c r="E2388" s="250"/>
      <c r="F2388" s="250"/>
      <c r="G2388" s="471"/>
      <c r="H2388" s="250"/>
      <c r="I2388" s="471"/>
    </row>
    <row r="2389" spans="1:9" ht="12.75">
      <c r="A2389" s="717"/>
      <c r="B2389" s="718"/>
      <c r="C2389" s="250"/>
      <c r="D2389" s="250"/>
      <c r="E2389" s="250"/>
      <c r="F2389" s="250"/>
      <c r="G2389" s="471"/>
      <c r="H2389" s="250"/>
      <c r="I2389" s="471"/>
    </row>
    <row r="2390" spans="1:9" ht="12.75">
      <c r="A2390" s="717"/>
      <c r="B2390" s="718"/>
      <c r="C2390" s="250"/>
      <c r="D2390" s="250"/>
      <c r="E2390" s="250"/>
      <c r="F2390" s="250"/>
      <c r="G2390" s="471"/>
      <c r="H2390" s="250"/>
      <c r="I2390" s="471"/>
    </row>
    <row r="2391" spans="1:9" ht="12.75">
      <c r="A2391" s="717"/>
      <c r="B2391" s="718"/>
      <c r="C2391" s="250"/>
      <c r="D2391" s="250"/>
      <c r="E2391" s="250"/>
      <c r="F2391" s="250"/>
      <c r="G2391" s="471"/>
      <c r="H2391" s="250"/>
      <c r="I2391" s="471"/>
    </row>
    <row r="2392" spans="1:9" ht="12.75">
      <c r="A2392" s="717"/>
      <c r="B2392" s="718"/>
      <c r="C2392" s="250"/>
      <c r="D2392" s="250"/>
      <c r="E2392" s="250"/>
      <c r="F2392" s="250"/>
      <c r="G2392" s="471"/>
      <c r="H2392" s="250"/>
      <c r="I2392" s="471"/>
    </row>
    <row r="2393" spans="1:9" ht="12.75">
      <c r="A2393" s="717"/>
      <c r="B2393" s="718"/>
      <c r="C2393" s="250"/>
      <c r="D2393" s="250"/>
      <c r="E2393" s="250"/>
      <c r="F2393" s="250"/>
      <c r="G2393" s="471"/>
      <c r="H2393" s="250"/>
      <c r="I2393" s="471"/>
    </row>
    <row r="2394" spans="1:9" ht="12.75">
      <c r="A2394" s="717"/>
      <c r="B2394" s="718"/>
      <c r="C2394" s="250"/>
      <c r="D2394" s="250"/>
      <c r="E2394" s="250"/>
      <c r="F2394" s="250"/>
      <c r="G2394" s="471"/>
      <c r="H2394" s="250"/>
      <c r="I2394" s="471"/>
    </row>
    <row r="2395" spans="1:9" ht="12.75">
      <c r="A2395" s="717"/>
      <c r="B2395" s="718"/>
      <c r="C2395" s="250"/>
      <c r="D2395" s="250"/>
      <c r="E2395" s="250"/>
      <c r="F2395" s="250"/>
      <c r="G2395" s="471"/>
      <c r="H2395" s="250"/>
      <c r="I2395" s="471"/>
    </row>
    <row r="2396" spans="1:9" ht="12.75">
      <c r="A2396" s="717"/>
      <c r="B2396" s="718"/>
      <c r="C2396" s="250"/>
      <c r="D2396" s="250"/>
      <c r="E2396" s="250"/>
      <c r="F2396" s="250"/>
      <c r="G2396" s="471"/>
      <c r="H2396" s="250"/>
      <c r="I2396" s="471"/>
    </row>
    <row r="2397" spans="1:9" ht="12.75">
      <c r="A2397" s="717"/>
      <c r="B2397" s="718"/>
      <c r="C2397" s="250"/>
      <c r="D2397" s="250"/>
      <c r="E2397" s="250"/>
      <c r="F2397" s="250"/>
      <c r="G2397" s="471"/>
      <c r="H2397" s="250"/>
      <c r="I2397" s="471"/>
    </row>
    <row r="2398" spans="1:9" ht="12.75">
      <c r="A2398" s="717"/>
      <c r="B2398" s="718"/>
      <c r="C2398" s="250"/>
      <c r="D2398" s="250"/>
      <c r="E2398" s="250"/>
      <c r="F2398" s="250"/>
      <c r="G2398" s="471"/>
      <c r="H2398" s="250"/>
      <c r="I2398" s="471"/>
    </row>
    <row r="2399" spans="1:9" ht="12.75">
      <c r="A2399" s="717"/>
      <c r="B2399" s="718"/>
      <c r="C2399" s="250"/>
      <c r="D2399" s="250"/>
      <c r="E2399" s="250"/>
      <c r="F2399" s="250"/>
      <c r="G2399" s="471"/>
      <c r="H2399" s="250"/>
      <c r="I2399" s="471"/>
    </row>
    <row r="2400" spans="1:9" ht="12.75">
      <c r="A2400" s="717"/>
      <c r="B2400" s="718"/>
      <c r="C2400" s="250"/>
      <c r="D2400" s="250"/>
      <c r="E2400" s="250"/>
      <c r="F2400" s="250"/>
      <c r="G2400" s="471"/>
      <c r="H2400" s="250"/>
      <c r="I2400" s="471"/>
    </row>
    <row r="2401" spans="1:9" ht="12.75">
      <c r="A2401" s="717"/>
      <c r="B2401" s="718"/>
      <c r="C2401" s="250"/>
      <c r="D2401" s="250"/>
      <c r="E2401" s="250"/>
      <c r="F2401" s="250"/>
      <c r="G2401" s="471"/>
      <c r="H2401" s="250"/>
      <c r="I2401" s="471"/>
    </row>
    <row r="2402" spans="1:9" ht="12.75">
      <c r="A2402" s="717"/>
      <c r="B2402" s="718"/>
      <c r="C2402" s="250"/>
      <c r="D2402" s="250"/>
      <c r="E2402" s="250"/>
      <c r="F2402" s="250"/>
      <c r="G2402" s="471"/>
      <c r="H2402" s="250"/>
      <c r="I2402" s="471"/>
    </row>
    <row r="2403" spans="1:9" ht="12.75">
      <c r="A2403" s="717"/>
      <c r="B2403" s="718"/>
      <c r="C2403" s="250"/>
      <c r="D2403" s="250"/>
      <c r="E2403" s="250"/>
      <c r="F2403" s="250"/>
      <c r="G2403" s="471"/>
      <c r="H2403" s="250"/>
      <c r="I2403" s="471"/>
    </row>
    <row r="2404" spans="1:9" ht="12.75">
      <c r="A2404" s="717"/>
      <c r="B2404" s="718"/>
      <c r="C2404" s="250"/>
      <c r="D2404" s="250"/>
      <c r="E2404" s="250"/>
      <c r="F2404" s="250"/>
      <c r="G2404" s="471"/>
      <c r="H2404" s="250"/>
      <c r="I2404" s="471"/>
    </row>
    <row r="2405" spans="1:9" ht="12.75">
      <c r="A2405" s="717"/>
      <c r="B2405" s="718"/>
      <c r="C2405" s="250"/>
      <c r="D2405" s="250"/>
      <c r="E2405" s="250"/>
      <c r="F2405" s="250"/>
      <c r="G2405" s="471"/>
      <c r="H2405" s="250"/>
      <c r="I2405" s="471"/>
    </row>
    <row r="2406" spans="1:9" ht="12.75">
      <c r="A2406" s="717"/>
      <c r="B2406" s="718"/>
      <c r="C2406" s="250"/>
      <c r="D2406" s="250"/>
      <c r="E2406" s="250"/>
      <c r="F2406" s="250"/>
      <c r="G2406" s="471"/>
      <c r="H2406" s="250"/>
      <c r="I2406" s="471"/>
    </row>
    <row r="2407" spans="1:9" ht="12.75">
      <c r="A2407" s="717"/>
      <c r="B2407" s="718"/>
      <c r="C2407" s="250"/>
      <c r="D2407" s="250"/>
      <c r="E2407" s="250"/>
      <c r="F2407" s="250"/>
      <c r="G2407" s="471"/>
      <c r="H2407" s="250"/>
      <c r="I2407" s="471"/>
    </row>
    <row r="2408" spans="1:9" ht="12.75">
      <c r="A2408" s="717"/>
      <c r="B2408" s="718"/>
      <c r="C2408" s="250"/>
      <c r="D2408" s="250"/>
      <c r="E2408" s="250"/>
      <c r="F2408" s="250"/>
      <c r="G2408" s="471"/>
      <c r="H2408" s="250"/>
      <c r="I2408" s="471"/>
    </row>
    <row r="2409" spans="1:9" ht="12.75">
      <c r="A2409" s="717"/>
      <c r="B2409" s="718"/>
      <c r="C2409" s="250"/>
      <c r="D2409" s="250"/>
      <c r="E2409" s="250"/>
      <c r="F2409" s="250"/>
      <c r="G2409" s="471"/>
      <c r="H2409" s="250"/>
      <c r="I2409" s="471"/>
    </row>
    <row r="2410" spans="1:9" ht="12.75">
      <c r="A2410" s="717"/>
      <c r="B2410" s="718"/>
      <c r="C2410" s="250"/>
      <c r="D2410" s="250"/>
      <c r="E2410" s="250"/>
      <c r="F2410" s="250"/>
      <c r="G2410" s="471"/>
      <c r="H2410" s="250"/>
      <c r="I2410" s="471"/>
    </row>
    <row r="2411" spans="1:9" ht="12.75">
      <c r="A2411" s="717"/>
      <c r="B2411" s="718"/>
      <c r="C2411" s="250"/>
      <c r="D2411" s="250"/>
      <c r="E2411" s="250"/>
      <c r="F2411" s="250"/>
      <c r="G2411" s="471"/>
      <c r="H2411" s="250"/>
      <c r="I2411" s="471"/>
    </row>
    <row r="2412" spans="1:9" ht="12.75">
      <c r="A2412" s="717"/>
      <c r="B2412" s="718"/>
      <c r="C2412" s="250"/>
      <c r="D2412" s="250"/>
      <c r="E2412" s="250"/>
      <c r="F2412" s="250"/>
      <c r="G2412" s="471"/>
      <c r="H2412" s="250"/>
      <c r="I2412" s="471"/>
    </row>
    <row r="2413" spans="1:9" ht="12.75">
      <c r="A2413" s="717"/>
      <c r="B2413" s="718"/>
      <c r="C2413" s="250"/>
      <c r="D2413" s="250"/>
      <c r="E2413" s="250"/>
      <c r="F2413" s="250"/>
      <c r="G2413" s="471"/>
      <c r="H2413" s="250"/>
      <c r="I2413" s="471"/>
    </row>
    <row r="2414" spans="1:9" ht="12.75">
      <c r="A2414" s="717"/>
      <c r="B2414" s="718"/>
      <c r="C2414" s="250"/>
      <c r="D2414" s="250"/>
      <c r="E2414" s="250"/>
      <c r="F2414" s="250"/>
      <c r="G2414" s="471"/>
      <c r="H2414" s="250"/>
      <c r="I2414" s="471"/>
    </row>
    <row r="2415" spans="1:9" ht="12.75">
      <c r="A2415" s="717"/>
      <c r="B2415" s="718"/>
      <c r="C2415" s="250"/>
      <c r="D2415" s="250"/>
      <c r="E2415" s="250"/>
      <c r="F2415" s="250"/>
      <c r="G2415" s="471"/>
      <c r="H2415" s="250"/>
      <c r="I2415" s="471"/>
    </row>
    <row r="2416" spans="1:9" ht="12.75">
      <c r="A2416" s="717"/>
      <c r="B2416" s="718"/>
      <c r="C2416" s="250"/>
      <c r="D2416" s="250"/>
      <c r="E2416" s="250"/>
      <c r="F2416" s="250"/>
      <c r="G2416" s="471"/>
      <c r="H2416" s="250"/>
      <c r="I2416" s="471"/>
    </row>
    <row r="2417" spans="1:9" ht="12.75">
      <c r="A2417" s="717"/>
      <c r="B2417" s="718"/>
      <c r="C2417" s="250"/>
      <c r="D2417" s="250"/>
      <c r="E2417" s="250"/>
      <c r="F2417" s="250"/>
      <c r="G2417" s="471"/>
      <c r="H2417" s="250"/>
      <c r="I2417" s="471"/>
    </row>
    <row r="2418" spans="1:9" ht="12.75">
      <c r="A2418" s="717"/>
      <c r="B2418" s="718"/>
      <c r="C2418" s="250"/>
      <c r="D2418" s="250"/>
      <c r="E2418" s="250"/>
      <c r="F2418" s="250"/>
      <c r="G2418" s="471"/>
      <c r="H2418" s="250"/>
      <c r="I2418" s="471"/>
    </row>
    <row r="2419" spans="1:9" ht="12.75">
      <c r="A2419" s="717"/>
      <c r="B2419" s="718"/>
      <c r="C2419" s="250"/>
      <c r="D2419" s="250"/>
      <c r="E2419" s="250"/>
      <c r="F2419" s="250"/>
      <c r="G2419" s="471"/>
      <c r="H2419" s="250"/>
      <c r="I2419" s="471"/>
    </row>
    <row r="2420" spans="1:9" ht="12.75">
      <c r="A2420" s="717"/>
      <c r="B2420" s="718"/>
      <c r="C2420" s="250"/>
      <c r="D2420" s="250"/>
      <c r="E2420" s="250"/>
      <c r="F2420" s="250"/>
      <c r="G2420" s="471"/>
      <c r="H2420" s="250"/>
      <c r="I2420" s="471"/>
    </row>
    <row r="2421" spans="1:9" ht="12.75">
      <c r="A2421" s="717"/>
      <c r="B2421" s="718"/>
      <c r="C2421" s="250"/>
      <c r="D2421" s="250"/>
      <c r="E2421" s="250"/>
      <c r="F2421" s="250"/>
      <c r="G2421" s="471"/>
      <c r="H2421" s="250"/>
      <c r="I2421" s="471"/>
    </row>
    <row r="2422" spans="1:9" ht="12.75">
      <c r="A2422" s="717"/>
      <c r="B2422" s="718"/>
      <c r="C2422" s="250"/>
      <c r="D2422" s="250"/>
      <c r="E2422" s="250"/>
      <c r="F2422" s="250"/>
      <c r="G2422" s="471"/>
      <c r="H2422" s="250"/>
      <c r="I2422" s="471"/>
    </row>
    <row r="2423" spans="1:9" ht="12.75">
      <c r="A2423" s="717"/>
      <c r="B2423" s="718"/>
      <c r="C2423" s="250"/>
      <c r="D2423" s="250"/>
      <c r="E2423" s="250"/>
      <c r="F2423" s="250"/>
      <c r="G2423" s="471"/>
      <c r="H2423" s="250"/>
      <c r="I2423" s="471"/>
    </row>
    <row r="2424" spans="1:9" ht="12.75">
      <c r="A2424" s="717"/>
      <c r="B2424" s="718"/>
      <c r="C2424" s="250"/>
      <c r="D2424" s="250"/>
      <c r="E2424" s="250"/>
      <c r="F2424" s="250"/>
      <c r="G2424" s="471"/>
      <c r="H2424" s="250"/>
      <c r="I2424" s="471"/>
    </row>
    <row r="2425" spans="1:9" ht="12.75">
      <c r="A2425" s="717"/>
      <c r="B2425" s="718"/>
      <c r="C2425" s="250"/>
      <c r="D2425" s="250"/>
      <c r="E2425" s="250"/>
      <c r="F2425" s="250"/>
      <c r="G2425" s="471"/>
      <c r="H2425" s="250"/>
      <c r="I2425" s="471"/>
    </row>
    <row r="2426" spans="1:9" ht="12.75">
      <c r="A2426" s="717"/>
      <c r="B2426" s="718"/>
      <c r="C2426" s="250"/>
      <c r="D2426" s="250"/>
      <c r="E2426" s="250"/>
      <c r="F2426" s="250"/>
      <c r="G2426" s="471"/>
      <c r="H2426" s="250"/>
      <c r="I2426" s="471"/>
    </row>
    <row r="2427" spans="1:9" ht="12.75">
      <c r="A2427" s="717"/>
      <c r="B2427" s="718"/>
      <c r="C2427" s="250"/>
      <c r="D2427" s="250"/>
      <c r="E2427" s="250"/>
      <c r="F2427" s="250"/>
      <c r="G2427" s="471"/>
      <c r="H2427" s="250"/>
      <c r="I2427" s="471"/>
    </row>
    <row r="2428" spans="1:9" ht="12.75">
      <c r="A2428" s="717"/>
      <c r="B2428" s="718"/>
      <c r="C2428" s="250"/>
      <c r="D2428" s="250"/>
      <c r="E2428" s="250"/>
      <c r="F2428" s="250"/>
      <c r="G2428" s="471"/>
      <c r="H2428" s="250"/>
      <c r="I2428" s="471"/>
    </row>
    <row r="2429" spans="1:9" ht="12.75">
      <c r="A2429" s="717"/>
      <c r="B2429" s="718"/>
      <c r="C2429" s="250"/>
      <c r="D2429" s="250"/>
      <c r="E2429" s="250"/>
      <c r="F2429" s="250"/>
      <c r="G2429" s="471"/>
      <c r="H2429" s="250"/>
      <c r="I2429" s="471"/>
    </row>
    <row r="2430" spans="1:9" ht="12.75">
      <c r="A2430" s="717"/>
      <c r="B2430" s="718"/>
      <c r="C2430" s="250"/>
      <c r="D2430" s="250"/>
      <c r="E2430" s="250"/>
      <c r="F2430" s="250"/>
      <c r="G2430" s="471"/>
      <c r="H2430" s="250"/>
      <c r="I2430" s="471"/>
    </row>
    <row r="2431" spans="1:9" ht="12.75">
      <c r="A2431" s="717"/>
      <c r="B2431" s="718"/>
      <c r="C2431" s="250"/>
      <c r="D2431" s="250"/>
      <c r="E2431" s="250"/>
      <c r="F2431" s="250"/>
      <c r="G2431" s="471"/>
      <c r="H2431" s="250"/>
      <c r="I2431" s="471"/>
    </row>
    <row r="2432" spans="1:9" ht="12.75">
      <c r="A2432" s="717"/>
      <c r="B2432" s="718"/>
      <c r="C2432" s="250"/>
      <c r="D2432" s="250"/>
      <c r="E2432" s="250"/>
      <c r="F2432" s="250"/>
      <c r="G2432" s="471"/>
      <c r="H2432" s="250"/>
      <c r="I2432" s="471"/>
    </row>
    <row r="2433" spans="1:9" ht="12.75">
      <c r="A2433" s="717"/>
      <c r="B2433" s="718"/>
      <c r="C2433" s="250"/>
      <c r="D2433" s="250"/>
      <c r="E2433" s="250"/>
      <c r="F2433" s="250"/>
      <c r="G2433" s="471"/>
      <c r="H2433" s="250"/>
      <c r="I2433" s="471"/>
    </row>
    <row r="2434" spans="1:9" ht="12.75">
      <c r="A2434" s="717"/>
      <c r="B2434" s="718"/>
      <c r="C2434" s="250"/>
      <c r="D2434" s="250"/>
      <c r="E2434" s="250"/>
      <c r="F2434" s="250"/>
      <c r="G2434" s="471"/>
      <c r="H2434" s="250"/>
      <c r="I2434" s="471"/>
    </row>
    <row r="2435" spans="1:9" ht="12.75">
      <c r="A2435" s="717"/>
      <c r="B2435" s="718"/>
      <c r="C2435" s="250"/>
      <c r="D2435" s="250"/>
      <c r="E2435" s="250"/>
      <c r="F2435" s="250"/>
      <c r="G2435" s="471"/>
      <c r="H2435" s="250"/>
      <c r="I2435" s="471"/>
    </row>
    <row r="2436" spans="1:9" ht="12.75">
      <c r="A2436" s="717"/>
      <c r="B2436" s="718"/>
      <c r="C2436" s="250"/>
      <c r="D2436" s="250"/>
      <c r="E2436" s="250"/>
      <c r="F2436" s="250"/>
      <c r="G2436" s="471"/>
      <c r="H2436" s="250"/>
      <c r="I2436" s="471"/>
    </row>
    <row r="2437" spans="1:9" ht="12.75">
      <c r="A2437" s="717"/>
      <c r="B2437" s="718"/>
      <c r="C2437" s="250"/>
      <c r="D2437" s="250"/>
      <c r="E2437" s="250"/>
      <c r="F2437" s="250"/>
      <c r="G2437" s="471"/>
      <c r="H2437" s="250"/>
      <c r="I2437" s="471"/>
    </row>
    <row r="2438" spans="1:9" ht="12.75">
      <c r="A2438" s="717"/>
      <c r="B2438" s="718"/>
      <c r="C2438" s="250"/>
      <c r="D2438" s="250"/>
      <c r="E2438" s="250"/>
      <c r="F2438" s="250"/>
      <c r="G2438" s="471"/>
      <c r="H2438" s="250"/>
      <c r="I2438" s="471"/>
    </row>
    <row r="2439" spans="1:9" ht="12.75">
      <c r="A2439" s="717"/>
      <c r="B2439" s="718"/>
      <c r="C2439" s="250"/>
      <c r="D2439" s="250"/>
      <c r="E2439" s="250"/>
      <c r="F2439" s="250"/>
      <c r="G2439" s="471"/>
      <c r="H2439" s="250"/>
      <c r="I2439" s="471"/>
    </row>
    <row r="2440" spans="1:9" ht="12.75">
      <c r="A2440" s="717"/>
      <c r="B2440" s="718"/>
      <c r="C2440" s="250"/>
      <c r="D2440" s="250"/>
      <c r="E2440" s="250"/>
      <c r="F2440" s="250"/>
      <c r="G2440" s="471"/>
      <c r="H2440" s="250"/>
      <c r="I2440" s="471"/>
    </row>
    <row r="2441" spans="1:9" ht="12.75">
      <c r="A2441" s="717"/>
      <c r="B2441" s="718"/>
      <c r="C2441" s="250"/>
      <c r="D2441" s="250"/>
      <c r="E2441" s="250"/>
      <c r="F2441" s="250"/>
      <c r="G2441" s="471"/>
      <c r="H2441" s="250"/>
      <c r="I2441" s="471"/>
    </row>
    <row r="2442" spans="1:9" ht="12.75">
      <c r="A2442" s="717"/>
      <c r="B2442" s="718"/>
      <c r="C2442" s="250"/>
      <c r="D2442" s="250"/>
      <c r="E2442" s="250"/>
      <c r="F2442" s="250"/>
      <c r="G2442" s="471"/>
      <c r="H2442" s="250"/>
      <c r="I2442" s="471"/>
    </row>
    <row r="2443" spans="1:9" ht="12.75">
      <c r="A2443" s="717"/>
      <c r="B2443" s="718"/>
      <c r="C2443" s="250"/>
      <c r="D2443" s="250"/>
      <c r="E2443" s="250"/>
      <c r="F2443" s="250"/>
      <c r="G2443" s="471"/>
      <c r="H2443" s="250"/>
      <c r="I2443" s="471"/>
    </row>
    <row r="2444" spans="1:9" ht="12.75">
      <c r="A2444" s="717"/>
      <c r="B2444" s="718"/>
      <c r="C2444" s="250"/>
      <c r="D2444" s="250"/>
      <c r="E2444" s="250"/>
      <c r="F2444" s="250"/>
      <c r="G2444" s="471"/>
      <c r="H2444" s="250"/>
      <c r="I2444" s="471"/>
    </row>
    <row r="2445" spans="1:9" ht="12.75">
      <c r="A2445" s="717"/>
      <c r="B2445" s="718"/>
      <c r="C2445" s="250"/>
      <c r="D2445" s="250"/>
      <c r="E2445" s="250"/>
      <c r="F2445" s="250"/>
      <c r="G2445" s="471"/>
      <c r="H2445" s="250"/>
      <c r="I2445" s="471"/>
    </row>
    <row r="2446" spans="1:9" ht="12.75">
      <c r="A2446" s="717"/>
      <c r="B2446" s="718"/>
      <c r="C2446" s="250"/>
      <c r="D2446" s="250"/>
      <c r="E2446" s="250"/>
      <c r="F2446" s="250"/>
      <c r="G2446" s="471"/>
      <c r="H2446" s="250"/>
      <c r="I2446" s="471"/>
    </row>
    <row r="2447" spans="1:9" ht="12.75">
      <c r="A2447" s="717"/>
      <c r="B2447" s="718"/>
      <c r="C2447" s="250"/>
      <c r="D2447" s="250"/>
      <c r="E2447" s="250"/>
      <c r="F2447" s="250"/>
      <c r="G2447" s="471"/>
      <c r="H2447" s="250"/>
      <c r="I2447" s="471"/>
    </row>
    <row r="2448" spans="1:9" ht="12.75">
      <c r="A2448" s="717"/>
      <c r="B2448" s="718"/>
      <c r="C2448" s="250"/>
      <c r="D2448" s="250"/>
      <c r="E2448" s="250"/>
      <c r="F2448" s="250"/>
      <c r="G2448" s="471"/>
      <c r="H2448" s="250"/>
      <c r="I2448" s="471"/>
    </row>
    <row r="2449" spans="1:9" ht="12.75">
      <c r="A2449" s="717"/>
      <c r="B2449" s="718"/>
      <c r="C2449" s="250"/>
      <c r="D2449" s="250"/>
      <c r="E2449" s="250"/>
      <c r="F2449" s="250"/>
      <c r="G2449" s="471"/>
      <c r="H2449" s="250"/>
      <c r="I2449" s="471"/>
    </row>
    <row r="2450" spans="1:9" ht="12.75">
      <c r="A2450" s="717"/>
      <c r="B2450" s="718"/>
      <c r="C2450" s="250"/>
      <c r="D2450" s="250"/>
      <c r="E2450" s="250"/>
      <c r="F2450" s="250"/>
      <c r="G2450" s="471"/>
      <c r="H2450" s="250"/>
      <c r="I2450" s="471"/>
    </row>
    <row r="2451" spans="1:9" ht="12.75">
      <c r="A2451" s="717"/>
      <c r="B2451" s="718"/>
      <c r="C2451" s="250"/>
      <c r="D2451" s="250"/>
      <c r="E2451" s="250"/>
      <c r="F2451" s="250"/>
      <c r="G2451" s="471"/>
      <c r="H2451" s="250"/>
      <c r="I2451" s="471"/>
    </row>
    <row r="2452" spans="1:9" ht="12.75">
      <c r="A2452" s="717"/>
      <c r="B2452" s="718"/>
      <c r="C2452" s="250"/>
      <c r="D2452" s="250"/>
      <c r="E2452" s="250"/>
      <c r="F2452" s="250"/>
      <c r="G2452" s="471"/>
      <c r="H2452" s="250"/>
      <c r="I2452" s="471"/>
    </row>
    <row r="2453" spans="1:9" ht="12.75">
      <c r="A2453" s="717"/>
      <c r="B2453" s="718"/>
      <c r="C2453" s="250"/>
      <c r="D2453" s="250"/>
      <c r="E2453" s="250"/>
      <c r="F2453" s="250"/>
      <c r="G2453" s="471"/>
      <c r="H2453" s="250"/>
      <c r="I2453" s="471"/>
    </row>
    <row r="2454" spans="1:9" ht="12.75">
      <c r="A2454" s="717"/>
      <c r="B2454" s="718"/>
      <c r="C2454" s="250"/>
      <c r="D2454" s="250"/>
      <c r="E2454" s="250"/>
      <c r="F2454" s="250"/>
      <c r="G2454" s="471"/>
      <c r="H2454" s="250"/>
      <c r="I2454" s="471"/>
    </row>
    <row r="2455" spans="1:9" ht="12.75">
      <c r="A2455" s="717"/>
      <c r="B2455" s="718"/>
      <c r="C2455" s="250"/>
      <c r="D2455" s="250"/>
      <c r="E2455" s="250"/>
      <c r="F2455" s="250"/>
      <c r="G2455" s="471"/>
      <c r="H2455" s="250"/>
      <c r="I2455" s="471"/>
    </row>
    <row r="2456" spans="1:9" ht="12.75">
      <c r="A2456" s="717"/>
      <c r="B2456" s="718"/>
      <c r="C2456" s="250"/>
      <c r="D2456" s="250"/>
      <c r="E2456" s="250"/>
      <c r="F2456" s="250"/>
      <c r="G2456" s="471"/>
      <c r="H2456" s="250"/>
      <c r="I2456" s="471"/>
    </row>
    <row r="2457" spans="1:9" ht="12.75">
      <c r="A2457" s="717"/>
      <c r="B2457" s="718"/>
      <c r="C2457" s="250"/>
      <c r="D2457" s="250"/>
      <c r="E2457" s="250"/>
      <c r="F2457" s="250"/>
      <c r="G2457" s="471"/>
      <c r="H2457" s="250"/>
      <c r="I2457" s="471"/>
    </row>
    <row r="2458" spans="1:9" ht="12.75">
      <c r="A2458" s="717"/>
      <c r="B2458" s="718"/>
      <c r="C2458" s="250"/>
      <c r="D2458" s="250"/>
      <c r="E2458" s="250"/>
      <c r="F2458" s="250"/>
      <c r="G2458" s="471"/>
      <c r="H2458" s="250"/>
      <c r="I2458" s="471"/>
    </row>
    <row r="2459" spans="1:9" ht="12.75">
      <c r="A2459" s="717"/>
      <c r="B2459" s="718"/>
      <c r="C2459" s="250"/>
      <c r="D2459" s="250"/>
      <c r="E2459" s="250"/>
      <c r="F2459" s="250"/>
      <c r="G2459" s="471"/>
      <c r="H2459" s="250"/>
      <c r="I2459" s="471"/>
    </row>
    <row r="2460" spans="1:9" ht="12.75">
      <c r="A2460" s="717"/>
      <c r="B2460" s="718"/>
      <c r="C2460" s="250"/>
      <c r="D2460" s="250"/>
      <c r="E2460" s="250"/>
      <c r="F2460" s="250"/>
      <c r="G2460" s="471"/>
      <c r="H2460" s="250"/>
      <c r="I2460" s="471"/>
    </row>
    <row r="2461" spans="1:9" ht="12.75">
      <c r="A2461" s="717"/>
      <c r="B2461" s="718"/>
      <c r="C2461" s="250"/>
      <c r="D2461" s="250"/>
      <c r="E2461" s="250"/>
      <c r="F2461" s="250"/>
      <c r="G2461" s="471"/>
      <c r="H2461" s="250"/>
      <c r="I2461" s="471"/>
    </row>
    <row r="2462" spans="1:9" ht="12.75">
      <c r="A2462" s="717"/>
      <c r="B2462" s="718"/>
      <c r="C2462" s="250"/>
      <c r="D2462" s="250"/>
      <c r="E2462" s="250"/>
      <c r="F2462" s="250"/>
      <c r="G2462" s="471"/>
      <c r="H2462" s="250"/>
      <c r="I2462" s="471"/>
    </row>
    <row r="2463" spans="1:9" ht="12.75">
      <c r="A2463" s="717"/>
      <c r="B2463" s="718"/>
      <c r="C2463" s="250"/>
      <c r="D2463" s="250"/>
      <c r="E2463" s="250"/>
      <c r="F2463" s="250"/>
      <c r="G2463" s="471"/>
      <c r="H2463" s="250"/>
      <c r="I2463" s="471"/>
    </row>
    <row r="2464" spans="1:9" ht="12.75">
      <c r="A2464" s="717"/>
      <c r="B2464" s="718"/>
      <c r="C2464" s="250"/>
      <c r="D2464" s="250"/>
      <c r="E2464" s="250"/>
      <c r="F2464" s="250"/>
      <c r="G2464" s="471"/>
      <c r="H2464" s="250"/>
      <c r="I2464" s="471"/>
    </row>
    <row r="2465" spans="1:9" ht="12.75">
      <c r="A2465" s="717"/>
      <c r="B2465" s="718"/>
      <c r="C2465" s="250"/>
      <c r="D2465" s="250"/>
      <c r="E2465" s="250"/>
      <c r="F2465" s="250"/>
      <c r="G2465" s="471"/>
      <c r="H2465" s="250"/>
      <c r="I2465" s="471"/>
    </row>
    <row r="2466" spans="1:9" ht="12.75">
      <c r="A2466" s="717"/>
      <c r="B2466" s="718"/>
      <c r="C2466" s="250"/>
      <c r="D2466" s="250"/>
      <c r="E2466" s="250"/>
      <c r="F2466" s="250"/>
      <c r="G2466" s="471"/>
      <c r="H2466" s="250"/>
      <c r="I2466" s="471"/>
    </row>
    <row r="2467" spans="1:9" ht="12.75">
      <c r="A2467" s="717"/>
      <c r="B2467" s="718"/>
      <c r="C2467" s="250"/>
      <c r="D2467" s="250"/>
      <c r="E2467" s="250"/>
      <c r="F2467" s="250"/>
      <c r="G2467" s="471"/>
      <c r="H2467" s="250"/>
      <c r="I2467" s="471"/>
    </row>
    <row r="2468" spans="1:9" ht="12.75">
      <c r="A2468" s="717"/>
      <c r="B2468" s="718"/>
      <c r="C2468" s="250"/>
      <c r="D2468" s="250"/>
      <c r="E2468" s="250"/>
      <c r="F2468" s="250"/>
      <c r="G2468" s="471"/>
      <c r="H2468" s="250"/>
      <c r="I2468" s="471"/>
    </row>
    <row r="2469" spans="1:9" ht="12.75">
      <c r="A2469" s="717"/>
      <c r="B2469" s="718"/>
      <c r="C2469" s="250"/>
      <c r="D2469" s="250"/>
      <c r="E2469" s="250"/>
      <c r="F2469" s="250"/>
      <c r="G2469" s="471"/>
      <c r="H2469" s="250"/>
      <c r="I2469" s="471"/>
    </row>
    <row r="2470" spans="1:9" ht="12.75">
      <c r="A2470" s="717"/>
      <c r="B2470" s="718"/>
      <c r="C2470" s="250"/>
      <c r="D2470" s="250"/>
      <c r="E2470" s="250"/>
      <c r="F2470" s="250"/>
      <c r="G2470" s="471"/>
      <c r="H2470" s="250"/>
      <c r="I2470" s="471"/>
    </row>
    <row r="2471" spans="1:9" ht="12.75">
      <c r="A2471" s="717"/>
      <c r="B2471" s="718"/>
      <c r="C2471" s="250"/>
      <c r="D2471" s="250"/>
      <c r="E2471" s="250"/>
      <c r="F2471" s="250"/>
      <c r="G2471" s="471"/>
      <c r="H2471" s="250"/>
      <c r="I2471" s="471"/>
    </row>
    <row r="2472" spans="1:9" ht="12.75">
      <c r="A2472" s="717"/>
      <c r="B2472" s="718"/>
      <c r="C2472" s="250"/>
      <c r="D2472" s="250"/>
      <c r="E2472" s="250"/>
      <c r="F2472" s="250"/>
      <c r="G2472" s="471"/>
      <c r="H2472" s="250"/>
      <c r="I2472" s="471"/>
    </row>
    <row r="2473" spans="1:9" ht="12.75">
      <c r="A2473" s="717"/>
      <c r="B2473" s="718"/>
      <c r="C2473" s="250"/>
      <c r="D2473" s="250"/>
      <c r="E2473" s="250"/>
      <c r="F2473" s="250"/>
      <c r="G2473" s="471"/>
      <c r="H2473" s="250"/>
      <c r="I2473" s="471"/>
    </row>
    <row r="2474" spans="1:9" ht="12.75">
      <c r="A2474" s="717"/>
      <c r="B2474" s="718"/>
      <c r="C2474" s="250"/>
      <c r="D2474" s="250"/>
      <c r="E2474" s="250"/>
      <c r="F2474" s="250"/>
      <c r="G2474" s="471"/>
      <c r="H2474" s="250"/>
      <c r="I2474" s="471"/>
    </row>
    <row r="2475" spans="1:9" ht="12.75">
      <c r="A2475" s="717"/>
      <c r="B2475" s="718"/>
      <c r="C2475" s="250"/>
      <c r="D2475" s="250"/>
      <c r="E2475" s="250"/>
      <c r="F2475" s="250"/>
      <c r="G2475" s="471"/>
      <c r="H2475" s="250"/>
      <c r="I2475" s="471"/>
    </row>
    <row r="2476" spans="1:9" ht="12.75">
      <c r="A2476" s="717"/>
      <c r="B2476" s="718"/>
      <c r="C2476" s="250"/>
      <c r="D2476" s="250"/>
      <c r="E2476" s="250"/>
      <c r="F2476" s="250"/>
      <c r="G2476" s="471"/>
      <c r="H2476" s="250"/>
      <c r="I2476" s="471"/>
    </row>
    <row r="2477" spans="1:9" ht="12.75">
      <c r="A2477" s="717"/>
      <c r="B2477" s="718"/>
      <c r="C2477" s="250"/>
      <c r="D2477" s="250"/>
      <c r="E2477" s="250"/>
      <c r="F2477" s="250"/>
      <c r="G2477" s="471"/>
      <c r="H2477" s="250"/>
      <c r="I2477" s="471"/>
    </row>
    <row r="2478" spans="1:9" ht="12.75">
      <c r="A2478" s="717"/>
      <c r="B2478" s="718"/>
      <c r="C2478" s="250"/>
      <c r="D2478" s="250"/>
      <c r="E2478" s="250"/>
      <c r="F2478" s="250"/>
      <c r="G2478" s="471"/>
      <c r="H2478" s="250"/>
      <c r="I2478" s="471"/>
    </row>
    <row r="2479" spans="1:9" ht="12.75">
      <c r="A2479" s="717"/>
      <c r="B2479" s="718"/>
      <c r="C2479" s="250"/>
      <c r="D2479" s="250"/>
      <c r="E2479" s="250"/>
      <c r="F2479" s="250"/>
      <c r="G2479" s="471"/>
      <c r="H2479" s="250"/>
      <c r="I2479" s="471"/>
    </row>
    <row r="2480" spans="1:9" ht="12.75">
      <c r="A2480" s="717"/>
      <c r="B2480" s="718"/>
      <c r="C2480" s="250"/>
      <c r="D2480" s="250"/>
      <c r="E2480" s="250"/>
      <c r="F2480" s="250"/>
      <c r="G2480" s="471"/>
      <c r="H2480" s="250"/>
      <c r="I2480" s="471"/>
    </row>
    <row r="2481" spans="1:9" ht="12.75">
      <c r="A2481" s="717"/>
      <c r="B2481" s="718"/>
      <c r="C2481" s="250"/>
      <c r="D2481" s="250"/>
      <c r="E2481" s="250"/>
      <c r="F2481" s="250"/>
      <c r="G2481" s="471"/>
      <c r="H2481" s="250"/>
      <c r="I2481" s="471"/>
    </row>
    <row r="2482" spans="1:9" ht="12.75">
      <c r="A2482" s="717"/>
      <c r="B2482" s="718"/>
      <c r="C2482" s="250"/>
      <c r="D2482" s="250"/>
      <c r="E2482" s="250"/>
      <c r="F2482" s="250"/>
      <c r="G2482" s="471"/>
      <c r="H2482" s="250"/>
      <c r="I2482" s="471"/>
    </row>
    <row r="2483" spans="1:9" ht="12.75">
      <c r="A2483" s="717"/>
      <c r="B2483" s="718"/>
      <c r="C2483" s="250"/>
      <c r="D2483" s="250"/>
      <c r="E2483" s="250"/>
      <c r="F2483" s="250"/>
      <c r="G2483" s="471"/>
      <c r="H2483" s="250"/>
      <c r="I2483" s="471"/>
    </row>
    <row r="2484" spans="1:9" ht="12.75">
      <c r="A2484" s="717"/>
      <c r="B2484" s="718"/>
      <c r="C2484" s="250"/>
      <c r="D2484" s="250"/>
      <c r="E2484" s="250"/>
      <c r="F2484" s="250"/>
      <c r="G2484" s="471"/>
      <c r="H2484" s="250"/>
      <c r="I2484" s="471"/>
    </row>
    <row r="2485" spans="1:9" ht="12.75">
      <c r="A2485" s="717"/>
      <c r="B2485" s="718"/>
      <c r="C2485" s="250"/>
      <c r="D2485" s="250"/>
      <c r="E2485" s="250"/>
      <c r="F2485" s="250"/>
      <c r="G2485" s="471"/>
      <c r="H2485" s="250"/>
      <c r="I2485" s="471"/>
    </row>
    <row r="2486" spans="1:9" ht="12.75">
      <c r="A2486" s="717"/>
      <c r="B2486" s="718"/>
      <c r="C2486" s="250"/>
      <c r="D2486" s="250"/>
      <c r="E2486" s="250"/>
      <c r="F2486" s="250"/>
      <c r="G2486" s="471"/>
      <c r="H2486" s="250"/>
      <c r="I2486" s="471"/>
    </row>
    <row r="2487" spans="1:9" ht="12.75">
      <c r="A2487" s="717"/>
      <c r="B2487" s="718"/>
      <c r="C2487" s="250"/>
      <c r="D2487" s="250"/>
      <c r="E2487" s="250"/>
      <c r="F2487" s="250"/>
      <c r="G2487" s="471"/>
      <c r="H2487" s="250"/>
      <c r="I2487" s="471"/>
    </row>
    <row r="2488" spans="1:9" ht="12.75">
      <c r="A2488" s="717"/>
      <c r="B2488" s="718"/>
      <c r="C2488" s="250"/>
      <c r="D2488" s="250"/>
      <c r="E2488" s="250"/>
      <c r="F2488" s="250"/>
      <c r="G2488" s="471"/>
      <c r="H2488" s="250"/>
      <c r="I2488" s="471"/>
    </row>
    <row r="2489" spans="1:9" ht="12.75">
      <c r="A2489" s="717"/>
      <c r="B2489" s="718"/>
      <c r="C2489" s="250"/>
      <c r="D2489" s="250"/>
      <c r="E2489" s="250"/>
      <c r="F2489" s="250"/>
      <c r="G2489" s="471"/>
      <c r="H2489" s="250"/>
      <c r="I2489" s="471"/>
    </row>
    <row r="2490" spans="1:9" ht="12.75">
      <c r="A2490" s="717"/>
      <c r="B2490" s="718"/>
      <c r="C2490" s="250"/>
      <c r="D2490" s="250"/>
      <c r="E2490" s="250"/>
      <c r="F2490" s="250"/>
      <c r="G2490" s="471"/>
      <c r="H2490" s="250"/>
      <c r="I2490" s="471"/>
    </row>
    <row r="2491" spans="1:9" ht="12.75">
      <c r="A2491" s="717"/>
      <c r="B2491" s="718"/>
      <c r="C2491" s="250"/>
      <c r="D2491" s="250"/>
      <c r="E2491" s="250"/>
      <c r="F2491" s="250"/>
      <c r="G2491" s="471"/>
      <c r="H2491" s="250"/>
      <c r="I2491" s="471"/>
    </row>
    <row r="2492" spans="1:9" ht="12.75">
      <c r="A2492" s="717"/>
      <c r="B2492" s="718"/>
      <c r="C2492" s="250"/>
      <c r="D2492" s="250"/>
      <c r="E2492" s="250"/>
      <c r="F2492" s="250"/>
      <c r="G2492" s="471"/>
      <c r="H2492" s="250"/>
      <c r="I2492" s="471"/>
    </row>
    <row r="2493" spans="1:9" ht="12.75">
      <c r="A2493" s="717"/>
      <c r="B2493" s="718"/>
      <c r="C2493" s="250"/>
      <c r="D2493" s="250"/>
      <c r="E2493" s="250"/>
      <c r="F2493" s="250"/>
      <c r="G2493" s="471"/>
      <c r="H2493" s="250"/>
      <c r="I2493" s="471"/>
    </row>
    <row r="2494" spans="1:9" ht="12.75">
      <c r="A2494" s="717"/>
      <c r="B2494" s="718"/>
      <c r="C2494" s="250"/>
      <c r="D2494" s="250"/>
      <c r="E2494" s="250"/>
      <c r="F2494" s="250"/>
      <c r="G2494" s="471"/>
      <c r="H2494" s="250"/>
      <c r="I2494" s="471"/>
    </row>
    <row r="2495" spans="1:9" ht="12.75">
      <c r="A2495" s="717"/>
      <c r="B2495" s="718"/>
      <c r="C2495" s="250"/>
      <c r="D2495" s="250"/>
      <c r="E2495" s="250"/>
      <c r="F2495" s="250"/>
      <c r="G2495" s="471"/>
      <c r="H2495" s="250"/>
      <c r="I2495" s="471"/>
    </row>
    <row r="2496" spans="1:9" ht="12.75">
      <c r="A2496" s="717"/>
      <c r="B2496" s="718"/>
      <c r="C2496" s="250"/>
      <c r="D2496" s="250"/>
      <c r="E2496" s="250"/>
      <c r="F2496" s="250"/>
      <c r="G2496" s="471"/>
      <c r="H2496" s="250"/>
      <c r="I2496" s="471"/>
    </row>
    <row r="2497" spans="1:9" ht="12.75">
      <c r="A2497" s="717"/>
      <c r="B2497" s="718"/>
      <c r="C2497" s="250"/>
      <c r="D2497" s="250"/>
      <c r="E2497" s="250"/>
      <c r="F2497" s="250"/>
      <c r="G2497" s="471"/>
      <c r="H2497" s="250"/>
      <c r="I2497" s="471"/>
    </row>
    <row r="2498" spans="1:9" ht="12.75">
      <c r="A2498" s="717"/>
      <c r="B2498" s="718"/>
      <c r="C2498" s="250"/>
      <c r="D2498" s="250"/>
      <c r="E2498" s="250"/>
      <c r="F2498" s="250"/>
      <c r="G2498" s="471"/>
      <c r="H2498" s="250"/>
      <c r="I2498" s="471"/>
    </row>
    <row r="2499" spans="1:9" ht="12.75">
      <c r="A2499" s="717"/>
      <c r="B2499" s="718"/>
      <c r="C2499" s="250"/>
      <c r="D2499" s="250"/>
      <c r="E2499" s="250"/>
      <c r="F2499" s="250"/>
      <c r="G2499" s="471"/>
      <c r="H2499" s="250"/>
      <c r="I2499" s="471"/>
    </row>
    <row r="2500" spans="1:9" ht="12.75">
      <c r="A2500" s="717"/>
      <c r="B2500" s="718"/>
      <c r="C2500" s="250"/>
      <c r="D2500" s="250"/>
      <c r="E2500" s="250"/>
      <c r="F2500" s="250"/>
      <c r="G2500" s="471"/>
      <c r="H2500" s="250"/>
      <c r="I2500" s="471"/>
    </row>
    <row r="2501" spans="1:9" ht="12.75">
      <c r="A2501" s="717"/>
      <c r="B2501" s="718"/>
      <c r="C2501" s="250"/>
      <c r="D2501" s="250"/>
      <c r="E2501" s="250"/>
      <c r="F2501" s="250"/>
      <c r="G2501" s="471"/>
      <c r="H2501" s="250"/>
      <c r="I2501" s="471"/>
    </row>
    <row r="2502" spans="1:9" ht="12.75">
      <c r="A2502" s="717"/>
      <c r="B2502" s="718"/>
      <c r="C2502" s="250"/>
      <c r="D2502" s="250"/>
      <c r="E2502" s="250"/>
      <c r="F2502" s="250"/>
      <c r="G2502" s="471"/>
      <c r="H2502" s="250"/>
      <c r="I2502" s="471"/>
    </row>
    <row r="2503" spans="1:9" ht="12.75">
      <c r="A2503" s="717"/>
      <c r="B2503" s="718"/>
      <c r="C2503" s="250"/>
      <c r="D2503" s="250"/>
      <c r="E2503" s="250"/>
      <c r="F2503" s="250"/>
      <c r="G2503" s="471"/>
      <c r="H2503" s="250"/>
      <c r="I2503" s="471"/>
    </row>
    <row r="2504" spans="1:9" ht="12.75">
      <c r="A2504" s="717"/>
      <c r="B2504" s="718"/>
      <c r="C2504" s="250"/>
      <c r="D2504" s="250"/>
      <c r="E2504" s="250"/>
      <c r="F2504" s="250"/>
      <c r="G2504" s="471"/>
      <c r="H2504" s="250"/>
      <c r="I2504" s="471"/>
    </row>
    <row r="2505" spans="1:9" ht="12.75">
      <c r="A2505" s="717"/>
      <c r="B2505" s="718"/>
      <c r="C2505" s="250"/>
      <c r="D2505" s="250"/>
      <c r="E2505" s="250"/>
      <c r="F2505" s="250"/>
      <c r="G2505" s="471"/>
      <c r="H2505" s="250"/>
      <c r="I2505" s="471"/>
    </row>
    <row r="2506" spans="1:9" ht="12.75">
      <c r="A2506" s="717"/>
      <c r="B2506" s="718"/>
      <c r="C2506" s="250"/>
      <c r="D2506" s="250"/>
      <c r="E2506" s="250"/>
      <c r="F2506" s="250"/>
      <c r="G2506" s="471"/>
      <c r="H2506" s="250"/>
      <c r="I2506" s="471"/>
    </row>
    <row r="2507" spans="1:9" ht="12.75">
      <c r="A2507" s="717"/>
      <c r="B2507" s="718"/>
      <c r="C2507" s="250"/>
      <c r="D2507" s="250"/>
      <c r="E2507" s="250"/>
      <c r="F2507" s="250"/>
      <c r="G2507" s="471"/>
      <c r="H2507" s="250"/>
      <c r="I2507" s="471"/>
    </row>
    <row r="2508" spans="1:9" ht="12.75">
      <c r="A2508" s="717"/>
      <c r="B2508" s="718"/>
      <c r="C2508" s="250"/>
      <c r="D2508" s="250"/>
      <c r="E2508" s="250"/>
      <c r="F2508" s="250"/>
      <c r="G2508" s="471"/>
      <c r="H2508" s="250"/>
      <c r="I2508" s="471"/>
    </row>
    <row r="2509" spans="1:9" ht="12.75">
      <c r="A2509" s="717"/>
      <c r="B2509" s="718"/>
      <c r="C2509" s="250"/>
      <c r="D2509" s="250"/>
      <c r="E2509" s="250"/>
      <c r="F2509" s="250"/>
      <c r="G2509" s="471"/>
      <c r="H2509" s="250"/>
      <c r="I2509" s="471"/>
    </row>
    <row r="2510" spans="1:9" ht="12.75">
      <c r="A2510" s="717"/>
      <c r="B2510" s="718"/>
      <c r="C2510" s="250"/>
      <c r="D2510" s="250"/>
      <c r="E2510" s="250"/>
      <c r="F2510" s="250"/>
      <c r="G2510" s="471"/>
      <c r="H2510" s="250"/>
      <c r="I2510" s="471"/>
    </row>
    <row r="2511" spans="1:9" ht="12.75">
      <c r="A2511" s="717"/>
      <c r="B2511" s="718"/>
      <c r="C2511" s="250"/>
      <c r="D2511" s="250"/>
      <c r="E2511" s="250"/>
      <c r="F2511" s="250"/>
      <c r="G2511" s="471"/>
      <c r="H2511" s="250"/>
      <c r="I2511" s="471"/>
    </row>
    <row r="2512" spans="1:9" ht="12.75">
      <c r="A2512" s="717"/>
      <c r="B2512" s="718"/>
      <c r="C2512" s="250"/>
      <c r="D2512" s="250"/>
      <c r="E2512" s="250"/>
      <c r="F2512" s="250"/>
      <c r="G2512" s="471"/>
      <c r="H2512" s="250"/>
      <c r="I2512" s="471"/>
    </row>
    <row r="2513" spans="1:9" ht="12.75">
      <c r="A2513" s="717"/>
      <c r="B2513" s="718"/>
      <c r="C2513" s="250"/>
      <c r="D2513" s="250"/>
      <c r="E2513" s="250"/>
      <c r="F2513" s="250"/>
      <c r="G2513" s="471"/>
      <c r="H2513" s="250"/>
      <c r="I2513" s="471"/>
    </row>
    <row r="2514" spans="1:9" ht="12.75">
      <c r="A2514" s="717"/>
      <c r="B2514" s="718"/>
      <c r="C2514" s="250"/>
      <c r="D2514" s="250"/>
      <c r="E2514" s="250"/>
      <c r="F2514" s="250"/>
      <c r="G2514" s="471"/>
      <c r="H2514" s="250"/>
      <c r="I2514" s="471"/>
    </row>
    <row r="2515" spans="1:9" ht="12.75">
      <c r="A2515" s="717"/>
      <c r="B2515" s="718"/>
      <c r="C2515" s="250"/>
      <c r="D2515" s="250"/>
      <c r="E2515" s="250"/>
      <c r="F2515" s="250"/>
      <c r="G2515" s="471"/>
      <c r="H2515" s="250"/>
      <c r="I2515" s="471"/>
    </row>
    <row r="2516" spans="1:9" ht="12.75">
      <c r="A2516" s="717"/>
      <c r="B2516" s="718"/>
      <c r="C2516" s="250"/>
      <c r="D2516" s="250"/>
      <c r="E2516" s="250"/>
      <c r="F2516" s="250"/>
      <c r="G2516" s="471"/>
      <c r="H2516" s="250"/>
      <c r="I2516" s="471"/>
    </row>
    <row r="2517" spans="1:9" ht="12.75">
      <c r="A2517" s="717"/>
      <c r="B2517" s="718"/>
      <c r="C2517" s="250"/>
      <c r="D2517" s="250"/>
      <c r="E2517" s="250"/>
      <c r="F2517" s="250"/>
      <c r="G2517" s="471"/>
      <c r="H2517" s="250"/>
      <c r="I2517" s="471"/>
    </row>
    <row r="2518" spans="1:9" ht="12.75">
      <c r="A2518" s="717"/>
      <c r="B2518" s="718"/>
      <c r="C2518" s="250"/>
      <c r="D2518" s="250"/>
      <c r="E2518" s="250"/>
      <c r="F2518" s="250"/>
      <c r="G2518" s="471"/>
      <c r="H2518" s="250"/>
      <c r="I2518" s="471"/>
    </row>
    <row r="2519" spans="1:9" ht="12.75">
      <c r="A2519" s="717"/>
      <c r="B2519" s="718"/>
      <c r="C2519" s="250"/>
      <c r="D2519" s="250"/>
      <c r="E2519" s="250"/>
      <c r="F2519" s="250"/>
      <c r="G2519" s="471"/>
      <c r="H2519" s="250"/>
      <c r="I2519" s="471"/>
    </row>
    <row r="2520" spans="1:9" ht="12.75">
      <c r="A2520" s="717"/>
      <c r="B2520" s="718"/>
      <c r="C2520" s="250"/>
      <c r="D2520" s="250"/>
      <c r="E2520" s="250"/>
      <c r="F2520" s="250"/>
      <c r="G2520" s="471"/>
      <c r="H2520" s="250"/>
      <c r="I2520" s="471"/>
    </row>
    <row r="2521" spans="1:9" ht="12.75">
      <c r="A2521" s="717"/>
      <c r="B2521" s="718"/>
      <c r="C2521" s="250"/>
      <c r="D2521" s="250"/>
      <c r="E2521" s="250"/>
      <c r="F2521" s="250"/>
      <c r="G2521" s="471"/>
      <c r="H2521" s="250"/>
      <c r="I2521" s="471"/>
    </row>
    <row r="2522" spans="1:9" ht="12.75">
      <c r="A2522" s="717"/>
      <c r="B2522" s="718"/>
      <c r="C2522" s="250"/>
      <c r="D2522" s="250"/>
      <c r="E2522" s="250"/>
      <c r="F2522" s="250"/>
      <c r="G2522" s="471"/>
      <c r="H2522" s="250"/>
      <c r="I2522" s="471"/>
    </row>
    <row r="2523" spans="1:9" ht="12.75">
      <c r="A2523" s="717"/>
      <c r="B2523" s="718"/>
      <c r="C2523" s="250"/>
      <c r="D2523" s="250"/>
      <c r="E2523" s="250"/>
      <c r="F2523" s="250"/>
      <c r="G2523" s="471"/>
      <c r="H2523" s="250"/>
      <c r="I2523" s="471"/>
    </row>
    <row r="2524" spans="1:9" ht="12.75">
      <c r="A2524" s="717"/>
      <c r="B2524" s="718"/>
      <c r="C2524" s="250"/>
      <c r="D2524" s="250"/>
      <c r="E2524" s="250"/>
      <c r="F2524" s="250"/>
      <c r="G2524" s="471"/>
      <c r="H2524" s="250"/>
      <c r="I2524" s="471"/>
    </row>
    <row r="2525" spans="1:9" ht="12.75">
      <c r="A2525" s="717"/>
      <c r="B2525" s="718"/>
      <c r="C2525" s="250"/>
      <c r="D2525" s="250"/>
      <c r="E2525" s="250"/>
      <c r="F2525" s="250"/>
      <c r="G2525" s="471"/>
      <c r="H2525" s="250"/>
      <c r="I2525" s="471"/>
    </row>
    <row r="2526" spans="1:9" ht="12.75">
      <c r="A2526" s="717"/>
      <c r="B2526" s="718"/>
      <c r="C2526" s="250"/>
      <c r="D2526" s="250"/>
      <c r="E2526" s="250"/>
      <c r="F2526" s="250"/>
      <c r="G2526" s="471"/>
      <c r="H2526" s="250"/>
      <c r="I2526" s="471"/>
    </row>
    <row r="2527" spans="1:9" ht="12.75">
      <c r="A2527" s="717"/>
      <c r="B2527" s="718"/>
      <c r="C2527" s="250"/>
      <c r="D2527" s="250"/>
      <c r="E2527" s="250"/>
      <c r="F2527" s="250"/>
      <c r="G2527" s="471"/>
      <c r="H2527" s="250"/>
      <c r="I2527" s="471"/>
    </row>
    <row r="2528" spans="1:9" ht="12.75">
      <c r="A2528" s="717"/>
      <c r="B2528" s="718"/>
      <c r="C2528" s="250"/>
      <c r="D2528" s="250"/>
      <c r="E2528" s="250"/>
      <c r="F2528" s="250"/>
      <c r="G2528" s="471"/>
      <c r="H2528" s="250"/>
      <c r="I2528" s="471"/>
    </row>
    <row r="2529" spans="1:9" ht="12.75">
      <c r="A2529" s="717"/>
      <c r="B2529" s="718"/>
      <c r="C2529" s="250"/>
      <c r="D2529" s="250"/>
      <c r="E2529" s="250"/>
      <c r="F2529" s="250"/>
      <c r="G2529" s="471"/>
      <c r="H2529" s="250"/>
      <c r="I2529" s="471"/>
    </row>
    <row r="2530" spans="1:9" ht="12.75">
      <c r="A2530" s="717"/>
      <c r="B2530" s="718"/>
      <c r="C2530" s="250"/>
      <c r="D2530" s="250"/>
      <c r="E2530" s="250"/>
      <c r="F2530" s="250"/>
      <c r="G2530" s="471"/>
      <c r="H2530" s="250"/>
      <c r="I2530" s="471"/>
    </row>
    <row r="2531" spans="1:9" ht="12.75">
      <c r="A2531" s="717"/>
      <c r="B2531" s="718"/>
      <c r="C2531" s="250"/>
      <c r="D2531" s="250"/>
      <c r="E2531" s="250"/>
      <c r="F2531" s="250"/>
      <c r="G2531" s="471"/>
      <c r="H2531" s="250"/>
      <c r="I2531" s="471"/>
    </row>
    <row r="2532" spans="1:9" ht="12.75">
      <c r="A2532" s="717"/>
      <c r="B2532" s="718"/>
      <c r="C2532" s="250"/>
      <c r="D2532" s="250"/>
      <c r="E2532" s="250"/>
      <c r="F2532" s="250"/>
      <c r="G2532" s="471"/>
      <c r="H2532" s="250"/>
      <c r="I2532" s="471"/>
    </row>
    <row r="2533" spans="1:9" ht="12.75">
      <c r="A2533" s="717"/>
      <c r="B2533" s="718"/>
      <c r="C2533" s="250"/>
      <c r="D2533" s="250"/>
      <c r="E2533" s="250"/>
      <c r="F2533" s="250"/>
      <c r="G2533" s="471"/>
      <c r="H2533" s="250"/>
      <c r="I2533" s="471"/>
    </row>
    <row r="2534" spans="1:9" ht="12.75">
      <c r="A2534" s="717"/>
      <c r="B2534" s="718"/>
      <c r="C2534" s="250"/>
      <c r="D2534" s="250"/>
      <c r="E2534" s="250"/>
      <c r="F2534" s="250"/>
      <c r="G2534" s="471"/>
      <c r="H2534" s="250"/>
      <c r="I2534" s="471"/>
    </row>
    <row r="2535" spans="1:9" ht="12.75">
      <c r="A2535" s="717"/>
      <c r="B2535" s="718"/>
      <c r="C2535" s="250"/>
      <c r="D2535" s="250"/>
      <c r="E2535" s="250"/>
      <c r="F2535" s="250"/>
      <c r="G2535" s="471"/>
      <c r="H2535" s="250"/>
      <c r="I2535" s="471"/>
    </row>
    <row r="2536" spans="1:9" ht="12.75">
      <c r="A2536" s="717"/>
      <c r="B2536" s="718"/>
      <c r="C2536" s="250"/>
      <c r="D2536" s="250"/>
      <c r="E2536" s="250"/>
      <c r="F2536" s="250"/>
      <c r="G2536" s="471"/>
      <c r="H2536" s="250"/>
      <c r="I2536" s="471"/>
    </row>
    <row r="2537" spans="1:9" ht="12.75">
      <c r="A2537" s="717"/>
      <c r="B2537" s="718"/>
      <c r="C2537" s="250"/>
      <c r="D2537" s="250"/>
      <c r="E2537" s="250"/>
      <c r="F2537" s="250"/>
      <c r="G2537" s="471"/>
      <c r="H2537" s="250"/>
      <c r="I2537" s="471"/>
    </row>
    <row r="2538" spans="1:9" ht="12.75">
      <c r="A2538" s="717"/>
      <c r="B2538" s="718"/>
      <c r="C2538" s="250"/>
      <c r="D2538" s="250"/>
      <c r="E2538" s="250"/>
      <c r="F2538" s="250"/>
      <c r="G2538" s="471"/>
      <c r="H2538" s="250"/>
      <c r="I2538" s="471"/>
    </row>
    <row r="2539" spans="1:9" ht="12.75">
      <c r="A2539" s="717"/>
      <c r="B2539" s="718"/>
      <c r="C2539" s="250"/>
      <c r="D2539" s="250"/>
      <c r="E2539" s="250"/>
      <c r="F2539" s="250"/>
      <c r="G2539" s="471"/>
      <c r="H2539" s="250"/>
      <c r="I2539" s="471"/>
    </row>
    <row r="2540" spans="1:9" ht="12.75">
      <c r="A2540" s="717"/>
      <c r="B2540" s="718"/>
      <c r="C2540" s="250"/>
      <c r="D2540" s="250"/>
      <c r="E2540" s="250"/>
      <c r="F2540" s="250"/>
      <c r="G2540" s="471"/>
      <c r="H2540" s="250"/>
      <c r="I2540" s="471"/>
    </row>
    <row r="2541" spans="1:9" ht="12.75">
      <c r="A2541" s="717"/>
      <c r="B2541" s="718"/>
      <c r="C2541" s="250"/>
      <c r="D2541" s="250"/>
      <c r="E2541" s="250"/>
      <c r="F2541" s="250"/>
      <c r="G2541" s="471"/>
      <c r="H2541" s="250"/>
      <c r="I2541" s="471"/>
    </row>
    <row r="2542" spans="1:9" ht="12.75">
      <c r="A2542" s="717"/>
      <c r="B2542" s="718"/>
      <c r="C2542" s="250"/>
      <c r="D2542" s="250"/>
      <c r="E2542" s="250"/>
      <c r="F2542" s="250"/>
      <c r="G2542" s="471"/>
      <c r="H2542" s="250"/>
      <c r="I2542" s="471"/>
    </row>
    <row r="2543" spans="1:9" ht="12.75">
      <c r="A2543" s="717"/>
      <c r="B2543" s="718"/>
      <c r="C2543" s="250"/>
      <c r="D2543" s="250"/>
      <c r="E2543" s="250"/>
      <c r="F2543" s="250"/>
      <c r="G2543" s="471"/>
      <c r="H2543" s="250"/>
      <c r="I2543" s="471"/>
    </row>
    <row r="2544" spans="1:9" ht="12.75">
      <c r="A2544" s="717"/>
      <c r="B2544" s="718"/>
      <c r="C2544" s="250"/>
      <c r="D2544" s="250"/>
      <c r="E2544" s="250"/>
      <c r="F2544" s="250"/>
      <c r="G2544" s="471"/>
      <c r="H2544" s="250"/>
      <c r="I2544" s="471"/>
    </row>
    <row r="2545" spans="1:9" ht="12.75">
      <c r="A2545" s="717"/>
      <c r="B2545" s="718"/>
      <c r="C2545" s="250"/>
      <c r="D2545" s="250"/>
      <c r="E2545" s="250"/>
      <c r="F2545" s="250"/>
      <c r="G2545" s="471"/>
      <c r="H2545" s="250"/>
      <c r="I2545" s="471"/>
    </row>
    <row r="2546" spans="1:9" ht="12.75">
      <c r="A2546" s="717"/>
      <c r="B2546" s="718"/>
      <c r="C2546" s="250"/>
      <c r="D2546" s="250"/>
      <c r="E2546" s="250"/>
      <c r="F2546" s="250"/>
      <c r="G2546" s="471"/>
      <c r="H2546" s="250"/>
      <c r="I2546" s="471"/>
    </row>
    <row r="2547" spans="1:9" ht="12.75">
      <c r="A2547" s="717"/>
      <c r="B2547" s="718"/>
      <c r="C2547" s="250"/>
      <c r="D2547" s="250"/>
      <c r="E2547" s="250"/>
      <c r="F2547" s="250"/>
      <c r="G2547" s="471"/>
      <c r="H2547" s="250"/>
      <c r="I2547" s="471"/>
    </row>
    <row r="2548" spans="1:9" ht="12.75">
      <c r="A2548" s="717"/>
      <c r="B2548" s="718"/>
      <c r="C2548" s="250"/>
      <c r="D2548" s="250"/>
      <c r="E2548" s="250"/>
      <c r="F2548" s="250"/>
      <c r="G2548" s="471"/>
      <c r="H2548" s="250"/>
      <c r="I2548" s="471"/>
    </row>
    <row r="2549" spans="1:9" ht="12.75">
      <c r="A2549" s="717"/>
      <c r="B2549" s="718"/>
      <c r="C2549" s="250"/>
      <c r="D2549" s="250"/>
      <c r="E2549" s="250"/>
      <c r="F2549" s="250"/>
      <c r="G2549" s="471"/>
      <c r="H2549" s="250"/>
      <c r="I2549" s="471"/>
    </row>
    <row r="2550" spans="1:9" ht="12.75">
      <c r="A2550" s="717"/>
      <c r="B2550" s="718"/>
      <c r="C2550" s="250"/>
      <c r="D2550" s="250"/>
      <c r="E2550" s="250"/>
      <c r="F2550" s="250"/>
      <c r="G2550" s="471"/>
      <c r="H2550" s="250"/>
      <c r="I2550" s="471"/>
    </row>
    <row r="2551" spans="1:9" ht="12.75">
      <c r="A2551" s="717"/>
      <c r="B2551" s="718"/>
      <c r="C2551" s="250"/>
      <c r="D2551" s="250"/>
      <c r="E2551" s="250"/>
      <c r="F2551" s="250"/>
      <c r="G2551" s="471"/>
      <c r="H2551" s="250"/>
      <c r="I2551" s="471"/>
    </row>
    <row r="2552" spans="1:9" ht="12.75">
      <c r="A2552" s="717"/>
      <c r="B2552" s="718"/>
      <c r="C2552" s="250"/>
      <c r="D2552" s="250"/>
      <c r="E2552" s="250"/>
      <c r="F2552" s="250"/>
      <c r="G2552" s="471"/>
      <c r="H2552" s="250"/>
      <c r="I2552" s="471"/>
    </row>
    <row r="2553" spans="1:9" ht="12.75">
      <c r="A2553" s="717"/>
      <c r="B2553" s="718"/>
      <c r="C2553" s="250"/>
      <c r="D2553" s="250"/>
      <c r="E2553" s="250"/>
      <c r="F2553" s="250"/>
      <c r="G2553" s="471"/>
      <c r="H2553" s="250"/>
      <c r="I2553" s="471"/>
    </row>
    <row r="2554" spans="1:9" ht="12.75">
      <c r="A2554" s="717"/>
      <c r="B2554" s="718"/>
      <c r="C2554" s="250"/>
      <c r="D2554" s="250"/>
      <c r="E2554" s="250"/>
      <c r="F2554" s="250"/>
      <c r="G2554" s="471"/>
      <c r="H2554" s="250"/>
      <c r="I2554" s="471"/>
    </row>
    <row r="2555" spans="1:9" ht="12.75">
      <c r="A2555" s="717"/>
      <c r="B2555" s="718"/>
      <c r="C2555" s="250"/>
      <c r="D2555" s="250"/>
      <c r="E2555" s="250"/>
      <c r="F2555" s="250"/>
      <c r="G2555" s="471"/>
      <c r="H2555" s="250"/>
      <c r="I2555" s="471"/>
    </row>
    <row r="2556" spans="1:9" ht="12.75">
      <c r="A2556" s="717"/>
      <c r="B2556" s="718"/>
      <c r="C2556" s="250"/>
      <c r="D2556" s="250"/>
      <c r="E2556" s="250"/>
      <c r="F2556" s="250"/>
      <c r="G2556" s="471"/>
      <c r="H2556" s="250"/>
      <c r="I2556" s="471"/>
    </row>
    <row r="2557" spans="1:9" ht="12.75">
      <c r="A2557" s="717"/>
      <c r="B2557" s="718"/>
      <c r="C2557" s="250"/>
      <c r="D2557" s="250"/>
      <c r="E2557" s="250"/>
      <c r="F2557" s="250"/>
      <c r="G2557" s="471"/>
      <c r="H2557" s="250"/>
      <c r="I2557" s="471"/>
    </row>
    <row r="2558" spans="1:9" ht="12.75">
      <c r="A2558" s="717"/>
      <c r="B2558" s="718"/>
      <c r="C2558" s="250"/>
      <c r="D2558" s="250"/>
      <c r="E2558" s="250"/>
      <c r="F2558" s="250"/>
      <c r="G2558" s="471"/>
      <c r="H2558" s="250"/>
      <c r="I2558" s="471"/>
    </row>
    <row r="2559" spans="1:9" ht="12.75">
      <c r="A2559" s="717"/>
      <c r="B2559" s="718"/>
      <c r="C2559" s="250"/>
      <c r="D2559" s="250"/>
      <c r="E2559" s="250"/>
      <c r="F2559" s="250"/>
      <c r="G2559" s="471"/>
      <c r="H2559" s="250"/>
      <c r="I2559" s="471"/>
    </row>
    <row r="2560" spans="1:9" ht="12.75">
      <c r="A2560" s="717"/>
      <c r="B2560" s="718"/>
      <c r="C2560" s="250"/>
      <c r="D2560" s="250"/>
      <c r="E2560" s="250"/>
      <c r="F2560" s="250"/>
      <c r="G2560" s="471"/>
      <c r="H2560" s="250"/>
      <c r="I2560" s="471"/>
    </row>
    <row r="2561" spans="1:9" ht="12.75">
      <c r="A2561" s="717"/>
      <c r="B2561" s="718"/>
      <c r="C2561" s="250"/>
      <c r="D2561" s="250"/>
      <c r="E2561" s="250"/>
      <c r="F2561" s="250"/>
      <c r="G2561" s="471"/>
      <c r="H2561" s="250"/>
      <c r="I2561" s="471"/>
    </row>
    <row r="2562" spans="1:9" ht="12.75">
      <c r="A2562" s="717"/>
      <c r="B2562" s="718"/>
      <c r="C2562" s="250"/>
      <c r="D2562" s="250"/>
      <c r="E2562" s="250"/>
      <c r="F2562" s="250"/>
      <c r="G2562" s="471"/>
      <c r="H2562" s="250"/>
      <c r="I2562" s="471"/>
    </row>
    <row r="2563" spans="1:9" ht="12.75">
      <c r="A2563" s="717"/>
      <c r="B2563" s="718"/>
      <c r="C2563" s="250"/>
      <c r="D2563" s="250"/>
      <c r="E2563" s="250"/>
      <c r="F2563" s="250"/>
      <c r="G2563" s="471"/>
      <c r="H2563" s="250"/>
      <c r="I2563" s="471"/>
    </row>
    <row r="2564" spans="1:9" ht="12.75">
      <c r="A2564" s="717"/>
      <c r="B2564" s="718"/>
      <c r="C2564" s="250"/>
      <c r="D2564" s="250"/>
      <c r="E2564" s="250"/>
      <c r="F2564" s="250"/>
      <c r="G2564" s="471"/>
      <c r="H2564" s="250"/>
      <c r="I2564" s="471"/>
    </row>
    <row r="2565" spans="1:9" ht="12.75">
      <c r="A2565" s="717"/>
      <c r="B2565" s="718"/>
      <c r="C2565" s="250"/>
      <c r="D2565" s="250"/>
      <c r="E2565" s="250"/>
      <c r="F2565" s="250"/>
      <c r="G2565" s="471"/>
      <c r="H2565" s="250"/>
      <c r="I2565" s="471"/>
    </row>
    <row r="2566" spans="1:9" ht="12.75">
      <c r="A2566" s="717"/>
      <c r="B2566" s="718"/>
      <c r="C2566" s="250"/>
      <c r="D2566" s="250"/>
      <c r="E2566" s="250"/>
      <c r="F2566" s="250"/>
      <c r="G2566" s="471"/>
      <c r="H2566" s="250"/>
      <c r="I2566" s="471"/>
    </row>
    <row r="2567" spans="1:9" ht="12.75">
      <c r="A2567" s="717"/>
      <c r="B2567" s="718"/>
      <c r="C2567" s="250"/>
      <c r="D2567" s="250"/>
      <c r="E2567" s="250"/>
      <c r="F2567" s="250"/>
      <c r="G2567" s="471"/>
      <c r="H2567" s="250"/>
      <c r="I2567" s="471"/>
    </row>
    <row r="2568" spans="1:9" ht="12.75">
      <c r="A2568" s="717"/>
      <c r="B2568" s="718"/>
      <c r="C2568" s="250"/>
      <c r="D2568" s="250"/>
      <c r="E2568" s="250"/>
      <c r="F2568" s="250"/>
      <c r="G2568" s="471"/>
      <c r="H2568" s="250"/>
      <c r="I2568" s="471"/>
    </row>
    <row r="2569" spans="1:9" ht="12.75">
      <c r="A2569" s="717"/>
      <c r="B2569" s="718"/>
      <c r="C2569" s="250"/>
      <c r="D2569" s="250"/>
      <c r="E2569" s="250"/>
      <c r="F2569" s="250"/>
      <c r="G2569" s="471"/>
      <c r="H2569" s="250"/>
      <c r="I2569" s="471"/>
    </row>
    <row r="2570" spans="1:9" ht="12.75">
      <c r="A2570" s="717"/>
      <c r="B2570" s="718"/>
      <c r="C2570" s="250"/>
      <c r="D2570" s="250"/>
      <c r="E2570" s="250"/>
      <c r="F2570" s="250"/>
      <c r="G2570" s="471"/>
      <c r="H2570" s="250"/>
      <c r="I2570" s="471"/>
    </row>
    <row r="2571" spans="1:9" ht="12.75">
      <c r="A2571" s="717"/>
      <c r="B2571" s="718"/>
      <c r="C2571" s="250"/>
      <c r="D2571" s="250"/>
      <c r="E2571" s="250"/>
      <c r="F2571" s="250"/>
      <c r="G2571" s="471"/>
      <c r="H2571" s="250"/>
      <c r="I2571" s="471"/>
    </row>
    <row r="2572" spans="1:9" ht="12.75">
      <c r="A2572" s="717"/>
      <c r="B2572" s="718"/>
      <c r="C2572" s="250"/>
      <c r="D2572" s="250"/>
      <c r="E2572" s="250"/>
      <c r="F2572" s="250"/>
      <c r="G2572" s="471"/>
      <c r="H2572" s="250"/>
      <c r="I2572" s="471"/>
    </row>
    <row r="2573" spans="1:9" ht="12.75">
      <c r="A2573" s="717"/>
      <c r="B2573" s="718"/>
      <c r="C2573" s="250"/>
      <c r="D2573" s="250"/>
      <c r="E2573" s="250"/>
      <c r="F2573" s="250"/>
      <c r="G2573" s="471"/>
      <c r="H2573" s="250"/>
      <c r="I2573" s="471"/>
    </row>
    <row r="2574" spans="1:9" ht="12.75">
      <c r="A2574" s="717"/>
      <c r="B2574" s="718"/>
      <c r="C2574" s="250"/>
      <c r="D2574" s="250"/>
      <c r="E2574" s="250"/>
      <c r="F2574" s="250"/>
      <c r="G2574" s="471"/>
      <c r="H2574" s="250"/>
      <c r="I2574" s="471"/>
    </row>
    <row r="2575" spans="1:9" ht="12.75">
      <c r="A2575" s="717"/>
      <c r="B2575" s="718"/>
      <c r="C2575" s="250"/>
      <c r="D2575" s="250"/>
      <c r="E2575" s="250"/>
      <c r="F2575" s="250"/>
      <c r="G2575" s="471"/>
      <c r="H2575" s="250"/>
      <c r="I2575" s="471"/>
    </row>
    <row r="2576" spans="1:9" ht="12.75">
      <c r="A2576" s="717"/>
      <c r="B2576" s="718"/>
      <c r="C2576" s="250"/>
      <c r="D2576" s="250"/>
      <c r="E2576" s="250"/>
      <c r="F2576" s="250"/>
      <c r="G2576" s="471"/>
      <c r="H2576" s="250"/>
      <c r="I2576" s="471"/>
    </row>
    <row r="2577" spans="1:9" ht="12.75">
      <c r="A2577" s="717"/>
      <c r="B2577" s="718"/>
      <c r="C2577" s="250"/>
      <c r="D2577" s="250"/>
      <c r="E2577" s="250"/>
      <c r="F2577" s="250"/>
      <c r="G2577" s="471"/>
      <c r="H2577" s="250"/>
      <c r="I2577" s="471"/>
    </row>
    <row r="2578" spans="1:9" ht="12.75">
      <c r="A2578" s="717"/>
      <c r="B2578" s="718"/>
      <c r="C2578" s="250"/>
      <c r="D2578" s="250"/>
      <c r="E2578" s="250"/>
      <c r="F2578" s="250"/>
      <c r="G2578" s="471"/>
      <c r="H2578" s="250"/>
      <c r="I2578" s="471"/>
    </row>
    <row r="2579" spans="1:9" ht="12.75">
      <c r="A2579" s="717"/>
      <c r="B2579" s="718"/>
      <c r="C2579" s="250"/>
      <c r="D2579" s="250"/>
      <c r="E2579" s="250"/>
      <c r="F2579" s="250"/>
      <c r="G2579" s="471"/>
      <c r="H2579" s="250"/>
      <c r="I2579" s="471"/>
    </row>
    <row r="2580" spans="1:9" ht="12.75">
      <c r="A2580" s="717"/>
      <c r="B2580" s="718"/>
      <c r="C2580" s="250"/>
      <c r="D2580" s="250"/>
      <c r="E2580" s="250"/>
      <c r="F2580" s="250"/>
      <c r="G2580" s="471"/>
      <c r="H2580" s="250"/>
      <c r="I2580" s="471"/>
    </row>
    <row r="2581" spans="1:9" ht="12.75">
      <c r="A2581" s="717"/>
      <c r="B2581" s="718"/>
      <c r="C2581" s="250"/>
      <c r="D2581" s="250"/>
      <c r="E2581" s="250"/>
      <c r="F2581" s="250"/>
      <c r="G2581" s="471"/>
      <c r="H2581" s="250"/>
      <c r="I2581" s="471"/>
    </row>
    <row r="2582" spans="1:9" ht="12.75">
      <c r="A2582" s="717"/>
      <c r="B2582" s="718"/>
      <c r="C2582" s="250"/>
      <c r="D2582" s="250"/>
      <c r="E2582" s="250"/>
      <c r="F2582" s="250"/>
      <c r="G2582" s="471"/>
      <c r="H2582" s="250"/>
      <c r="I2582" s="471"/>
    </row>
    <row r="2583" spans="1:9" ht="12.75">
      <c r="A2583" s="717"/>
      <c r="B2583" s="718"/>
      <c r="C2583" s="250"/>
      <c r="D2583" s="250"/>
      <c r="E2583" s="250"/>
      <c r="F2583" s="250"/>
      <c r="G2583" s="471"/>
      <c r="H2583" s="250"/>
      <c r="I2583" s="471"/>
    </row>
    <row r="2584" spans="1:9" ht="12.75">
      <c r="A2584" s="717"/>
      <c r="B2584" s="718"/>
      <c r="C2584" s="250"/>
      <c r="D2584" s="250"/>
      <c r="E2584" s="250"/>
      <c r="F2584" s="250"/>
      <c r="G2584" s="471"/>
      <c r="H2584" s="250"/>
      <c r="I2584" s="471"/>
    </row>
    <row r="2585" spans="1:9" ht="12.75">
      <c r="A2585" s="717"/>
      <c r="B2585" s="718"/>
      <c r="C2585" s="250"/>
      <c r="D2585" s="250"/>
      <c r="E2585" s="250"/>
      <c r="F2585" s="250"/>
      <c r="G2585" s="471"/>
      <c r="H2585" s="250"/>
      <c r="I2585" s="471"/>
    </row>
    <row r="2586" spans="1:9" ht="12.75">
      <c r="A2586" s="717"/>
      <c r="B2586" s="718"/>
      <c r="C2586" s="250"/>
      <c r="D2586" s="250"/>
      <c r="E2586" s="250"/>
      <c r="F2586" s="250"/>
      <c r="G2586" s="471"/>
      <c r="H2586" s="250"/>
      <c r="I2586" s="471"/>
    </row>
    <row r="2587" spans="1:9" ht="12.75">
      <c r="A2587" s="717"/>
      <c r="B2587" s="718"/>
      <c r="C2587" s="250"/>
      <c r="D2587" s="250"/>
      <c r="E2587" s="250"/>
      <c r="F2587" s="250"/>
      <c r="G2587" s="471"/>
      <c r="H2587" s="250"/>
      <c r="I2587" s="471"/>
    </row>
    <row r="2588" spans="1:9" ht="12.75">
      <c r="A2588" s="717"/>
      <c r="B2588" s="718"/>
      <c r="C2588" s="250"/>
      <c r="D2588" s="250"/>
      <c r="E2588" s="250"/>
      <c r="F2588" s="250"/>
      <c r="G2588" s="471"/>
      <c r="H2588" s="250"/>
      <c r="I2588" s="471"/>
    </row>
    <row r="2589" spans="1:9" ht="12.75">
      <c r="A2589" s="717"/>
      <c r="B2589" s="718"/>
      <c r="C2589" s="250"/>
      <c r="D2589" s="250"/>
      <c r="E2589" s="250"/>
      <c r="F2589" s="250"/>
      <c r="G2589" s="471"/>
      <c r="H2589" s="250"/>
      <c r="I2589" s="471"/>
    </row>
    <row r="2590" spans="1:9" ht="12.75">
      <c r="A2590" s="717"/>
      <c r="B2590" s="718"/>
      <c r="C2590" s="250"/>
      <c r="D2590" s="250"/>
      <c r="E2590" s="250"/>
      <c r="F2590" s="250"/>
      <c r="G2590" s="471"/>
      <c r="H2590" s="250"/>
      <c r="I2590" s="471"/>
    </row>
    <row r="2591" spans="1:9" ht="12.75">
      <c r="A2591" s="717"/>
      <c r="B2591" s="718"/>
      <c r="C2591" s="250"/>
      <c r="D2591" s="250"/>
      <c r="E2591" s="250"/>
      <c r="F2591" s="250"/>
      <c r="G2591" s="471"/>
      <c r="H2591" s="250"/>
      <c r="I2591" s="471"/>
    </row>
    <row r="2592" spans="1:9" ht="12.75">
      <c r="A2592" s="717"/>
      <c r="B2592" s="718"/>
      <c r="C2592" s="250"/>
      <c r="D2592" s="250"/>
      <c r="E2592" s="250"/>
      <c r="F2592" s="250"/>
      <c r="G2592" s="471"/>
      <c r="H2592" s="250"/>
      <c r="I2592" s="471"/>
    </row>
    <row r="2593" spans="1:9" ht="12.75">
      <c r="A2593" s="717"/>
      <c r="B2593" s="718"/>
      <c r="C2593" s="250"/>
      <c r="D2593" s="250"/>
      <c r="E2593" s="250"/>
      <c r="F2593" s="250"/>
      <c r="G2593" s="471"/>
      <c r="H2593" s="250"/>
      <c r="I2593" s="471"/>
    </row>
    <row r="2594" spans="1:9" ht="12.75">
      <c r="A2594" s="717"/>
      <c r="B2594" s="718"/>
      <c r="C2594" s="250"/>
      <c r="D2594" s="250"/>
      <c r="E2594" s="250"/>
      <c r="F2594" s="250"/>
      <c r="G2594" s="471"/>
      <c r="H2594" s="250"/>
      <c r="I2594" s="471"/>
    </row>
    <row r="2595" spans="1:9" ht="12.75">
      <c r="A2595" s="717"/>
      <c r="B2595" s="718"/>
      <c r="C2595" s="250"/>
      <c r="D2595" s="250"/>
      <c r="E2595" s="250"/>
      <c r="F2595" s="250"/>
      <c r="G2595" s="471"/>
      <c r="H2595" s="250"/>
      <c r="I2595" s="471"/>
    </row>
    <row r="2596" spans="1:9" ht="12.75">
      <c r="A2596" s="717"/>
      <c r="B2596" s="718"/>
      <c r="C2596" s="250"/>
      <c r="D2596" s="250"/>
      <c r="E2596" s="250"/>
      <c r="F2596" s="250"/>
      <c r="G2596" s="471"/>
      <c r="H2596" s="250"/>
      <c r="I2596" s="471"/>
    </row>
    <row r="2597" spans="1:9" ht="12.75">
      <c r="A2597" s="717"/>
      <c r="B2597" s="718"/>
      <c r="C2597" s="250"/>
      <c r="D2597" s="250"/>
      <c r="E2597" s="250"/>
      <c r="F2597" s="250"/>
      <c r="G2597" s="471"/>
      <c r="H2597" s="250"/>
      <c r="I2597" s="471"/>
    </row>
    <row r="2598" spans="1:9" ht="12.75">
      <c r="A2598" s="717"/>
      <c r="B2598" s="718"/>
      <c r="C2598" s="250"/>
      <c r="D2598" s="250"/>
      <c r="E2598" s="250"/>
      <c r="F2598" s="250"/>
      <c r="G2598" s="471"/>
      <c r="H2598" s="250"/>
      <c r="I2598" s="471"/>
    </row>
    <row r="2599" spans="1:9" ht="12.75">
      <c r="A2599" s="717"/>
      <c r="B2599" s="718"/>
      <c r="C2599" s="250"/>
      <c r="D2599" s="250"/>
      <c r="E2599" s="250"/>
      <c r="F2599" s="250"/>
      <c r="G2599" s="471"/>
      <c r="H2599" s="250"/>
      <c r="I2599" s="471"/>
    </row>
    <row r="2600" spans="1:9" ht="12.75">
      <c r="A2600" s="717"/>
      <c r="B2600" s="718"/>
      <c r="C2600" s="250"/>
      <c r="D2600" s="250"/>
      <c r="E2600" s="250"/>
      <c r="F2600" s="250"/>
      <c r="G2600" s="471"/>
      <c r="H2600" s="250"/>
      <c r="I2600" s="471"/>
    </row>
    <row r="2601" spans="1:9" ht="12.75">
      <c r="A2601" s="717"/>
      <c r="B2601" s="718"/>
      <c r="C2601" s="250"/>
      <c r="D2601" s="250"/>
      <c r="E2601" s="250"/>
      <c r="F2601" s="250"/>
      <c r="G2601" s="471"/>
      <c r="H2601" s="250"/>
      <c r="I2601" s="471"/>
    </row>
    <row r="2602" spans="1:9" ht="12.75">
      <c r="A2602" s="717"/>
      <c r="B2602" s="718"/>
      <c r="C2602" s="250"/>
      <c r="D2602" s="250"/>
      <c r="E2602" s="250"/>
      <c r="F2602" s="250"/>
      <c r="G2602" s="471"/>
      <c r="H2602" s="250"/>
      <c r="I2602" s="471"/>
    </row>
    <row r="2603" spans="1:9" ht="12.75">
      <c r="A2603" s="717"/>
      <c r="B2603" s="718"/>
      <c r="C2603" s="250"/>
      <c r="D2603" s="250"/>
      <c r="E2603" s="250"/>
      <c r="F2603" s="250"/>
      <c r="G2603" s="471"/>
      <c r="H2603" s="250"/>
      <c r="I2603" s="471"/>
    </row>
    <row r="2604" spans="1:9" ht="12.75">
      <c r="A2604" s="717"/>
      <c r="B2604" s="718"/>
      <c r="C2604" s="250"/>
      <c r="D2604" s="250"/>
      <c r="E2604" s="250"/>
      <c r="F2604" s="250"/>
      <c r="G2604" s="471"/>
      <c r="H2604" s="250"/>
      <c r="I2604" s="471"/>
    </row>
    <row r="2605" spans="1:9" ht="12.75">
      <c r="A2605" s="717"/>
      <c r="B2605" s="718"/>
      <c r="C2605" s="250"/>
      <c r="D2605" s="250"/>
      <c r="E2605" s="250"/>
      <c r="F2605" s="250"/>
      <c r="G2605" s="471"/>
      <c r="H2605" s="250"/>
      <c r="I2605" s="471"/>
    </row>
    <row r="2606" spans="1:9" ht="12.75">
      <c r="A2606" s="717"/>
      <c r="B2606" s="718"/>
      <c r="C2606" s="250"/>
      <c r="D2606" s="250"/>
      <c r="E2606" s="250"/>
      <c r="F2606" s="250"/>
      <c r="G2606" s="471"/>
      <c r="H2606" s="250"/>
      <c r="I2606" s="471"/>
    </row>
    <row r="2607" spans="1:9" ht="12.75">
      <c r="A2607" s="717"/>
      <c r="B2607" s="718"/>
      <c r="C2607" s="250"/>
      <c r="D2607" s="250"/>
      <c r="E2607" s="250"/>
      <c r="F2607" s="250"/>
      <c r="G2607" s="471"/>
      <c r="H2607" s="250"/>
      <c r="I2607" s="471"/>
    </row>
    <row r="2608" spans="1:9" ht="12.75">
      <c r="A2608" s="717"/>
      <c r="B2608" s="718"/>
      <c r="C2608" s="250"/>
      <c r="D2608" s="250"/>
      <c r="E2608" s="250"/>
      <c r="F2608" s="250"/>
      <c r="G2608" s="471"/>
      <c r="H2608" s="250"/>
      <c r="I2608" s="471"/>
    </row>
    <row r="2609" spans="1:9" ht="12.75">
      <c r="A2609" s="717"/>
      <c r="B2609" s="718"/>
      <c r="C2609" s="250"/>
      <c r="D2609" s="250"/>
      <c r="E2609" s="250"/>
      <c r="F2609" s="250"/>
      <c r="G2609" s="471"/>
      <c r="H2609" s="250"/>
      <c r="I2609" s="471"/>
    </row>
    <row r="2610" spans="1:9" ht="12.75">
      <c r="A2610" s="717"/>
      <c r="B2610" s="718"/>
      <c r="C2610" s="250"/>
      <c r="D2610" s="250"/>
      <c r="E2610" s="250"/>
      <c r="F2610" s="250"/>
      <c r="G2610" s="471"/>
      <c r="H2610" s="250"/>
      <c r="I2610" s="471"/>
    </row>
    <row r="2611" spans="1:9" ht="12.75">
      <c r="A2611" s="717"/>
      <c r="B2611" s="718"/>
      <c r="C2611" s="250"/>
      <c r="D2611" s="250"/>
      <c r="E2611" s="250"/>
      <c r="F2611" s="250"/>
      <c r="G2611" s="471"/>
      <c r="H2611" s="250"/>
      <c r="I2611" s="471"/>
    </row>
    <row r="2612" spans="1:9" ht="12.75">
      <c r="A2612" s="717"/>
      <c r="B2612" s="718"/>
      <c r="C2612" s="250"/>
      <c r="D2612" s="250"/>
      <c r="E2612" s="250"/>
      <c r="F2612" s="250"/>
      <c r="G2612" s="471"/>
      <c r="H2612" s="250"/>
      <c r="I2612" s="471"/>
    </row>
    <row r="2613" spans="1:9" ht="12.75">
      <c r="A2613" s="717"/>
      <c r="B2613" s="718"/>
      <c r="C2613" s="250"/>
      <c r="D2613" s="250"/>
      <c r="E2613" s="250"/>
      <c r="F2613" s="250"/>
      <c r="G2613" s="471"/>
      <c r="H2613" s="250"/>
      <c r="I2613" s="471"/>
    </row>
    <row r="2614" spans="1:9" ht="12.75">
      <c r="A2614" s="717"/>
      <c r="B2614" s="718"/>
      <c r="C2614" s="250"/>
      <c r="D2614" s="250"/>
      <c r="E2614" s="250"/>
      <c r="F2614" s="250"/>
      <c r="G2614" s="471"/>
      <c r="H2614" s="250"/>
      <c r="I2614" s="471"/>
    </row>
    <row r="2615" spans="1:9" ht="12.75">
      <c r="A2615" s="717"/>
      <c r="B2615" s="718"/>
      <c r="C2615" s="250"/>
      <c r="D2615" s="250"/>
      <c r="E2615" s="250"/>
      <c r="F2615" s="250"/>
      <c r="G2615" s="471"/>
      <c r="H2615" s="250"/>
      <c r="I2615" s="471"/>
    </row>
    <row r="2616" spans="1:9" ht="12.75">
      <c r="A2616" s="717"/>
      <c r="B2616" s="718"/>
      <c r="C2616" s="250"/>
      <c r="D2616" s="250"/>
      <c r="E2616" s="250"/>
      <c r="F2616" s="250"/>
      <c r="G2616" s="471"/>
      <c r="H2616" s="250"/>
      <c r="I2616" s="471"/>
    </row>
    <row r="2617" spans="1:9" ht="12.75">
      <c r="A2617" s="717"/>
      <c r="B2617" s="718"/>
      <c r="C2617" s="250"/>
      <c r="D2617" s="250"/>
      <c r="E2617" s="250"/>
      <c r="F2617" s="250"/>
      <c r="G2617" s="471"/>
      <c r="H2617" s="250"/>
      <c r="I2617" s="471"/>
    </row>
    <row r="2618" spans="1:9" ht="12.75">
      <c r="A2618" s="717"/>
      <c r="B2618" s="718"/>
      <c r="C2618" s="250"/>
      <c r="D2618" s="250"/>
      <c r="E2618" s="250"/>
      <c r="F2618" s="250"/>
      <c r="G2618" s="471"/>
      <c r="H2618" s="250"/>
      <c r="I2618" s="471"/>
    </row>
    <row r="2619" spans="1:9" ht="12.75">
      <c r="A2619" s="717"/>
      <c r="B2619" s="718"/>
      <c r="C2619" s="250"/>
      <c r="D2619" s="250"/>
      <c r="E2619" s="250"/>
      <c r="F2619" s="250"/>
      <c r="G2619" s="471"/>
      <c r="H2619" s="250"/>
      <c r="I2619" s="471"/>
    </row>
    <row r="2620" spans="1:9" ht="12.75">
      <c r="A2620" s="717"/>
      <c r="B2620" s="718"/>
      <c r="C2620" s="250"/>
      <c r="D2620" s="250"/>
      <c r="E2620" s="250"/>
      <c r="F2620" s="250"/>
      <c r="G2620" s="471"/>
      <c r="H2620" s="250"/>
      <c r="I2620" s="471"/>
    </row>
    <row r="2621" spans="1:9" ht="12.75">
      <c r="A2621" s="717"/>
      <c r="B2621" s="718"/>
      <c r="C2621" s="250"/>
      <c r="D2621" s="250"/>
      <c r="E2621" s="250"/>
      <c r="F2621" s="250"/>
      <c r="G2621" s="471"/>
      <c r="H2621" s="250"/>
      <c r="I2621" s="471"/>
    </row>
    <row r="2622" spans="1:9" ht="12.75">
      <c r="A2622" s="717"/>
      <c r="B2622" s="718"/>
      <c r="C2622" s="250"/>
      <c r="D2622" s="250"/>
      <c r="E2622" s="250"/>
      <c r="F2622" s="250"/>
      <c r="G2622" s="471"/>
      <c r="H2622" s="250"/>
      <c r="I2622" s="471"/>
    </row>
    <row r="2623" spans="1:9" ht="12.75">
      <c r="A2623" s="717"/>
      <c r="B2623" s="718"/>
      <c r="C2623" s="250"/>
      <c r="D2623" s="250"/>
      <c r="E2623" s="250"/>
      <c r="F2623" s="250"/>
      <c r="G2623" s="471"/>
      <c r="H2623" s="250"/>
      <c r="I2623" s="471"/>
    </row>
    <row r="2624" spans="1:9" ht="12.75">
      <c r="A2624" s="717"/>
      <c r="B2624" s="718"/>
      <c r="C2624" s="250"/>
      <c r="D2624" s="250"/>
      <c r="E2624" s="250"/>
      <c r="F2624" s="250"/>
      <c r="G2624" s="471"/>
      <c r="H2624" s="250"/>
      <c r="I2624" s="471"/>
    </row>
    <row r="2625" spans="1:9" ht="12.75">
      <c r="A2625" s="717"/>
      <c r="B2625" s="718"/>
      <c r="C2625" s="250"/>
      <c r="D2625" s="250"/>
      <c r="E2625" s="250"/>
      <c r="F2625" s="250"/>
      <c r="G2625" s="471"/>
      <c r="H2625" s="250"/>
      <c r="I2625" s="471"/>
    </row>
    <row r="2626" spans="1:9" ht="12.75">
      <c r="A2626" s="717"/>
      <c r="B2626" s="718"/>
      <c r="C2626" s="250"/>
      <c r="D2626" s="250"/>
      <c r="E2626" s="250"/>
      <c r="F2626" s="250"/>
      <c r="G2626" s="471"/>
      <c r="H2626" s="250"/>
      <c r="I2626" s="471"/>
    </row>
    <row r="2627" spans="1:9" ht="12.75">
      <c r="A2627" s="717"/>
      <c r="B2627" s="718"/>
      <c r="C2627" s="250"/>
      <c r="D2627" s="250"/>
      <c r="E2627" s="250"/>
      <c r="F2627" s="250"/>
      <c r="G2627" s="471"/>
      <c r="H2627" s="250"/>
      <c r="I2627" s="471"/>
    </row>
    <row r="2628" spans="1:9" ht="12.75">
      <c r="A2628" s="717"/>
      <c r="B2628" s="718"/>
      <c r="C2628" s="250"/>
      <c r="D2628" s="250"/>
      <c r="E2628" s="250"/>
      <c r="F2628" s="250"/>
      <c r="G2628" s="471"/>
      <c r="H2628" s="250"/>
      <c r="I2628" s="471"/>
    </row>
    <row r="2629" spans="1:9" ht="12.75">
      <c r="A2629" s="717"/>
      <c r="B2629" s="718"/>
      <c r="C2629" s="250"/>
      <c r="D2629" s="250"/>
      <c r="E2629" s="250"/>
      <c r="F2629" s="250"/>
      <c r="G2629" s="471"/>
      <c r="H2629" s="250"/>
      <c r="I2629" s="471"/>
    </row>
    <row r="2630" spans="1:9" ht="12.75">
      <c r="A2630" s="717"/>
      <c r="B2630" s="718"/>
      <c r="C2630" s="250"/>
      <c r="D2630" s="250"/>
      <c r="E2630" s="250"/>
      <c r="F2630" s="250"/>
      <c r="G2630" s="471"/>
      <c r="H2630" s="250"/>
      <c r="I2630" s="471"/>
    </row>
    <row r="2631" spans="1:9" ht="12.75">
      <c r="A2631" s="717"/>
      <c r="B2631" s="718"/>
      <c r="C2631" s="250"/>
      <c r="D2631" s="250"/>
      <c r="E2631" s="250"/>
      <c r="F2631" s="250"/>
      <c r="G2631" s="471"/>
      <c r="H2631" s="250"/>
      <c r="I2631" s="471"/>
    </row>
    <row r="2632" spans="1:9" ht="12.75">
      <c r="A2632" s="717"/>
      <c r="B2632" s="718"/>
      <c r="C2632" s="250"/>
      <c r="D2632" s="250"/>
      <c r="E2632" s="250"/>
      <c r="F2632" s="250"/>
      <c r="G2632" s="471"/>
      <c r="H2632" s="250"/>
      <c r="I2632" s="471"/>
    </row>
    <row r="2633" spans="1:9" ht="12.75">
      <c r="A2633" s="717"/>
      <c r="B2633" s="718"/>
      <c r="C2633" s="250"/>
      <c r="D2633" s="250"/>
      <c r="E2633" s="250"/>
      <c r="F2633" s="250"/>
      <c r="G2633" s="471"/>
      <c r="H2633" s="250"/>
      <c r="I2633" s="471"/>
    </row>
    <row r="2634" spans="1:9" ht="12.75">
      <c r="A2634" s="717"/>
      <c r="B2634" s="718"/>
      <c r="C2634" s="250"/>
      <c r="D2634" s="250"/>
      <c r="E2634" s="250"/>
      <c r="F2634" s="250"/>
      <c r="G2634" s="471"/>
      <c r="H2634" s="250"/>
      <c r="I2634" s="471"/>
    </row>
    <row r="2635" spans="1:9" ht="12.75">
      <c r="A2635" s="717"/>
      <c r="B2635" s="718"/>
      <c r="C2635" s="250"/>
      <c r="D2635" s="250"/>
      <c r="E2635" s="250"/>
      <c r="F2635" s="250"/>
      <c r="G2635" s="471"/>
      <c r="H2635" s="250"/>
      <c r="I2635" s="471"/>
    </row>
    <row r="2636" spans="1:9" ht="12.75">
      <c r="A2636" s="717"/>
      <c r="B2636" s="718"/>
      <c r="C2636" s="250"/>
      <c r="D2636" s="250"/>
      <c r="E2636" s="250"/>
      <c r="F2636" s="250"/>
      <c r="G2636" s="471"/>
      <c r="H2636" s="250"/>
      <c r="I2636" s="471"/>
    </row>
    <row r="2637" spans="1:9" ht="12.75">
      <c r="A2637" s="717"/>
      <c r="B2637" s="718"/>
      <c r="C2637" s="250"/>
      <c r="D2637" s="250"/>
      <c r="E2637" s="250"/>
      <c r="F2637" s="250"/>
      <c r="G2637" s="471"/>
      <c r="H2637" s="250"/>
      <c r="I2637" s="471"/>
    </row>
    <row r="2638" spans="1:9" ht="12.75">
      <c r="A2638" s="717"/>
      <c r="B2638" s="718"/>
      <c r="C2638" s="250"/>
      <c r="D2638" s="250"/>
      <c r="E2638" s="250"/>
      <c r="F2638" s="250"/>
      <c r="G2638" s="471"/>
      <c r="H2638" s="250"/>
      <c r="I2638" s="471"/>
    </row>
    <row r="2639" spans="1:9" ht="12.75">
      <c r="A2639" s="717"/>
      <c r="B2639" s="718"/>
      <c r="C2639" s="250"/>
      <c r="D2639" s="250"/>
      <c r="E2639" s="250"/>
      <c r="F2639" s="250"/>
      <c r="G2639" s="471"/>
      <c r="H2639" s="250"/>
      <c r="I2639" s="471"/>
    </row>
    <row r="2640" spans="1:9" ht="12.75">
      <c r="A2640" s="717"/>
      <c r="B2640" s="718"/>
      <c r="C2640" s="250"/>
      <c r="D2640" s="250"/>
      <c r="E2640" s="250"/>
      <c r="F2640" s="250"/>
      <c r="G2640" s="471"/>
      <c r="H2640" s="250"/>
      <c r="I2640" s="471"/>
    </row>
    <row r="2641" spans="1:9" ht="12.75">
      <c r="A2641" s="717"/>
      <c r="B2641" s="718"/>
      <c r="C2641" s="250"/>
      <c r="D2641" s="250"/>
      <c r="E2641" s="250"/>
      <c r="F2641" s="250"/>
      <c r="G2641" s="471"/>
      <c r="H2641" s="250"/>
      <c r="I2641" s="471"/>
    </row>
    <row r="2642" spans="1:9" ht="12.75">
      <c r="A2642" s="717"/>
      <c r="B2642" s="718"/>
      <c r="C2642" s="250"/>
      <c r="D2642" s="250"/>
      <c r="E2642" s="250"/>
      <c r="F2642" s="250"/>
      <c r="G2642" s="471"/>
      <c r="H2642" s="250"/>
      <c r="I2642" s="471"/>
    </row>
    <row r="2643" spans="1:9" ht="12.75">
      <c r="A2643" s="717"/>
      <c r="B2643" s="718"/>
      <c r="C2643" s="250"/>
      <c r="D2643" s="250"/>
      <c r="E2643" s="250"/>
      <c r="F2643" s="250"/>
      <c r="G2643" s="471"/>
      <c r="H2643" s="250"/>
      <c r="I2643" s="471"/>
    </row>
    <row r="2644" spans="1:9" ht="12.75">
      <c r="A2644" s="717"/>
      <c r="B2644" s="718"/>
      <c r="C2644" s="250"/>
      <c r="D2644" s="250"/>
      <c r="E2644" s="250"/>
      <c r="F2644" s="250"/>
      <c r="G2644" s="471"/>
      <c r="H2644" s="250"/>
      <c r="I2644" s="471"/>
    </row>
    <row r="2645" spans="1:9" ht="12.75">
      <c r="A2645" s="717"/>
      <c r="B2645" s="718"/>
      <c r="C2645" s="250"/>
      <c r="D2645" s="250"/>
      <c r="E2645" s="250"/>
      <c r="F2645" s="250"/>
      <c r="G2645" s="471"/>
      <c r="H2645" s="250"/>
      <c r="I2645" s="471"/>
    </row>
    <row r="2646" spans="1:9" ht="12.75">
      <c r="A2646" s="717"/>
      <c r="B2646" s="718"/>
      <c r="C2646" s="250"/>
      <c r="D2646" s="250"/>
      <c r="E2646" s="250"/>
      <c r="F2646" s="250"/>
      <c r="G2646" s="471"/>
      <c r="H2646" s="250"/>
      <c r="I2646" s="471"/>
    </row>
    <row r="2647" spans="1:9" ht="12.75">
      <c r="A2647" s="717"/>
      <c r="B2647" s="718"/>
      <c r="C2647" s="250"/>
      <c r="D2647" s="250"/>
      <c r="E2647" s="250"/>
      <c r="F2647" s="250"/>
      <c r="G2647" s="471"/>
      <c r="H2647" s="250"/>
      <c r="I2647" s="471"/>
    </row>
    <row r="2648" spans="1:9" ht="12.75">
      <c r="A2648" s="717"/>
      <c r="B2648" s="718"/>
      <c r="C2648" s="250"/>
      <c r="D2648" s="250"/>
      <c r="E2648" s="250"/>
      <c r="F2648" s="250"/>
      <c r="G2648" s="471"/>
      <c r="H2648" s="250"/>
      <c r="I2648" s="471"/>
    </row>
    <row r="2649" spans="1:9" ht="12.75">
      <c r="A2649" s="717"/>
      <c r="B2649" s="718"/>
      <c r="C2649" s="250"/>
      <c r="D2649" s="250"/>
      <c r="E2649" s="250"/>
      <c r="F2649" s="250"/>
      <c r="G2649" s="471"/>
      <c r="H2649" s="250"/>
      <c r="I2649" s="471"/>
    </row>
    <row r="2650" spans="1:9" ht="12.75">
      <c r="A2650" s="717"/>
      <c r="B2650" s="718"/>
      <c r="C2650" s="250"/>
      <c r="D2650" s="250"/>
      <c r="E2650" s="250"/>
      <c r="F2650" s="250"/>
      <c r="G2650" s="471"/>
      <c r="H2650" s="250"/>
      <c r="I2650" s="471"/>
    </row>
    <row r="2651" spans="1:9" ht="12.75">
      <c r="A2651" s="717"/>
      <c r="B2651" s="718"/>
      <c r="C2651" s="250"/>
      <c r="D2651" s="250"/>
      <c r="E2651" s="250"/>
      <c r="F2651" s="250"/>
      <c r="G2651" s="471"/>
      <c r="H2651" s="250"/>
      <c r="I2651" s="471"/>
    </row>
    <row r="2652" spans="1:9" ht="12.75">
      <c r="A2652" s="717"/>
      <c r="B2652" s="718"/>
      <c r="C2652" s="250"/>
      <c r="D2652" s="250"/>
      <c r="E2652" s="250"/>
      <c r="F2652" s="250"/>
      <c r="G2652" s="471"/>
      <c r="H2652" s="250"/>
      <c r="I2652" s="471"/>
    </row>
    <row r="2653" spans="1:9" ht="12.75">
      <c r="A2653" s="717"/>
      <c r="B2653" s="718"/>
      <c r="C2653" s="250"/>
      <c r="D2653" s="250"/>
      <c r="E2653" s="250"/>
      <c r="F2653" s="250"/>
      <c r="G2653" s="471"/>
      <c r="H2653" s="250"/>
      <c r="I2653" s="471"/>
    </row>
    <row r="2654" spans="1:9" ht="12.75">
      <c r="A2654" s="717"/>
      <c r="B2654" s="718"/>
      <c r="C2654" s="250"/>
      <c r="D2654" s="250"/>
      <c r="E2654" s="250"/>
      <c r="F2654" s="250"/>
      <c r="G2654" s="471"/>
      <c r="H2654" s="250"/>
      <c r="I2654" s="471"/>
    </row>
    <row r="2655" spans="1:9" ht="12.75">
      <c r="A2655" s="717"/>
      <c r="B2655" s="718"/>
      <c r="C2655" s="250"/>
      <c r="D2655" s="250"/>
      <c r="E2655" s="250"/>
      <c r="F2655" s="250"/>
      <c r="G2655" s="471"/>
      <c r="H2655" s="250"/>
      <c r="I2655" s="471"/>
    </row>
    <row r="2656" spans="1:9" ht="12.75">
      <c r="A2656" s="717"/>
      <c r="B2656" s="718"/>
      <c r="C2656" s="250"/>
      <c r="D2656" s="250"/>
      <c r="E2656" s="250"/>
      <c r="F2656" s="250"/>
      <c r="G2656" s="471"/>
      <c r="H2656" s="250"/>
      <c r="I2656" s="471"/>
    </row>
    <row r="2657" spans="1:9" ht="12.75">
      <c r="A2657" s="717"/>
      <c r="B2657" s="718"/>
      <c r="C2657" s="250"/>
      <c r="D2657" s="250"/>
      <c r="E2657" s="250"/>
      <c r="F2657" s="250"/>
      <c r="G2657" s="471"/>
      <c r="H2657" s="250"/>
      <c r="I2657" s="471"/>
    </row>
    <row r="2658" spans="1:9" ht="12.75">
      <c r="A2658" s="717"/>
      <c r="B2658" s="718"/>
      <c r="C2658" s="250"/>
      <c r="D2658" s="250"/>
      <c r="E2658" s="250"/>
      <c r="F2658" s="250"/>
      <c r="G2658" s="471"/>
      <c r="H2658" s="250"/>
      <c r="I2658" s="471"/>
    </row>
    <row r="2659" spans="1:9" ht="12.75">
      <c r="A2659" s="717"/>
      <c r="B2659" s="718"/>
      <c r="C2659" s="250"/>
      <c r="D2659" s="250"/>
      <c r="E2659" s="250"/>
      <c r="F2659" s="250"/>
      <c r="G2659" s="471"/>
      <c r="H2659" s="250"/>
      <c r="I2659" s="471"/>
    </row>
    <row r="2660" spans="1:9" ht="12.75">
      <c r="A2660" s="717"/>
      <c r="B2660" s="718"/>
      <c r="C2660" s="250"/>
      <c r="D2660" s="250"/>
      <c r="E2660" s="250"/>
      <c r="F2660" s="250"/>
      <c r="G2660" s="471"/>
      <c r="H2660" s="250"/>
      <c r="I2660" s="471"/>
    </row>
    <row r="2661" spans="1:9" ht="12.75">
      <c r="A2661" s="717"/>
      <c r="B2661" s="718"/>
      <c r="C2661" s="250"/>
      <c r="D2661" s="250"/>
      <c r="E2661" s="250"/>
      <c r="F2661" s="250"/>
      <c r="G2661" s="471"/>
      <c r="H2661" s="250"/>
      <c r="I2661" s="471"/>
    </row>
    <row r="2662" spans="1:9" ht="12.75">
      <c r="A2662" s="717"/>
      <c r="B2662" s="718"/>
      <c r="C2662" s="250"/>
      <c r="D2662" s="250"/>
      <c r="E2662" s="250"/>
      <c r="F2662" s="250"/>
      <c r="G2662" s="471"/>
      <c r="H2662" s="250"/>
      <c r="I2662" s="471"/>
    </row>
    <row r="2663" spans="1:9" ht="12.75">
      <c r="A2663" s="717"/>
      <c r="B2663" s="718"/>
      <c r="C2663" s="250"/>
      <c r="D2663" s="250"/>
      <c r="E2663" s="250"/>
      <c r="F2663" s="250"/>
      <c r="G2663" s="471"/>
      <c r="H2663" s="250"/>
      <c r="I2663" s="471"/>
    </row>
    <row r="2664" spans="1:9" ht="12.75">
      <c r="A2664" s="717"/>
      <c r="B2664" s="718"/>
      <c r="C2664" s="250"/>
      <c r="D2664" s="250"/>
      <c r="E2664" s="250"/>
      <c r="F2664" s="250"/>
      <c r="G2664" s="471"/>
      <c r="H2664" s="250"/>
      <c r="I2664" s="471"/>
    </row>
    <row r="2665" spans="1:9" ht="12.75">
      <c r="A2665" s="717"/>
      <c r="B2665" s="718"/>
      <c r="C2665" s="250"/>
      <c r="D2665" s="250"/>
      <c r="E2665" s="250"/>
      <c r="F2665" s="250"/>
      <c r="G2665" s="471"/>
      <c r="H2665" s="250"/>
      <c r="I2665" s="471"/>
    </row>
    <row r="2666" spans="1:9" ht="12.75">
      <c r="A2666" s="717"/>
      <c r="B2666" s="718"/>
      <c r="C2666" s="250"/>
      <c r="D2666" s="250"/>
      <c r="E2666" s="250"/>
      <c r="F2666" s="250"/>
      <c r="G2666" s="471"/>
      <c r="H2666" s="250"/>
      <c r="I2666" s="471"/>
    </row>
    <row r="2667" spans="1:9" ht="12.75">
      <c r="A2667" s="717"/>
      <c r="B2667" s="718"/>
      <c r="C2667" s="250"/>
      <c r="D2667" s="250"/>
      <c r="E2667" s="250"/>
      <c r="F2667" s="250"/>
      <c r="G2667" s="471"/>
      <c r="H2667" s="250"/>
      <c r="I2667" s="471"/>
    </row>
    <row r="2668" spans="1:9" ht="12.75">
      <c r="A2668" s="717"/>
      <c r="B2668" s="718"/>
      <c r="C2668" s="250"/>
      <c r="D2668" s="250"/>
      <c r="E2668" s="250"/>
      <c r="F2668" s="250"/>
      <c r="G2668" s="471"/>
      <c r="H2668" s="250"/>
      <c r="I2668" s="471"/>
    </row>
    <row r="2669" spans="1:9" ht="12.75">
      <c r="A2669" s="717"/>
      <c r="B2669" s="718"/>
      <c r="C2669" s="250"/>
      <c r="D2669" s="250"/>
      <c r="E2669" s="250"/>
      <c r="F2669" s="250"/>
      <c r="G2669" s="471"/>
      <c r="H2669" s="250"/>
      <c r="I2669" s="471"/>
    </row>
    <row r="2670" spans="1:9" ht="12.75">
      <c r="A2670" s="717"/>
      <c r="B2670" s="718"/>
      <c r="C2670" s="250"/>
      <c r="D2670" s="250"/>
      <c r="E2670" s="250"/>
      <c r="F2670" s="250"/>
      <c r="G2670" s="471"/>
      <c r="H2670" s="250"/>
      <c r="I2670" s="471"/>
    </row>
    <row r="2671" spans="1:9" ht="12.75">
      <c r="A2671" s="717"/>
      <c r="B2671" s="718"/>
      <c r="C2671" s="250"/>
      <c r="D2671" s="250"/>
      <c r="E2671" s="250"/>
      <c r="F2671" s="250"/>
      <c r="G2671" s="471"/>
      <c r="H2671" s="250"/>
      <c r="I2671" s="471"/>
    </row>
    <row r="2672" spans="1:9" ht="12.75">
      <c r="A2672" s="717"/>
      <c r="B2672" s="718"/>
      <c r="C2672" s="250"/>
      <c r="D2672" s="250"/>
      <c r="E2672" s="250"/>
      <c r="F2672" s="250"/>
      <c r="G2672" s="471"/>
      <c r="H2672" s="250"/>
      <c r="I2672" s="471"/>
    </row>
    <row r="2673" spans="1:9" ht="12.75">
      <c r="A2673" s="717"/>
      <c r="B2673" s="718"/>
      <c r="C2673" s="250"/>
      <c r="D2673" s="250"/>
      <c r="E2673" s="250"/>
      <c r="F2673" s="250"/>
      <c r="G2673" s="471"/>
      <c r="H2673" s="250"/>
      <c r="I2673" s="471"/>
    </row>
    <row r="2674" spans="1:9" ht="12.75">
      <c r="A2674" s="717"/>
      <c r="B2674" s="718"/>
      <c r="C2674" s="250"/>
      <c r="D2674" s="250"/>
      <c r="E2674" s="250"/>
      <c r="F2674" s="250"/>
      <c r="G2674" s="471"/>
      <c r="H2674" s="250"/>
      <c r="I2674" s="471"/>
    </row>
    <row r="2675" spans="1:9" ht="12.75">
      <c r="A2675" s="717"/>
      <c r="B2675" s="718"/>
      <c r="C2675" s="250"/>
      <c r="D2675" s="250"/>
      <c r="E2675" s="250"/>
      <c r="F2675" s="250"/>
      <c r="G2675" s="471"/>
      <c r="H2675" s="250"/>
      <c r="I2675" s="471"/>
    </row>
    <row r="2676" spans="1:9" ht="12.75">
      <c r="A2676" s="717"/>
      <c r="B2676" s="718"/>
      <c r="C2676" s="250"/>
      <c r="D2676" s="250"/>
      <c r="E2676" s="250"/>
      <c r="F2676" s="250"/>
      <c r="G2676" s="471"/>
      <c r="H2676" s="250"/>
      <c r="I2676" s="471"/>
    </row>
    <row r="2677" spans="1:9" ht="12.75">
      <c r="A2677" s="717"/>
      <c r="B2677" s="718"/>
      <c r="C2677" s="250"/>
      <c r="D2677" s="250"/>
      <c r="E2677" s="250"/>
      <c r="F2677" s="250"/>
      <c r="G2677" s="471"/>
      <c r="H2677" s="250"/>
      <c r="I2677" s="471"/>
    </row>
    <row r="2678" spans="1:9" ht="12.75">
      <c r="A2678" s="717"/>
      <c r="B2678" s="718"/>
      <c r="C2678" s="250"/>
      <c r="D2678" s="250"/>
      <c r="E2678" s="250"/>
      <c r="F2678" s="250"/>
      <c r="G2678" s="471"/>
      <c r="H2678" s="250"/>
      <c r="I2678" s="471"/>
    </row>
    <row r="2679" spans="1:9" ht="12.75">
      <c r="A2679" s="717"/>
      <c r="B2679" s="718"/>
      <c r="C2679" s="250"/>
      <c r="D2679" s="250"/>
      <c r="E2679" s="250"/>
      <c r="F2679" s="250"/>
      <c r="G2679" s="471"/>
      <c r="H2679" s="250"/>
      <c r="I2679" s="471"/>
    </row>
    <row r="2680" spans="1:9" ht="12.75">
      <c r="A2680" s="717"/>
      <c r="B2680" s="718"/>
      <c r="C2680" s="250"/>
      <c r="D2680" s="250"/>
      <c r="E2680" s="250"/>
      <c r="F2680" s="250"/>
      <c r="G2680" s="471"/>
      <c r="H2680" s="250"/>
      <c r="I2680" s="471"/>
    </row>
    <row r="2681" spans="1:9" ht="12.75">
      <c r="A2681" s="717"/>
      <c r="B2681" s="718"/>
      <c r="C2681" s="250"/>
      <c r="D2681" s="250"/>
      <c r="E2681" s="250"/>
      <c r="F2681" s="250"/>
      <c r="G2681" s="471"/>
      <c r="H2681" s="250"/>
      <c r="I2681" s="471"/>
    </row>
    <row r="2682" spans="1:9" ht="12.75">
      <c r="A2682" s="717"/>
      <c r="B2682" s="718"/>
      <c r="C2682" s="250"/>
      <c r="D2682" s="250"/>
      <c r="E2682" s="250"/>
      <c r="F2682" s="250"/>
      <c r="G2682" s="471"/>
      <c r="H2682" s="250"/>
      <c r="I2682" s="471"/>
    </row>
    <row r="2683" spans="1:9" ht="12.75">
      <c r="A2683" s="717"/>
      <c r="B2683" s="718"/>
      <c r="C2683" s="250"/>
      <c r="D2683" s="250"/>
      <c r="E2683" s="250"/>
      <c r="F2683" s="250"/>
      <c r="G2683" s="471"/>
      <c r="H2683" s="250"/>
      <c r="I2683" s="471"/>
    </row>
    <row r="2684" spans="1:9" ht="12.75">
      <c r="A2684" s="717"/>
      <c r="B2684" s="718"/>
      <c r="C2684" s="250"/>
      <c r="D2684" s="250"/>
      <c r="E2684" s="250"/>
      <c r="F2684" s="250"/>
      <c r="G2684" s="471"/>
      <c r="H2684" s="250"/>
      <c r="I2684" s="471"/>
    </row>
    <row r="2685" spans="1:9" ht="12.75">
      <c r="A2685" s="717"/>
      <c r="B2685" s="718"/>
      <c r="C2685" s="250"/>
      <c r="D2685" s="250"/>
      <c r="E2685" s="250"/>
      <c r="F2685" s="250"/>
      <c r="G2685" s="471"/>
      <c r="H2685" s="250"/>
      <c r="I2685" s="471"/>
    </row>
    <row r="2686" spans="1:9" ht="12.75">
      <c r="A2686" s="717"/>
      <c r="B2686" s="718"/>
      <c r="C2686" s="250"/>
      <c r="D2686" s="250"/>
      <c r="E2686" s="250"/>
      <c r="F2686" s="250"/>
      <c r="G2686" s="471"/>
      <c r="H2686" s="250"/>
      <c r="I2686" s="471"/>
    </row>
    <row r="2687" spans="1:9" ht="12.75">
      <c r="A2687" s="717"/>
      <c r="B2687" s="718"/>
      <c r="C2687" s="250"/>
      <c r="D2687" s="250"/>
      <c r="E2687" s="250"/>
      <c r="F2687" s="250"/>
      <c r="G2687" s="471"/>
      <c r="H2687" s="250"/>
      <c r="I2687" s="471"/>
    </row>
    <row r="2688" spans="1:9" ht="12.75">
      <c r="A2688" s="717"/>
      <c r="B2688" s="718"/>
      <c r="C2688" s="250"/>
      <c r="D2688" s="250"/>
      <c r="E2688" s="250"/>
      <c r="F2688" s="250"/>
      <c r="G2688" s="471"/>
      <c r="H2688" s="250"/>
      <c r="I2688" s="471"/>
    </row>
    <row r="2689" spans="1:9" ht="12.75">
      <c r="A2689" s="717"/>
      <c r="B2689" s="718"/>
      <c r="C2689" s="250"/>
      <c r="D2689" s="250"/>
      <c r="E2689" s="250"/>
      <c r="F2689" s="250"/>
      <c r="G2689" s="471"/>
      <c r="H2689" s="250"/>
      <c r="I2689" s="471"/>
    </row>
    <row r="2690" spans="1:9" ht="12.75">
      <c r="A2690" s="717"/>
      <c r="B2690" s="718"/>
      <c r="C2690" s="250"/>
      <c r="D2690" s="250"/>
      <c r="E2690" s="250"/>
      <c r="F2690" s="250"/>
      <c r="G2690" s="471"/>
      <c r="H2690" s="250"/>
      <c r="I2690" s="471"/>
    </row>
    <row r="2691" spans="1:9" ht="12.75">
      <c r="A2691" s="717"/>
      <c r="B2691" s="718"/>
      <c r="C2691" s="250"/>
      <c r="D2691" s="250"/>
      <c r="E2691" s="250"/>
      <c r="F2691" s="250"/>
      <c r="G2691" s="471"/>
      <c r="H2691" s="250"/>
      <c r="I2691" s="471"/>
    </row>
    <row r="2692" spans="1:9" ht="12.75">
      <c r="A2692" s="717"/>
      <c r="B2692" s="718"/>
      <c r="C2692" s="250"/>
      <c r="D2692" s="250"/>
      <c r="E2692" s="250"/>
      <c r="F2692" s="250"/>
      <c r="G2692" s="471"/>
      <c r="H2692" s="250"/>
      <c r="I2692" s="471"/>
    </row>
    <row r="2693" spans="1:9" ht="12.75">
      <c r="A2693" s="717"/>
      <c r="B2693" s="718"/>
      <c r="C2693" s="250"/>
      <c r="D2693" s="250"/>
      <c r="E2693" s="250"/>
      <c r="F2693" s="250"/>
      <c r="G2693" s="471"/>
      <c r="H2693" s="250"/>
      <c r="I2693" s="471"/>
    </row>
    <row r="2694" spans="1:9" ht="12.75">
      <c r="A2694" s="717"/>
      <c r="B2694" s="718"/>
      <c r="C2694" s="250"/>
      <c r="D2694" s="250"/>
      <c r="E2694" s="250"/>
      <c r="F2694" s="250"/>
      <c r="G2694" s="471"/>
      <c r="H2694" s="250"/>
      <c r="I2694" s="471"/>
    </row>
    <row r="2695" spans="1:9" ht="12.75">
      <c r="A2695" s="717"/>
      <c r="B2695" s="718"/>
      <c r="C2695" s="250"/>
      <c r="D2695" s="250"/>
      <c r="E2695" s="250"/>
      <c r="F2695" s="250"/>
      <c r="G2695" s="471"/>
      <c r="H2695" s="250"/>
      <c r="I2695" s="471"/>
    </row>
    <row r="2696" spans="1:9" ht="12.75">
      <c r="A2696" s="717"/>
      <c r="B2696" s="718"/>
      <c r="C2696" s="250"/>
      <c r="D2696" s="250"/>
      <c r="E2696" s="250"/>
      <c r="F2696" s="250"/>
      <c r="G2696" s="471"/>
      <c r="H2696" s="250"/>
      <c r="I2696" s="471"/>
    </row>
    <row r="2697" spans="1:9" ht="12.75">
      <c r="A2697" s="717"/>
      <c r="B2697" s="718"/>
      <c r="C2697" s="250"/>
      <c r="D2697" s="250"/>
      <c r="E2697" s="250"/>
      <c r="F2697" s="250"/>
      <c r="G2697" s="471"/>
      <c r="H2697" s="250"/>
      <c r="I2697" s="471"/>
    </row>
    <row r="2698" spans="1:9" ht="12.75">
      <c r="A2698" s="717"/>
      <c r="B2698" s="718"/>
      <c r="C2698" s="250"/>
      <c r="D2698" s="250"/>
      <c r="E2698" s="250"/>
      <c r="F2698" s="250"/>
      <c r="G2698" s="471"/>
      <c r="H2698" s="250"/>
      <c r="I2698" s="471"/>
    </row>
    <row r="2699" spans="1:9" ht="12.75">
      <c r="A2699" s="717"/>
      <c r="B2699" s="718"/>
      <c r="C2699" s="250"/>
      <c r="D2699" s="250"/>
      <c r="E2699" s="250"/>
      <c r="F2699" s="250"/>
      <c r="G2699" s="471"/>
      <c r="H2699" s="250"/>
      <c r="I2699" s="471"/>
    </row>
    <row r="2700" spans="1:9" ht="12.75">
      <c r="A2700" s="717"/>
      <c r="B2700" s="718"/>
      <c r="C2700" s="250"/>
      <c r="D2700" s="250"/>
      <c r="E2700" s="250"/>
      <c r="F2700" s="250"/>
      <c r="G2700" s="471"/>
      <c r="H2700" s="250"/>
      <c r="I2700" s="471"/>
    </row>
    <row r="2701" spans="1:9" ht="12.75">
      <c r="A2701" s="717"/>
      <c r="B2701" s="718"/>
      <c r="C2701" s="250"/>
      <c r="D2701" s="250"/>
      <c r="E2701" s="250"/>
      <c r="F2701" s="250"/>
      <c r="G2701" s="471"/>
      <c r="H2701" s="250"/>
      <c r="I2701" s="471"/>
    </row>
    <row r="2702" spans="1:9" ht="12.75">
      <c r="A2702" s="717"/>
      <c r="B2702" s="718"/>
      <c r="C2702" s="250"/>
      <c r="D2702" s="250"/>
      <c r="E2702" s="250"/>
      <c r="F2702" s="250"/>
      <c r="G2702" s="471"/>
      <c r="H2702" s="250"/>
      <c r="I2702" s="471"/>
    </row>
    <row r="2703" spans="1:9" ht="12.75">
      <c r="A2703" s="717"/>
      <c r="B2703" s="718"/>
      <c r="C2703" s="250"/>
      <c r="D2703" s="250"/>
      <c r="E2703" s="250"/>
      <c r="F2703" s="250"/>
      <c r="G2703" s="471"/>
      <c r="H2703" s="250"/>
      <c r="I2703" s="471"/>
    </row>
    <row r="2704" spans="1:9" ht="12.75">
      <c r="A2704" s="717"/>
      <c r="B2704" s="718"/>
      <c r="C2704" s="250"/>
      <c r="D2704" s="250"/>
      <c r="E2704" s="250"/>
      <c r="F2704" s="250"/>
      <c r="G2704" s="471"/>
      <c r="H2704" s="250"/>
      <c r="I2704" s="471"/>
    </row>
    <row r="2705" spans="1:9" ht="12.75">
      <c r="A2705" s="717"/>
      <c r="B2705" s="718"/>
      <c r="C2705" s="250"/>
      <c r="D2705" s="250"/>
      <c r="E2705" s="250"/>
      <c r="F2705" s="250"/>
      <c r="G2705" s="471"/>
      <c r="H2705" s="250"/>
      <c r="I2705" s="471"/>
    </row>
    <row r="2706" spans="1:9" ht="12.75">
      <c r="A2706" s="717"/>
      <c r="B2706" s="718"/>
      <c r="C2706" s="250"/>
      <c r="D2706" s="250"/>
      <c r="E2706" s="250"/>
      <c r="F2706" s="250"/>
      <c r="G2706" s="471"/>
      <c r="H2706" s="250"/>
      <c r="I2706" s="471"/>
    </row>
    <row r="2707" spans="1:9" ht="12.75">
      <c r="A2707" s="717"/>
      <c r="B2707" s="718"/>
      <c r="C2707" s="250"/>
      <c r="D2707" s="250"/>
      <c r="E2707" s="250"/>
      <c r="F2707" s="250"/>
      <c r="G2707" s="471"/>
      <c r="H2707" s="250"/>
      <c r="I2707" s="471"/>
    </row>
    <row r="2708" spans="1:9" ht="12.75">
      <c r="A2708" s="717"/>
      <c r="B2708" s="718"/>
      <c r="C2708" s="250"/>
      <c r="D2708" s="250"/>
      <c r="E2708" s="250"/>
      <c r="F2708" s="250"/>
      <c r="G2708" s="471"/>
      <c r="H2708" s="250"/>
      <c r="I2708" s="471"/>
    </row>
    <row r="2709" spans="1:9" ht="12.75">
      <c r="A2709" s="717"/>
      <c r="B2709" s="718"/>
      <c r="C2709" s="250"/>
      <c r="D2709" s="250"/>
      <c r="E2709" s="250"/>
      <c r="F2709" s="250"/>
      <c r="G2709" s="471"/>
      <c r="H2709" s="250"/>
      <c r="I2709" s="471"/>
    </row>
    <row r="2710" spans="1:9" ht="12.75">
      <c r="A2710" s="717"/>
      <c r="B2710" s="718"/>
      <c r="C2710" s="250"/>
      <c r="D2710" s="250"/>
      <c r="E2710" s="250"/>
      <c r="F2710" s="250"/>
      <c r="G2710" s="471"/>
      <c r="H2710" s="250"/>
      <c r="I2710" s="471"/>
    </row>
    <row r="2711" spans="1:9" ht="12.75">
      <c r="A2711" s="717"/>
      <c r="B2711" s="718"/>
      <c r="C2711" s="250"/>
      <c r="D2711" s="250"/>
      <c r="E2711" s="250"/>
      <c r="F2711" s="250"/>
      <c r="G2711" s="471"/>
      <c r="H2711" s="250"/>
      <c r="I2711" s="471"/>
    </row>
    <row r="2712" spans="1:9" ht="12.75">
      <c r="A2712" s="717"/>
      <c r="B2712" s="718"/>
      <c r="C2712" s="250"/>
      <c r="D2712" s="250"/>
      <c r="E2712" s="250"/>
      <c r="F2712" s="250"/>
      <c r="G2712" s="471"/>
      <c r="H2712" s="250"/>
      <c r="I2712" s="471"/>
    </row>
    <row r="2713" spans="1:9" ht="12.75">
      <c r="A2713" s="717"/>
      <c r="B2713" s="718"/>
      <c r="C2713" s="250"/>
      <c r="D2713" s="250"/>
      <c r="E2713" s="250"/>
      <c r="F2713" s="250"/>
      <c r="G2713" s="471"/>
      <c r="H2713" s="250"/>
      <c r="I2713" s="471"/>
    </row>
    <row r="2714" spans="1:9" ht="12.75">
      <c r="A2714" s="717"/>
      <c r="B2714" s="718"/>
      <c r="C2714" s="250"/>
      <c r="D2714" s="250"/>
      <c r="E2714" s="250"/>
      <c r="F2714" s="250"/>
      <c r="G2714" s="471"/>
      <c r="H2714" s="250"/>
      <c r="I2714" s="471"/>
    </row>
    <row r="2715" spans="1:9" ht="12.75">
      <c r="A2715" s="717"/>
      <c r="B2715" s="718"/>
      <c r="C2715" s="250"/>
      <c r="D2715" s="250"/>
      <c r="E2715" s="250"/>
      <c r="F2715" s="250"/>
      <c r="G2715" s="471"/>
      <c r="H2715" s="250"/>
      <c r="I2715" s="471"/>
    </row>
    <row r="2716" spans="1:9" ht="12.75">
      <c r="A2716" s="717"/>
      <c r="B2716" s="718"/>
      <c r="C2716" s="250"/>
      <c r="D2716" s="250"/>
      <c r="E2716" s="250"/>
      <c r="F2716" s="250"/>
      <c r="G2716" s="471"/>
      <c r="H2716" s="250"/>
      <c r="I2716" s="471"/>
    </row>
    <row r="2717" spans="1:9" ht="12.75">
      <c r="A2717" s="717"/>
      <c r="B2717" s="718"/>
      <c r="C2717" s="250"/>
      <c r="D2717" s="250"/>
      <c r="E2717" s="250"/>
      <c r="F2717" s="250"/>
      <c r="G2717" s="471"/>
      <c r="H2717" s="250"/>
      <c r="I2717" s="471"/>
    </row>
    <row r="2718" spans="1:9" ht="12.75">
      <c r="A2718" s="717"/>
      <c r="B2718" s="718"/>
      <c r="C2718" s="250"/>
      <c r="D2718" s="250"/>
      <c r="E2718" s="250"/>
      <c r="F2718" s="250"/>
      <c r="G2718" s="471"/>
      <c r="H2718" s="250"/>
      <c r="I2718" s="471"/>
    </row>
    <row r="2719" spans="1:9" ht="12.75">
      <c r="A2719" s="717"/>
      <c r="B2719" s="718"/>
      <c r="C2719" s="250"/>
      <c r="D2719" s="250"/>
      <c r="E2719" s="250"/>
      <c r="F2719" s="250"/>
      <c r="G2719" s="471"/>
      <c r="H2719" s="250"/>
      <c r="I2719" s="471"/>
    </row>
    <row r="2720" spans="1:9" ht="12.75">
      <c r="A2720" s="717"/>
      <c r="B2720" s="718"/>
      <c r="C2720" s="250"/>
      <c r="D2720" s="250"/>
      <c r="E2720" s="250"/>
      <c r="F2720" s="250"/>
      <c r="G2720" s="471"/>
      <c r="H2720" s="250"/>
      <c r="I2720" s="471"/>
    </row>
    <row r="2721" spans="1:9" ht="12.75">
      <c r="A2721" s="717"/>
      <c r="B2721" s="718"/>
      <c r="C2721" s="250"/>
      <c r="D2721" s="250"/>
      <c r="E2721" s="250"/>
      <c r="F2721" s="250"/>
      <c r="G2721" s="471"/>
      <c r="H2721" s="250"/>
      <c r="I2721" s="471"/>
    </row>
    <row r="2722" spans="1:9" ht="12.75">
      <c r="A2722" s="717"/>
      <c r="B2722" s="718"/>
      <c r="C2722" s="250"/>
      <c r="D2722" s="250"/>
      <c r="E2722" s="250"/>
      <c r="F2722" s="250"/>
      <c r="G2722" s="471"/>
      <c r="H2722" s="250"/>
      <c r="I2722" s="471"/>
    </row>
    <row r="2723" spans="1:9" ht="12.75">
      <c r="A2723" s="717"/>
      <c r="B2723" s="718"/>
      <c r="C2723" s="250"/>
      <c r="D2723" s="250"/>
      <c r="E2723" s="250"/>
      <c r="F2723" s="250"/>
      <c r="G2723" s="471"/>
      <c r="H2723" s="250"/>
      <c r="I2723" s="471"/>
    </row>
    <row r="2724" spans="1:9" ht="12.75">
      <c r="A2724" s="717"/>
      <c r="B2724" s="718"/>
      <c r="C2724" s="250"/>
      <c r="D2724" s="250"/>
      <c r="E2724" s="250"/>
      <c r="F2724" s="250"/>
      <c r="G2724" s="471"/>
      <c r="H2724" s="250"/>
      <c r="I2724" s="471"/>
    </row>
    <row r="2725" spans="1:9" ht="12.75">
      <c r="A2725" s="717"/>
      <c r="B2725" s="718"/>
      <c r="C2725" s="250"/>
      <c r="D2725" s="250"/>
      <c r="E2725" s="250"/>
      <c r="F2725" s="250"/>
      <c r="G2725" s="471"/>
      <c r="H2725" s="250"/>
      <c r="I2725" s="471"/>
    </row>
    <row r="2726" spans="1:9" ht="12.75">
      <c r="A2726" s="717"/>
      <c r="B2726" s="718"/>
      <c r="C2726" s="250"/>
      <c r="D2726" s="250"/>
      <c r="E2726" s="250"/>
      <c r="F2726" s="250"/>
      <c r="G2726" s="471"/>
      <c r="H2726" s="250"/>
      <c r="I2726" s="471"/>
    </row>
    <row r="2727" spans="1:9" ht="12.75">
      <c r="A2727" s="717"/>
      <c r="B2727" s="718"/>
      <c r="C2727" s="250"/>
      <c r="D2727" s="250"/>
      <c r="E2727" s="250"/>
      <c r="F2727" s="250"/>
      <c r="G2727" s="471"/>
      <c r="H2727" s="250"/>
      <c r="I2727" s="471"/>
    </row>
    <row r="2728" spans="1:9" ht="12.75">
      <c r="A2728" s="717"/>
      <c r="B2728" s="718"/>
      <c r="C2728" s="250"/>
      <c r="D2728" s="250"/>
      <c r="E2728" s="250"/>
      <c r="F2728" s="250"/>
      <c r="G2728" s="471"/>
      <c r="H2728" s="250"/>
      <c r="I2728" s="471"/>
    </row>
    <row r="2729" spans="1:9" ht="12.75">
      <c r="A2729" s="717"/>
      <c r="B2729" s="718"/>
      <c r="C2729" s="250"/>
      <c r="D2729" s="250"/>
      <c r="E2729" s="250"/>
      <c r="F2729" s="250"/>
      <c r="G2729" s="471"/>
      <c r="H2729" s="250"/>
      <c r="I2729" s="471"/>
    </row>
    <row r="2730" spans="1:9" ht="12.75">
      <c r="A2730" s="717"/>
      <c r="B2730" s="718"/>
      <c r="C2730" s="250"/>
      <c r="D2730" s="250"/>
      <c r="E2730" s="250"/>
      <c r="F2730" s="250"/>
      <c r="G2730" s="471"/>
      <c r="H2730" s="250"/>
      <c r="I2730" s="471"/>
    </row>
    <row r="2731" spans="1:9" ht="12.75">
      <c r="A2731" s="717"/>
      <c r="B2731" s="718"/>
      <c r="C2731" s="250"/>
      <c r="D2731" s="250"/>
      <c r="E2731" s="250"/>
      <c r="F2731" s="250"/>
      <c r="G2731" s="471"/>
      <c r="H2731" s="250"/>
      <c r="I2731" s="471"/>
    </row>
    <row r="2732" spans="1:9" ht="12.75">
      <c r="A2732" s="717"/>
      <c r="B2732" s="718"/>
      <c r="C2732" s="250"/>
      <c r="D2732" s="250"/>
      <c r="E2732" s="250"/>
      <c r="F2732" s="250"/>
      <c r="G2732" s="471"/>
      <c r="H2732" s="250"/>
      <c r="I2732" s="471"/>
    </row>
    <row r="2733" spans="1:9" ht="12.75">
      <c r="A2733" s="717"/>
      <c r="B2733" s="718"/>
      <c r="C2733" s="250"/>
      <c r="D2733" s="250"/>
      <c r="E2733" s="250"/>
      <c r="F2733" s="250"/>
      <c r="G2733" s="471"/>
      <c r="H2733" s="250"/>
      <c r="I2733" s="471"/>
    </row>
    <row r="2734" spans="1:9" ht="12.75">
      <c r="A2734" s="717"/>
      <c r="B2734" s="718"/>
      <c r="C2734" s="250"/>
      <c r="D2734" s="250"/>
      <c r="E2734" s="250"/>
      <c r="F2734" s="250"/>
      <c r="G2734" s="471"/>
      <c r="H2734" s="250"/>
      <c r="I2734" s="471"/>
    </row>
    <row r="2735" spans="1:9" ht="12.75">
      <c r="A2735" s="717"/>
      <c r="B2735" s="718"/>
      <c r="C2735" s="250"/>
      <c r="D2735" s="250"/>
      <c r="E2735" s="250"/>
      <c r="F2735" s="250"/>
      <c r="G2735" s="471"/>
      <c r="H2735" s="250"/>
      <c r="I2735" s="471"/>
    </row>
    <row r="2736" spans="1:9" ht="12.75">
      <c r="A2736" s="717"/>
      <c r="B2736" s="718"/>
      <c r="C2736" s="250"/>
      <c r="D2736" s="250"/>
      <c r="E2736" s="250"/>
      <c r="F2736" s="250"/>
      <c r="G2736" s="471"/>
      <c r="H2736" s="250"/>
      <c r="I2736" s="471"/>
    </row>
    <row r="2737" spans="1:9" ht="12.75">
      <c r="A2737" s="717"/>
      <c r="B2737" s="718"/>
      <c r="C2737" s="250"/>
      <c r="D2737" s="250"/>
      <c r="E2737" s="250"/>
      <c r="F2737" s="250"/>
      <c r="G2737" s="471"/>
      <c r="H2737" s="250"/>
      <c r="I2737" s="471"/>
    </row>
    <row r="2738" spans="1:9" ht="12.75">
      <c r="A2738" s="717"/>
      <c r="B2738" s="718"/>
      <c r="C2738" s="250"/>
      <c r="D2738" s="250"/>
      <c r="E2738" s="250"/>
      <c r="F2738" s="250"/>
      <c r="G2738" s="471"/>
      <c r="H2738" s="250"/>
      <c r="I2738" s="471"/>
    </row>
    <row r="2739" spans="1:9" ht="12.75">
      <c r="A2739" s="717"/>
      <c r="B2739" s="718"/>
      <c r="C2739" s="250"/>
      <c r="D2739" s="250"/>
      <c r="E2739" s="250"/>
      <c r="F2739" s="250"/>
      <c r="G2739" s="471"/>
      <c r="H2739" s="250"/>
      <c r="I2739" s="471"/>
    </row>
    <row r="2740" spans="1:9" ht="12.75">
      <c r="A2740" s="717"/>
      <c r="B2740" s="718"/>
      <c r="C2740" s="250"/>
      <c r="D2740" s="250"/>
      <c r="E2740" s="250"/>
      <c r="F2740" s="250"/>
      <c r="G2740" s="471"/>
      <c r="H2740" s="250"/>
      <c r="I2740" s="471"/>
    </row>
    <row r="2741" spans="1:9" ht="12.75">
      <c r="A2741" s="717"/>
      <c r="B2741" s="718"/>
      <c r="C2741" s="250"/>
      <c r="D2741" s="250"/>
      <c r="E2741" s="250"/>
      <c r="F2741" s="250"/>
      <c r="G2741" s="471"/>
      <c r="H2741" s="250"/>
      <c r="I2741" s="471"/>
    </row>
    <row r="2742" spans="1:9" ht="12.75">
      <c r="A2742" s="717"/>
      <c r="B2742" s="718"/>
      <c r="C2742" s="250"/>
      <c r="D2742" s="250"/>
      <c r="E2742" s="250"/>
      <c r="F2742" s="250"/>
      <c r="G2742" s="471"/>
      <c r="H2742" s="250"/>
      <c r="I2742" s="471"/>
    </row>
    <row r="2743" spans="1:9" ht="12.75">
      <c r="A2743" s="717"/>
      <c r="B2743" s="718"/>
      <c r="C2743" s="250"/>
      <c r="D2743" s="250"/>
      <c r="E2743" s="250"/>
      <c r="F2743" s="250"/>
      <c r="G2743" s="471"/>
      <c r="H2743" s="250"/>
      <c r="I2743" s="471"/>
    </row>
    <row r="2744" spans="1:9" ht="12.75">
      <c r="A2744" s="717"/>
      <c r="B2744" s="718"/>
      <c r="C2744" s="250"/>
      <c r="D2744" s="250"/>
      <c r="E2744" s="250"/>
      <c r="F2744" s="250"/>
      <c r="G2744" s="471"/>
      <c r="H2744" s="250"/>
      <c r="I2744" s="471"/>
    </row>
    <row r="2745" spans="1:9" ht="12.75">
      <c r="A2745" s="717"/>
      <c r="B2745" s="718"/>
      <c r="C2745" s="250"/>
      <c r="D2745" s="250"/>
      <c r="E2745" s="250"/>
      <c r="F2745" s="250"/>
      <c r="G2745" s="471"/>
      <c r="H2745" s="250"/>
      <c r="I2745" s="471"/>
    </row>
    <row r="2746" spans="1:9" ht="12.75">
      <c r="A2746" s="717"/>
      <c r="B2746" s="718"/>
      <c r="C2746" s="250"/>
      <c r="D2746" s="250"/>
      <c r="E2746" s="250"/>
      <c r="F2746" s="250"/>
      <c r="G2746" s="471"/>
      <c r="H2746" s="250"/>
      <c r="I2746" s="471"/>
    </row>
    <row r="2747" spans="1:9" ht="12.75">
      <c r="A2747" s="717"/>
      <c r="B2747" s="718"/>
      <c r="C2747" s="250"/>
      <c r="D2747" s="250"/>
      <c r="E2747" s="250"/>
      <c r="F2747" s="250"/>
      <c r="G2747" s="471"/>
      <c r="H2747" s="250"/>
      <c r="I2747" s="471"/>
    </row>
    <row r="2748" spans="1:9" ht="12.75">
      <c r="A2748" s="717"/>
      <c r="B2748" s="718"/>
      <c r="C2748" s="250"/>
      <c r="D2748" s="250"/>
      <c r="E2748" s="250"/>
      <c r="F2748" s="250"/>
      <c r="G2748" s="471"/>
      <c r="H2748" s="250"/>
      <c r="I2748" s="471"/>
    </row>
    <row r="2749" spans="1:9" ht="12.75">
      <c r="A2749" s="717"/>
      <c r="B2749" s="718"/>
      <c r="C2749" s="250"/>
      <c r="D2749" s="250"/>
      <c r="E2749" s="250"/>
      <c r="F2749" s="250"/>
      <c r="G2749" s="471"/>
      <c r="H2749" s="250"/>
      <c r="I2749" s="471"/>
    </row>
    <row r="2750" spans="1:9" ht="12.75">
      <c r="A2750" s="717"/>
      <c r="B2750" s="718"/>
      <c r="C2750" s="250"/>
      <c r="D2750" s="250"/>
      <c r="E2750" s="250"/>
      <c r="F2750" s="250"/>
      <c r="G2750" s="471"/>
      <c r="H2750" s="250"/>
      <c r="I2750" s="471"/>
    </row>
    <row r="2751" spans="1:9" ht="12.75">
      <c r="A2751" s="717"/>
      <c r="B2751" s="718"/>
      <c r="C2751" s="250"/>
      <c r="D2751" s="250"/>
      <c r="E2751" s="250"/>
      <c r="F2751" s="250"/>
      <c r="G2751" s="471"/>
      <c r="H2751" s="250"/>
      <c r="I2751" s="471"/>
    </row>
    <row r="2752" spans="1:9" ht="12.75">
      <c r="A2752" s="717"/>
      <c r="B2752" s="718"/>
      <c r="C2752" s="250"/>
      <c r="D2752" s="250"/>
      <c r="E2752" s="250"/>
      <c r="F2752" s="250"/>
      <c r="G2752" s="471"/>
      <c r="H2752" s="250"/>
      <c r="I2752" s="471"/>
    </row>
    <row r="2753" spans="1:9" ht="12.75">
      <c r="A2753" s="717"/>
      <c r="B2753" s="718"/>
      <c r="C2753" s="250"/>
      <c r="D2753" s="250"/>
      <c r="E2753" s="250"/>
      <c r="F2753" s="250"/>
      <c r="G2753" s="471"/>
      <c r="H2753" s="250"/>
      <c r="I2753" s="471"/>
    </row>
    <row r="2754" spans="1:9" ht="12.75">
      <c r="A2754" s="717"/>
      <c r="B2754" s="718"/>
      <c r="C2754" s="250"/>
      <c r="D2754" s="250"/>
      <c r="E2754" s="250"/>
      <c r="F2754" s="250"/>
      <c r="G2754" s="471"/>
      <c r="H2754" s="250"/>
      <c r="I2754" s="471"/>
    </row>
    <row r="2755" spans="1:9" ht="12.75">
      <c r="A2755" s="717"/>
      <c r="B2755" s="718"/>
      <c r="C2755" s="250"/>
      <c r="D2755" s="250"/>
      <c r="E2755" s="250"/>
      <c r="F2755" s="250"/>
      <c r="G2755" s="471"/>
      <c r="H2755" s="250"/>
      <c r="I2755" s="471"/>
    </row>
    <row r="2756" spans="1:9" ht="12.75">
      <c r="A2756" s="717"/>
      <c r="B2756" s="718"/>
      <c r="C2756" s="250"/>
      <c r="D2756" s="250"/>
      <c r="E2756" s="250"/>
      <c r="F2756" s="250"/>
      <c r="G2756" s="471"/>
      <c r="H2756" s="250"/>
      <c r="I2756" s="471"/>
    </row>
    <row r="2757" spans="1:9" ht="12.75">
      <c r="A2757" s="717"/>
      <c r="B2757" s="718"/>
      <c r="C2757" s="250"/>
      <c r="D2757" s="250"/>
      <c r="E2757" s="250"/>
      <c r="F2757" s="250"/>
      <c r="G2757" s="471"/>
      <c r="H2757" s="250"/>
      <c r="I2757" s="471"/>
    </row>
    <row r="2758" spans="1:9" ht="12.75">
      <c r="A2758" s="717"/>
      <c r="B2758" s="718"/>
      <c r="C2758" s="250"/>
      <c r="D2758" s="250"/>
      <c r="E2758" s="250"/>
      <c r="F2758" s="250"/>
      <c r="G2758" s="471"/>
      <c r="H2758" s="250"/>
      <c r="I2758" s="471"/>
    </row>
    <row r="2759" spans="1:9" ht="12.75">
      <c r="A2759" s="717"/>
      <c r="B2759" s="718"/>
      <c r="C2759" s="250"/>
      <c r="D2759" s="250"/>
      <c r="E2759" s="250"/>
      <c r="F2759" s="250"/>
      <c r="G2759" s="471"/>
      <c r="H2759" s="250"/>
      <c r="I2759" s="471"/>
    </row>
    <row r="2760" spans="1:9" ht="12.75">
      <c r="A2760" s="717"/>
      <c r="B2760" s="718"/>
      <c r="C2760" s="250"/>
      <c r="D2760" s="250"/>
      <c r="E2760" s="250"/>
      <c r="F2760" s="250"/>
      <c r="G2760" s="471"/>
      <c r="H2760" s="250"/>
      <c r="I2760" s="471"/>
    </row>
    <row r="2761" spans="1:9" ht="12.75">
      <c r="A2761" s="717"/>
      <c r="B2761" s="718"/>
      <c r="C2761" s="250"/>
      <c r="D2761" s="250"/>
      <c r="E2761" s="250"/>
      <c r="F2761" s="250"/>
      <c r="G2761" s="471"/>
      <c r="H2761" s="250"/>
      <c r="I2761" s="471"/>
    </row>
    <row r="2762" spans="1:9" ht="12.75">
      <c r="A2762" s="717"/>
      <c r="B2762" s="718"/>
      <c r="C2762" s="250"/>
      <c r="D2762" s="250"/>
      <c r="E2762" s="250"/>
      <c r="F2762" s="250"/>
      <c r="G2762" s="471"/>
      <c r="H2762" s="250"/>
      <c r="I2762" s="471"/>
    </row>
    <row r="2763" spans="1:9" ht="12.75">
      <c r="A2763" s="717"/>
      <c r="B2763" s="718"/>
      <c r="C2763" s="250"/>
      <c r="D2763" s="250"/>
      <c r="E2763" s="250"/>
      <c r="F2763" s="250"/>
      <c r="G2763" s="471"/>
      <c r="H2763" s="250"/>
      <c r="I2763" s="471"/>
    </row>
    <row r="2764" spans="1:9" ht="12.75">
      <c r="A2764" s="717"/>
      <c r="B2764" s="718"/>
      <c r="C2764" s="250"/>
      <c r="D2764" s="250"/>
      <c r="E2764" s="250"/>
      <c r="F2764" s="250"/>
      <c r="G2764" s="471"/>
      <c r="H2764" s="250"/>
      <c r="I2764" s="471"/>
    </row>
    <row r="2765" spans="1:9" ht="12.75">
      <c r="A2765" s="717"/>
      <c r="B2765" s="718"/>
      <c r="C2765" s="250"/>
      <c r="D2765" s="250"/>
      <c r="E2765" s="250"/>
      <c r="F2765" s="250"/>
      <c r="G2765" s="471"/>
      <c r="H2765" s="250"/>
      <c r="I2765" s="471"/>
    </row>
    <row r="2766" spans="1:9" ht="12.75">
      <c r="A2766" s="717"/>
      <c r="B2766" s="718"/>
      <c r="C2766" s="250"/>
      <c r="D2766" s="250"/>
      <c r="E2766" s="250"/>
      <c r="F2766" s="250"/>
      <c r="G2766" s="471"/>
      <c r="H2766" s="250"/>
      <c r="I2766" s="471"/>
    </row>
    <row r="2767" spans="1:9" ht="12.75">
      <c r="A2767" s="717"/>
      <c r="B2767" s="718"/>
      <c r="C2767" s="250"/>
      <c r="D2767" s="250"/>
      <c r="E2767" s="250"/>
      <c r="F2767" s="250"/>
      <c r="G2767" s="471"/>
      <c r="H2767" s="250"/>
      <c r="I2767" s="471"/>
    </row>
    <row r="2768" spans="1:9" ht="12.75">
      <c r="A2768" s="717"/>
      <c r="B2768" s="718"/>
      <c r="C2768" s="250"/>
      <c r="D2768" s="250"/>
      <c r="E2768" s="250"/>
      <c r="F2768" s="250"/>
      <c r="G2768" s="471"/>
      <c r="H2768" s="250"/>
      <c r="I2768" s="471"/>
    </row>
    <row r="2769" spans="1:9" ht="12.75">
      <c r="A2769" s="717"/>
      <c r="B2769" s="718"/>
      <c r="C2769" s="250"/>
      <c r="D2769" s="250"/>
      <c r="E2769" s="250"/>
      <c r="F2769" s="250"/>
      <c r="G2769" s="471"/>
      <c r="H2769" s="250"/>
      <c r="I2769" s="471"/>
    </row>
    <row r="2770" spans="1:9" ht="12.75">
      <c r="A2770" s="717"/>
      <c r="B2770" s="718"/>
      <c r="C2770" s="250"/>
      <c r="D2770" s="250"/>
      <c r="E2770" s="250"/>
      <c r="F2770" s="250"/>
      <c r="G2770" s="471"/>
      <c r="H2770" s="250"/>
      <c r="I2770" s="471"/>
    </row>
    <row r="2771" spans="1:9" ht="12.75">
      <c r="A2771" s="717"/>
      <c r="B2771" s="718"/>
      <c r="C2771" s="250"/>
      <c r="D2771" s="250"/>
      <c r="E2771" s="250"/>
      <c r="F2771" s="250"/>
      <c r="G2771" s="471"/>
      <c r="H2771" s="250"/>
      <c r="I2771" s="471"/>
    </row>
    <row r="2772" spans="1:9" ht="12.75">
      <c r="A2772" s="717"/>
      <c r="B2772" s="718"/>
      <c r="C2772" s="250"/>
      <c r="D2772" s="250"/>
      <c r="E2772" s="250"/>
      <c r="F2772" s="250"/>
      <c r="G2772" s="471"/>
      <c r="H2772" s="250"/>
      <c r="I2772" s="471"/>
    </row>
    <row r="2773" spans="1:9" ht="12.75">
      <c r="A2773" s="717"/>
      <c r="B2773" s="718"/>
      <c r="C2773" s="250"/>
      <c r="D2773" s="250"/>
      <c r="E2773" s="250"/>
      <c r="F2773" s="250"/>
      <c r="G2773" s="471"/>
      <c r="H2773" s="250"/>
      <c r="I2773" s="471"/>
    </row>
    <row r="2774" spans="1:9" ht="12.75">
      <c r="A2774" s="717"/>
      <c r="B2774" s="718"/>
      <c r="C2774" s="250"/>
      <c r="D2774" s="250"/>
      <c r="E2774" s="250"/>
      <c r="F2774" s="250"/>
      <c r="G2774" s="471"/>
      <c r="H2774" s="250"/>
      <c r="I2774" s="471"/>
    </row>
    <row r="2775" spans="1:9" ht="12.75">
      <c r="A2775" s="717"/>
      <c r="B2775" s="718"/>
      <c r="C2775" s="250"/>
      <c r="D2775" s="250"/>
      <c r="E2775" s="250"/>
      <c r="F2775" s="250"/>
      <c r="G2775" s="471"/>
      <c r="H2775" s="250"/>
      <c r="I2775" s="471"/>
    </row>
    <row r="2776" spans="1:9" ht="12.75">
      <c r="A2776" s="717"/>
      <c r="B2776" s="718"/>
      <c r="C2776" s="250"/>
      <c r="D2776" s="250"/>
      <c r="E2776" s="250"/>
      <c r="F2776" s="250"/>
      <c r="G2776" s="471"/>
      <c r="H2776" s="250"/>
      <c r="I2776" s="471"/>
    </row>
    <row r="2777" spans="1:9" ht="12.75">
      <c r="A2777" s="717"/>
      <c r="B2777" s="718"/>
      <c r="C2777" s="250"/>
      <c r="D2777" s="250"/>
      <c r="E2777" s="250"/>
      <c r="F2777" s="250"/>
      <c r="G2777" s="471"/>
      <c r="H2777" s="250"/>
      <c r="I2777" s="471"/>
    </row>
    <row r="2778" spans="1:9" ht="12.75">
      <c r="A2778" s="717"/>
      <c r="B2778" s="718"/>
      <c r="C2778" s="250"/>
      <c r="D2778" s="250"/>
      <c r="E2778" s="250"/>
      <c r="F2778" s="250"/>
      <c r="G2778" s="471"/>
      <c r="H2778" s="250"/>
      <c r="I2778" s="471"/>
    </row>
    <row r="2779" spans="1:9" ht="12.75">
      <c r="A2779" s="717"/>
      <c r="B2779" s="718"/>
      <c r="C2779" s="250"/>
      <c r="D2779" s="250"/>
      <c r="E2779" s="250"/>
      <c r="F2779" s="250"/>
      <c r="G2779" s="471"/>
      <c r="H2779" s="250"/>
      <c r="I2779" s="471"/>
    </row>
    <row r="2780" spans="1:9" ht="12.75">
      <c r="A2780" s="717"/>
      <c r="B2780" s="718"/>
      <c r="C2780" s="250"/>
      <c r="D2780" s="250"/>
      <c r="E2780" s="250"/>
      <c r="F2780" s="250"/>
      <c r="G2780" s="471"/>
      <c r="H2780" s="250"/>
      <c r="I2780" s="471"/>
    </row>
    <row r="2781" spans="1:9" ht="12.75">
      <c r="A2781" s="717"/>
      <c r="B2781" s="718"/>
      <c r="C2781" s="250"/>
      <c r="D2781" s="250"/>
      <c r="E2781" s="250"/>
      <c r="F2781" s="250"/>
      <c r="G2781" s="471"/>
      <c r="H2781" s="250"/>
      <c r="I2781" s="471"/>
    </row>
    <row r="2782" spans="1:9" ht="12.75">
      <c r="A2782" s="717"/>
      <c r="B2782" s="718"/>
      <c r="C2782" s="250"/>
      <c r="D2782" s="250"/>
      <c r="E2782" s="250"/>
      <c r="F2782" s="250"/>
      <c r="G2782" s="471"/>
      <c r="H2782" s="250"/>
      <c r="I2782" s="471"/>
    </row>
    <row r="2783" spans="1:9" ht="12.75">
      <c r="A2783" s="717"/>
      <c r="B2783" s="718"/>
      <c r="C2783" s="250"/>
      <c r="D2783" s="250"/>
      <c r="E2783" s="250"/>
      <c r="F2783" s="250"/>
      <c r="G2783" s="471"/>
      <c r="H2783" s="250"/>
      <c r="I2783" s="471"/>
    </row>
    <row r="2784" spans="1:9" ht="12.75">
      <c r="A2784" s="717"/>
      <c r="B2784" s="718"/>
      <c r="C2784" s="250"/>
      <c r="D2784" s="250"/>
      <c r="E2784" s="250"/>
      <c r="F2784" s="250"/>
      <c r="G2784" s="471"/>
      <c r="H2784" s="250"/>
      <c r="I2784" s="471"/>
    </row>
    <row r="2785" spans="1:9" ht="12.75">
      <c r="A2785" s="717"/>
      <c r="B2785" s="718"/>
      <c r="C2785" s="250"/>
      <c r="D2785" s="250"/>
      <c r="E2785" s="250"/>
      <c r="F2785" s="250"/>
      <c r="G2785" s="471"/>
      <c r="H2785" s="250"/>
      <c r="I2785" s="471"/>
    </row>
    <row r="2786" spans="1:9" ht="12.75">
      <c r="A2786" s="717"/>
      <c r="B2786" s="718"/>
      <c r="C2786" s="250"/>
      <c r="D2786" s="250"/>
      <c r="E2786" s="250"/>
      <c r="F2786" s="250"/>
      <c r="G2786" s="471"/>
      <c r="H2786" s="250"/>
      <c r="I2786" s="471"/>
    </row>
    <row r="2787" spans="1:9" ht="12.75">
      <c r="A2787" s="717"/>
      <c r="B2787" s="718"/>
      <c r="C2787" s="250"/>
      <c r="D2787" s="250"/>
      <c r="E2787" s="250"/>
      <c r="F2787" s="250"/>
      <c r="G2787" s="471"/>
      <c r="H2787" s="250"/>
      <c r="I2787" s="471"/>
    </row>
    <row r="2788" spans="1:9" ht="12.75">
      <c r="A2788" s="717"/>
      <c r="B2788" s="718"/>
      <c r="C2788" s="250"/>
      <c r="D2788" s="250"/>
      <c r="E2788" s="250"/>
      <c r="F2788" s="250"/>
      <c r="G2788" s="471"/>
      <c r="H2788" s="250"/>
      <c r="I2788" s="471"/>
    </row>
    <row r="2789" spans="1:9" ht="12.75">
      <c r="A2789" s="717"/>
      <c r="B2789" s="718"/>
      <c r="C2789" s="250"/>
      <c r="D2789" s="250"/>
      <c r="E2789" s="250"/>
      <c r="F2789" s="250"/>
      <c r="G2789" s="471"/>
      <c r="H2789" s="250"/>
      <c r="I2789" s="471"/>
    </row>
    <row r="2790" spans="1:9" ht="12.75">
      <c r="A2790" s="717"/>
      <c r="B2790" s="718"/>
      <c r="C2790" s="250"/>
      <c r="D2790" s="250"/>
      <c r="E2790" s="250"/>
      <c r="F2790" s="250"/>
      <c r="G2790" s="471"/>
      <c r="H2790" s="250"/>
      <c r="I2790" s="471"/>
    </row>
    <row r="2791" spans="1:9" ht="12.75">
      <c r="A2791" s="717"/>
      <c r="B2791" s="718"/>
      <c r="C2791" s="250"/>
      <c r="D2791" s="250"/>
      <c r="E2791" s="250"/>
      <c r="F2791" s="250"/>
      <c r="G2791" s="471"/>
      <c r="H2791" s="250"/>
      <c r="I2791" s="471"/>
    </row>
    <row r="2792" spans="1:9" ht="12.75">
      <c r="A2792" s="717"/>
      <c r="B2792" s="718"/>
      <c r="C2792" s="250"/>
      <c r="D2792" s="250"/>
      <c r="E2792" s="250"/>
      <c r="F2792" s="250"/>
      <c r="G2792" s="471"/>
      <c r="H2792" s="250"/>
      <c r="I2792" s="471"/>
    </row>
    <row r="2793" spans="1:9" ht="12.75">
      <c r="A2793" s="717"/>
      <c r="B2793" s="718"/>
      <c r="C2793" s="250"/>
      <c r="D2793" s="250"/>
      <c r="E2793" s="250"/>
      <c r="F2793" s="250"/>
      <c r="G2793" s="471"/>
      <c r="H2793" s="250"/>
      <c r="I2793" s="471"/>
    </row>
    <row r="2794" spans="1:9" ht="12.75">
      <c r="A2794" s="717"/>
      <c r="B2794" s="718"/>
      <c r="C2794" s="250"/>
      <c r="D2794" s="250"/>
      <c r="E2794" s="250"/>
      <c r="F2794" s="250"/>
      <c r="G2794" s="471"/>
      <c r="H2794" s="250"/>
      <c r="I2794" s="471"/>
    </row>
    <row r="2795" spans="1:9" ht="12.75">
      <c r="A2795" s="717"/>
      <c r="B2795" s="718"/>
      <c r="C2795" s="250"/>
      <c r="D2795" s="250"/>
      <c r="E2795" s="250"/>
      <c r="F2795" s="250"/>
      <c r="G2795" s="471"/>
      <c r="H2795" s="250"/>
      <c r="I2795" s="471"/>
    </row>
    <row r="2796" spans="1:9" ht="12.75">
      <c r="A2796" s="717"/>
      <c r="B2796" s="718"/>
      <c r="C2796" s="250"/>
      <c r="D2796" s="250"/>
      <c r="E2796" s="250"/>
      <c r="F2796" s="250"/>
      <c r="G2796" s="471"/>
      <c r="H2796" s="250"/>
      <c r="I2796" s="471"/>
    </row>
    <row r="2797" spans="1:9" ht="12.75">
      <c r="A2797" s="717"/>
      <c r="B2797" s="718"/>
      <c r="C2797" s="250"/>
      <c r="D2797" s="250"/>
      <c r="E2797" s="250"/>
      <c r="F2797" s="250"/>
      <c r="G2797" s="471"/>
      <c r="H2797" s="250"/>
      <c r="I2797" s="471"/>
    </row>
    <row r="2798" spans="1:9" ht="12.75">
      <c r="A2798" s="717"/>
      <c r="B2798" s="718"/>
      <c r="C2798" s="250"/>
      <c r="D2798" s="250"/>
      <c r="E2798" s="250"/>
      <c r="F2798" s="250"/>
      <c r="G2798" s="471"/>
      <c r="H2798" s="250"/>
      <c r="I2798" s="471"/>
    </row>
    <row r="2799" spans="1:9" ht="12.75">
      <c r="A2799" s="717"/>
      <c r="B2799" s="718"/>
      <c r="C2799" s="250"/>
      <c r="D2799" s="250"/>
      <c r="E2799" s="250"/>
      <c r="F2799" s="250"/>
      <c r="G2799" s="471"/>
      <c r="H2799" s="250"/>
      <c r="I2799" s="471"/>
    </row>
    <row r="2800" spans="1:9" ht="12.75">
      <c r="A2800" s="717"/>
      <c r="B2800" s="718"/>
      <c r="C2800" s="250"/>
      <c r="D2800" s="250"/>
      <c r="E2800" s="250"/>
      <c r="F2800" s="250"/>
      <c r="G2800" s="471"/>
      <c r="H2800" s="250"/>
      <c r="I2800" s="471"/>
    </row>
    <row r="2801" spans="1:9" ht="12.75">
      <c r="A2801" s="717"/>
      <c r="B2801" s="718"/>
      <c r="C2801" s="250"/>
      <c r="D2801" s="250"/>
      <c r="E2801" s="250"/>
      <c r="F2801" s="250"/>
      <c r="G2801" s="471"/>
      <c r="H2801" s="250"/>
      <c r="I2801" s="471"/>
    </row>
    <row r="2802" spans="1:9" ht="12.75">
      <c r="A2802" s="717"/>
      <c r="B2802" s="718"/>
      <c r="C2802" s="250"/>
      <c r="D2802" s="250"/>
      <c r="E2802" s="250"/>
      <c r="F2802" s="250"/>
      <c r="G2802" s="471"/>
      <c r="H2802" s="250"/>
      <c r="I2802" s="471"/>
    </row>
    <row r="2803" spans="1:9" ht="12.75">
      <c r="A2803" s="717"/>
      <c r="B2803" s="718"/>
      <c r="C2803" s="250"/>
      <c r="D2803" s="250"/>
      <c r="E2803" s="250"/>
      <c r="F2803" s="250"/>
      <c r="G2803" s="471"/>
      <c r="H2803" s="250"/>
      <c r="I2803" s="471"/>
    </row>
    <row r="2804" spans="1:9" ht="12.75">
      <c r="A2804" s="717"/>
      <c r="B2804" s="718"/>
      <c r="C2804" s="250"/>
      <c r="D2804" s="250"/>
      <c r="E2804" s="250"/>
      <c r="F2804" s="250"/>
      <c r="G2804" s="471"/>
      <c r="H2804" s="250"/>
      <c r="I2804" s="471"/>
    </row>
    <row r="2805" spans="1:9" ht="12.75">
      <c r="A2805" s="717"/>
      <c r="B2805" s="718"/>
      <c r="C2805" s="250"/>
      <c r="D2805" s="250"/>
      <c r="E2805" s="250"/>
      <c r="F2805" s="250"/>
      <c r="G2805" s="471"/>
      <c r="H2805" s="250"/>
      <c r="I2805" s="471"/>
    </row>
    <row r="2806" spans="1:9" ht="12.75">
      <c r="A2806" s="717"/>
      <c r="B2806" s="718"/>
      <c r="C2806" s="250"/>
      <c r="D2806" s="250"/>
      <c r="E2806" s="250"/>
      <c r="F2806" s="250"/>
      <c r="G2806" s="471"/>
      <c r="H2806" s="250"/>
      <c r="I2806" s="471"/>
    </row>
    <row r="2807" spans="1:9" ht="12.75">
      <c r="A2807" s="717"/>
      <c r="B2807" s="718"/>
      <c r="C2807" s="250"/>
      <c r="D2807" s="250"/>
      <c r="E2807" s="250"/>
      <c r="F2807" s="250"/>
      <c r="G2807" s="471"/>
      <c r="H2807" s="250"/>
      <c r="I2807" s="471"/>
    </row>
    <row r="2808" spans="1:9" ht="12.75">
      <c r="A2808" s="717"/>
      <c r="B2808" s="718"/>
      <c r="C2808" s="250"/>
      <c r="D2808" s="250"/>
      <c r="E2808" s="250"/>
      <c r="F2808" s="250"/>
      <c r="G2808" s="471"/>
      <c r="H2808" s="250"/>
      <c r="I2808" s="471"/>
    </row>
    <row r="2809" spans="1:9" ht="12.75">
      <c r="A2809" s="717"/>
      <c r="B2809" s="718"/>
      <c r="C2809" s="250"/>
      <c r="D2809" s="250"/>
      <c r="E2809" s="250"/>
      <c r="F2809" s="250"/>
      <c r="G2809" s="471"/>
      <c r="H2809" s="250"/>
      <c r="I2809" s="471"/>
    </row>
    <row r="2810" spans="1:9" ht="12.75">
      <c r="A2810" s="717"/>
      <c r="B2810" s="718"/>
      <c r="C2810" s="250"/>
      <c r="D2810" s="250"/>
      <c r="E2810" s="250"/>
      <c r="F2810" s="250"/>
      <c r="G2810" s="471"/>
      <c r="H2810" s="250"/>
      <c r="I2810" s="471"/>
    </row>
    <row r="2811" spans="1:9" ht="12.75">
      <c r="A2811" s="717"/>
      <c r="B2811" s="718"/>
      <c r="C2811" s="250"/>
      <c r="D2811" s="250"/>
      <c r="E2811" s="250"/>
      <c r="F2811" s="250"/>
      <c r="G2811" s="471"/>
      <c r="H2811" s="250"/>
      <c r="I2811" s="471"/>
    </row>
    <row r="2812" spans="1:9" ht="12.75">
      <c r="A2812" s="717"/>
      <c r="B2812" s="718"/>
      <c r="C2812" s="250"/>
      <c r="D2812" s="250"/>
      <c r="E2812" s="250"/>
      <c r="F2812" s="250"/>
      <c r="G2812" s="471"/>
      <c r="H2812" s="250"/>
      <c r="I2812" s="471"/>
    </row>
    <row r="2813" spans="1:9" ht="12.75">
      <c r="A2813" s="717"/>
      <c r="B2813" s="718"/>
      <c r="C2813" s="250"/>
      <c r="D2813" s="250"/>
      <c r="E2813" s="250"/>
      <c r="F2813" s="250"/>
      <c r="G2813" s="471"/>
      <c r="H2813" s="250"/>
      <c r="I2813" s="471"/>
    </row>
    <row r="2814" spans="1:9" ht="12.75">
      <c r="A2814" s="717"/>
      <c r="B2814" s="718"/>
      <c r="C2814" s="250"/>
      <c r="D2814" s="250"/>
      <c r="E2814" s="250"/>
      <c r="F2814" s="250"/>
      <c r="G2814" s="471"/>
      <c r="H2814" s="250"/>
      <c r="I2814" s="471"/>
    </row>
    <row r="2815" spans="1:9" ht="12.75">
      <c r="A2815" s="717"/>
      <c r="B2815" s="718"/>
      <c r="C2815" s="250"/>
      <c r="D2815" s="250"/>
      <c r="E2815" s="250"/>
      <c r="F2815" s="250"/>
      <c r="G2815" s="471"/>
      <c r="H2815" s="250"/>
      <c r="I2815" s="471"/>
    </row>
    <row r="2816" spans="1:9" ht="12.75">
      <c r="A2816" s="717"/>
      <c r="B2816" s="718"/>
      <c r="C2816" s="250"/>
      <c r="D2816" s="250"/>
      <c r="E2816" s="250"/>
      <c r="F2816" s="250"/>
      <c r="G2816" s="471"/>
      <c r="H2816" s="250"/>
      <c r="I2816" s="471"/>
    </row>
    <row r="2817" spans="1:9" ht="12.75">
      <c r="A2817" s="717"/>
      <c r="B2817" s="718"/>
      <c r="C2817" s="250"/>
      <c r="D2817" s="250"/>
      <c r="E2817" s="250"/>
      <c r="F2817" s="250"/>
      <c r="G2817" s="471"/>
      <c r="H2817" s="250"/>
      <c r="I2817" s="471"/>
    </row>
    <row r="2818" spans="1:9" ht="12.75">
      <c r="A2818" s="717"/>
      <c r="B2818" s="718"/>
      <c r="C2818" s="250"/>
      <c r="D2818" s="250"/>
      <c r="E2818" s="250"/>
      <c r="F2818" s="250"/>
      <c r="G2818" s="471"/>
      <c r="H2818" s="250"/>
      <c r="I2818" s="471"/>
    </row>
    <row r="2819" spans="1:9" ht="12.75">
      <c r="A2819" s="717"/>
      <c r="B2819" s="718"/>
      <c r="C2819" s="250"/>
      <c r="D2819" s="250"/>
      <c r="E2819" s="250"/>
      <c r="F2819" s="250"/>
      <c r="G2819" s="471"/>
      <c r="H2819" s="250"/>
      <c r="I2819" s="471"/>
    </row>
    <row r="2820" spans="1:9" ht="12.75">
      <c r="A2820" s="717"/>
      <c r="B2820" s="718"/>
      <c r="C2820" s="250"/>
      <c r="D2820" s="250"/>
      <c r="E2820" s="250"/>
      <c r="F2820" s="250"/>
      <c r="G2820" s="471"/>
      <c r="H2820" s="250"/>
      <c r="I2820" s="471"/>
    </row>
    <row r="2821" spans="1:9" ht="12.75">
      <c r="A2821" s="717"/>
      <c r="B2821" s="718"/>
      <c r="C2821" s="250"/>
      <c r="D2821" s="250"/>
      <c r="E2821" s="250"/>
      <c r="F2821" s="250"/>
      <c r="G2821" s="471"/>
      <c r="H2821" s="250"/>
      <c r="I2821" s="471"/>
    </row>
    <row r="2822" spans="1:9" ht="12.75">
      <c r="A2822" s="717"/>
      <c r="B2822" s="718"/>
      <c r="C2822" s="250"/>
      <c r="D2822" s="250"/>
      <c r="E2822" s="250"/>
      <c r="F2822" s="250"/>
      <c r="G2822" s="471"/>
      <c r="H2822" s="250"/>
      <c r="I2822" s="471"/>
    </row>
    <row r="2823" spans="1:9" ht="12.75">
      <c r="A2823" s="717"/>
      <c r="B2823" s="718"/>
      <c r="C2823" s="250"/>
      <c r="D2823" s="250"/>
      <c r="E2823" s="250"/>
      <c r="F2823" s="250"/>
      <c r="G2823" s="471"/>
      <c r="H2823" s="250"/>
      <c r="I2823" s="471"/>
    </row>
    <row r="2824" spans="1:9" ht="12.75">
      <c r="A2824" s="717"/>
      <c r="B2824" s="718"/>
      <c r="C2824" s="250"/>
      <c r="D2824" s="250"/>
      <c r="E2824" s="250"/>
      <c r="F2824" s="250"/>
      <c r="G2824" s="471"/>
      <c r="H2824" s="250"/>
      <c r="I2824" s="471"/>
    </row>
    <row r="2825" spans="1:9" ht="12.75">
      <c r="A2825" s="717"/>
      <c r="B2825" s="718"/>
      <c r="C2825" s="250"/>
      <c r="D2825" s="250"/>
      <c r="E2825" s="250"/>
      <c r="F2825" s="250"/>
      <c r="G2825" s="471"/>
      <c r="H2825" s="250"/>
      <c r="I2825" s="471"/>
    </row>
    <row r="2826" spans="1:9" ht="12.75">
      <c r="A2826" s="717"/>
      <c r="B2826" s="718"/>
      <c r="C2826" s="250"/>
      <c r="D2826" s="250"/>
      <c r="E2826" s="250"/>
      <c r="F2826" s="250"/>
      <c r="G2826" s="471"/>
      <c r="H2826" s="250"/>
      <c r="I2826" s="471"/>
    </row>
    <row r="2827" spans="1:9" ht="12.75">
      <c r="A2827" s="717"/>
      <c r="B2827" s="718"/>
      <c r="C2827" s="250"/>
      <c r="D2827" s="250"/>
      <c r="E2827" s="250"/>
      <c r="F2827" s="250"/>
      <c r="G2827" s="471"/>
      <c r="H2827" s="250"/>
      <c r="I2827" s="471"/>
    </row>
    <row r="2828" spans="1:9" ht="12.75">
      <c r="A2828" s="717"/>
      <c r="B2828" s="718"/>
      <c r="C2828" s="250"/>
      <c r="D2828" s="250"/>
      <c r="E2828" s="250"/>
      <c r="F2828" s="250"/>
      <c r="G2828" s="471"/>
      <c r="H2828" s="250"/>
      <c r="I2828" s="471"/>
    </row>
    <row r="2829" spans="1:9" ht="12.75">
      <c r="A2829" s="717"/>
      <c r="B2829" s="718"/>
      <c r="C2829" s="250"/>
      <c r="D2829" s="250"/>
      <c r="E2829" s="250"/>
      <c r="F2829" s="250"/>
      <c r="G2829" s="471"/>
      <c r="H2829" s="250"/>
      <c r="I2829" s="471"/>
    </row>
    <row r="2830" spans="1:9" ht="12.75">
      <c r="A2830" s="717"/>
      <c r="B2830" s="718"/>
      <c r="C2830" s="250"/>
      <c r="D2830" s="250"/>
      <c r="E2830" s="250"/>
      <c r="F2830" s="250"/>
      <c r="G2830" s="471"/>
      <c r="H2830" s="250"/>
      <c r="I2830" s="471"/>
    </row>
    <row r="2831" spans="1:9" ht="12.75">
      <c r="A2831" s="717"/>
      <c r="B2831" s="718"/>
      <c r="C2831" s="250"/>
      <c r="D2831" s="250"/>
      <c r="E2831" s="250"/>
      <c r="F2831" s="250"/>
      <c r="G2831" s="471"/>
      <c r="H2831" s="250"/>
      <c r="I2831" s="471"/>
    </row>
    <row r="2832" spans="1:9" ht="12.75">
      <c r="A2832" s="717"/>
      <c r="B2832" s="718"/>
      <c r="C2832" s="250"/>
      <c r="D2832" s="250"/>
      <c r="E2832" s="250"/>
      <c r="F2832" s="250"/>
      <c r="G2832" s="471"/>
      <c r="H2832" s="250"/>
      <c r="I2832" s="471"/>
    </row>
    <row r="2833" spans="1:9" ht="12.75">
      <c r="A2833" s="717"/>
      <c r="B2833" s="718"/>
      <c r="C2833" s="250"/>
      <c r="D2833" s="250"/>
      <c r="E2833" s="250"/>
      <c r="F2833" s="250"/>
      <c r="G2833" s="471"/>
      <c r="H2833" s="250"/>
      <c r="I2833" s="471"/>
    </row>
    <row r="2834" spans="1:9" ht="12.75">
      <c r="A2834" s="717"/>
      <c r="B2834" s="718"/>
      <c r="C2834" s="250"/>
      <c r="D2834" s="250"/>
      <c r="E2834" s="250"/>
      <c r="F2834" s="250"/>
      <c r="G2834" s="471"/>
      <c r="H2834" s="250"/>
      <c r="I2834" s="471"/>
    </row>
    <row r="2835" spans="1:9" ht="12.75">
      <c r="A2835" s="717"/>
      <c r="B2835" s="718"/>
      <c r="C2835" s="250"/>
      <c r="D2835" s="250"/>
      <c r="E2835" s="250"/>
      <c r="F2835" s="250"/>
      <c r="G2835" s="471"/>
      <c r="H2835" s="250"/>
      <c r="I2835" s="471"/>
    </row>
    <row r="2836" spans="1:9" ht="12.75">
      <c r="A2836" s="717"/>
      <c r="B2836" s="718"/>
      <c r="C2836" s="250"/>
      <c r="D2836" s="250"/>
      <c r="E2836" s="250"/>
      <c r="F2836" s="250"/>
      <c r="G2836" s="471"/>
      <c r="H2836" s="250"/>
      <c r="I2836" s="471"/>
    </row>
    <row r="2837" spans="1:9" ht="12.75">
      <c r="A2837" s="717"/>
      <c r="B2837" s="718"/>
      <c r="C2837" s="250"/>
      <c r="D2837" s="250"/>
      <c r="E2837" s="250"/>
      <c r="F2837" s="250"/>
      <c r="G2837" s="471"/>
      <c r="H2837" s="250"/>
      <c r="I2837" s="471"/>
    </row>
    <row r="2838" spans="1:9" ht="12.75">
      <c r="A2838" s="717"/>
      <c r="B2838" s="718"/>
      <c r="C2838" s="250"/>
      <c r="D2838" s="250"/>
      <c r="E2838" s="250"/>
      <c r="F2838" s="250"/>
      <c r="G2838" s="471"/>
      <c r="H2838" s="250"/>
      <c r="I2838" s="471"/>
    </row>
    <row r="2839" spans="1:9" ht="12.75">
      <c r="A2839" s="717"/>
      <c r="B2839" s="718"/>
      <c r="C2839" s="250"/>
      <c r="D2839" s="250"/>
      <c r="E2839" s="250"/>
      <c r="F2839" s="250"/>
      <c r="G2839" s="471"/>
      <c r="H2839" s="250"/>
      <c r="I2839" s="471"/>
    </row>
    <row r="2840" spans="1:9" ht="12.75">
      <c r="A2840" s="717"/>
      <c r="B2840" s="718"/>
      <c r="C2840" s="250"/>
      <c r="D2840" s="250"/>
      <c r="E2840" s="250"/>
      <c r="F2840" s="250"/>
      <c r="G2840" s="471"/>
      <c r="H2840" s="250"/>
      <c r="I2840" s="471"/>
    </row>
    <row r="2841" spans="1:9" ht="12.75">
      <c r="A2841" s="717"/>
      <c r="B2841" s="718"/>
      <c r="C2841" s="250"/>
      <c r="D2841" s="250"/>
      <c r="E2841" s="250"/>
      <c r="F2841" s="250"/>
      <c r="G2841" s="471"/>
      <c r="H2841" s="250"/>
      <c r="I2841" s="471"/>
    </row>
    <row r="2842" spans="1:9" ht="12.75">
      <c r="A2842" s="717"/>
      <c r="B2842" s="718"/>
      <c r="C2842" s="250"/>
      <c r="D2842" s="250"/>
      <c r="E2842" s="250"/>
      <c r="F2842" s="250"/>
      <c r="G2842" s="471"/>
      <c r="H2842" s="250"/>
      <c r="I2842" s="471"/>
    </row>
    <row r="2843" spans="1:9" ht="12.75">
      <c r="A2843" s="717"/>
      <c r="B2843" s="718"/>
      <c r="C2843" s="250"/>
      <c r="D2843" s="250"/>
      <c r="E2843" s="250"/>
      <c r="F2843" s="250"/>
      <c r="G2843" s="471"/>
      <c r="H2843" s="250"/>
      <c r="I2843" s="471"/>
    </row>
    <row r="2844" spans="1:9" ht="12.75">
      <c r="A2844" s="717"/>
      <c r="B2844" s="718"/>
      <c r="C2844" s="250"/>
      <c r="D2844" s="250"/>
      <c r="E2844" s="250"/>
      <c r="F2844" s="250"/>
      <c r="G2844" s="471"/>
      <c r="H2844" s="250"/>
      <c r="I2844" s="471"/>
    </row>
    <row r="2845" spans="1:9" ht="12.75">
      <c r="A2845" s="717"/>
      <c r="B2845" s="718"/>
      <c r="C2845" s="250"/>
      <c r="D2845" s="250"/>
      <c r="E2845" s="250"/>
      <c r="F2845" s="250"/>
      <c r="G2845" s="471"/>
      <c r="H2845" s="250"/>
      <c r="I2845" s="471"/>
    </row>
    <row r="2846" spans="1:9" ht="12.75">
      <c r="A2846" s="717"/>
      <c r="B2846" s="718"/>
      <c r="C2846" s="250"/>
      <c r="D2846" s="250"/>
      <c r="E2846" s="250"/>
      <c r="F2846" s="250"/>
      <c r="G2846" s="471"/>
      <c r="H2846" s="250"/>
      <c r="I2846" s="471"/>
    </row>
    <row r="2847" spans="1:9" ht="12.75">
      <c r="A2847" s="717"/>
      <c r="B2847" s="718"/>
      <c r="C2847" s="250"/>
      <c r="D2847" s="250"/>
      <c r="E2847" s="250"/>
      <c r="F2847" s="250"/>
      <c r="G2847" s="471"/>
      <c r="H2847" s="250"/>
      <c r="I2847" s="471"/>
    </row>
    <row r="2848" spans="1:9" ht="12.75">
      <c r="A2848" s="717"/>
      <c r="B2848" s="718"/>
      <c r="C2848" s="250"/>
      <c r="D2848" s="250"/>
      <c r="E2848" s="250"/>
      <c r="F2848" s="250"/>
      <c r="G2848" s="471"/>
      <c r="H2848" s="250"/>
      <c r="I2848" s="471"/>
    </row>
    <row r="2849" spans="1:9" ht="12.75">
      <c r="A2849" s="717"/>
      <c r="B2849" s="718"/>
      <c r="C2849" s="250"/>
      <c r="D2849" s="250"/>
      <c r="E2849" s="250"/>
      <c r="F2849" s="250"/>
      <c r="G2849" s="471"/>
      <c r="H2849" s="250"/>
      <c r="I2849" s="471"/>
    </row>
    <row r="2850" spans="1:9" ht="12.75">
      <c r="A2850" s="717"/>
      <c r="B2850" s="718"/>
      <c r="C2850" s="250"/>
      <c r="D2850" s="250"/>
      <c r="E2850" s="250"/>
      <c r="F2850" s="250"/>
      <c r="G2850" s="471"/>
      <c r="H2850" s="250"/>
      <c r="I2850" s="471"/>
    </row>
    <row r="2851" spans="1:9" ht="12.75">
      <c r="A2851" s="717"/>
      <c r="B2851" s="718"/>
      <c r="C2851" s="250"/>
      <c r="D2851" s="250"/>
      <c r="E2851" s="250"/>
      <c r="F2851" s="250"/>
      <c r="G2851" s="471"/>
      <c r="H2851" s="250"/>
      <c r="I2851" s="471"/>
    </row>
    <row r="2852" spans="1:9" ht="12.75">
      <c r="A2852" s="717"/>
      <c r="B2852" s="718"/>
      <c r="C2852" s="250"/>
      <c r="D2852" s="250"/>
      <c r="E2852" s="250"/>
      <c r="F2852" s="250"/>
      <c r="G2852" s="471"/>
      <c r="H2852" s="250"/>
      <c r="I2852" s="471"/>
    </row>
    <row r="2853" spans="1:9" ht="12.75">
      <c r="A2853" s="717"/>
      <c r="B2853" s="718"/>
      <c r="C2853" s="250"/>
      <c r="D2853" s="250"/>
      <c r="E2853" s="250"/>
      <c r="F2853" s="250"/>
      <c r="G2853" s="471"/>
      <c r="H2853" s="250"/>
      <c r="I2853" s="471"/>
    </row>
    <row r="2854" spans="1:9" ht="12.75">
      <c r="A2854" s="717"/>
      <c r="B2854" s="718"/>
      <c r="C2854" s="250"/>
      <c r="D2854" s="250"/>
      <c r="E2854" s="250"/>
      <c r="F2854" s="250"/>
      <c r="G2854" s="471"/>
      <c r="H2854" s="250"/>
      <c r="I2854" s="471"/>
    </row>
    <row r="2855" spans="1:9" ht="12.75">
      <c r="A2855" s="717"/>
      <c r="B2855" s="718"/>
      <c r="C2855" s="250"/>
      <c r="D2855" s="250"/>
      <c r="E2855" s="250"/>
      <c r="F2855" s="250"/>
      <c r="G2855" s="471"/>
      <c r="H2855" s="250"/>
      <c r="I2855" s="471"/>
    </row>
    <row r="2856" spans="1:9" ht="12.75">
      <c r="A2856" s="717"/>
      <c r="B2856" s="718"/>
      <c r="C2856" s="250"/>
      <c r="D2856" s="250"/>
      <c r="E2856" s="250"/>
      <c r="F2856" s="250"/>
      <c r="G2856" s="471"/>
      <c r="H2856" s="250"/>
      <c r="I2856" s="471"/>
    </row>
    <row r="2857" spans="1:9" ht="12.75">
      <c r="A2857" s="717"/>
      <c r="B2857" s="718"/>
      <c r="C2857" s="250"/>
      <c r="D2857" s="250"/>
      <c r="E2857" s="250"/>
      <c r="F2857" s="250"/>
      <c r="G2857" s="471"/>
      <c r="H2857" s="250"/>
      <c r="I2857" s="471"/>
    </row>
    <row r="2858" spans="1:9" ht="12.75">
      <c r="A2858" s="717"/>
      <c r="B2858" s="718"/>
      <c r="C2858" s="250"/>
      <c r="D2858" s="250"/>
      <c r="E2858" s="250"/>
      <c r="F2858" s="250"/>
      <c r="G2858" s="471"/>
      <c r="H2858" s="250"/>
      <c r="I2858" s="471"/>
    </row>
    <row r="2859" spans="1:9" ht="12.75">
      <c r="A2859" s="717"/>
      <c r="B2859" s="718"/>
      <c r="C2859" s="250"/>
      <c r="D2859" s="250"/>
      <c r="E2859" s="250"/>
      <c r="F2859" s="250"/>
      <c r="G2859" s="471"/>
      <c r="H2859" s="250"/>
      <c r="I2859" s="471"/>
    </row>
    <row r="2860" spans="1:9" ht="12.75">
      <c r="A2860" s="717"/>
      <c r="B2860" s="718"/>
      <c r="C2860" s="250"/>
      <c r="D2860" s="250"/>
      <c r="E2860" s="250"/>
      <c r="F2860" s="250"/>
      <c r="G2860" s="471"/>
      <c r="H2860" s="250"/>
      <c r="I2860" s="471"/>
    </row>
    <row r="2861" spans="1:9" ht="12.75">
      <c r="A2861" s="717"/>
      <c r="B2861" s="718"/>
      <c r="C2861" s="250"/>
      <c r="D2861" s="250"/>
      <c r="E2861" s="250"/>
      <c r="F2861" s="250"/>
      <c r="G2861" s="471"/>
      <c r="H2861" s="250"/>
      <c r="I2861" s="471"/>
    </row>
    <row r="2862" spans="1:9" ht="12.75">
      <c r="A2862" s="717"/>
      <c r="B2862" s="718"/>
      <c r="C2862" s="250"/>
      <c r="D2862" s="250"/>
      <c r="E2862" s="250"/>
      <c r="F2862" s="250"/>
      <c r="G2862" s="471"/>
      <c r="H2862" s="250"/>
      <c r="I2862" s="471"/>
    </row>
    <row r="2863" spans="1:9" ht="12.75">
      <c r="A2863" s="717"/>
      <c r="B2863" s="718"/>
      <c r="C2863" s="250"/>
      <c r="D2863" s="250"/>
      <c r="E2863" s="250"/>
      <c r="F2863" s="250"/>
      <c r="G2863" s="471"/>
      <c r="H2863" s="250"/>
      <c r="I2863" s="471"/>
    </row>
    <row r="2864" spans="1:9" ht="12.75">
      <c r="A2864" s="717"/>
      <c r="B2864" s="718"/>
      <c r="C2864" s="250"/>
      <c r="D2864" s="250"/>
      <c r="E2864" s="250"/>
      <c r="F2864" s="250"/>
      <c r="G2864" s="471"/>
      <c r="H2864" s="250"/>
      <c r="I2864" s="471"/>
    </row>
    <row r="2865" spans="1:9" ht="12.75">
      <c r="A2865" s="717"/>
      <c r="B2865" s="718"/>
      <c r="C2865" s="250"/>
      <c r="D2865" s="250"/>
      <c r="E2865" s="250"/>
      <c r="F2865" s="250"/>
      <c r="G2865" s="471"/>
      <c r="H2865" s="250"/>
      <c r="I2865" s="471"/>
    </row>
    <row r="2866" spans="1:9" ht="12.75">
      <c r="A2866" s="717"/>
      <c r="B2866" s="718"/>
      <c r="C2866" s="250"/>
      <c r="D2866" s="250"/>
      <c r="E2866" s="250"/>
      <c r="F2866" s="250"/>
      <c r="G2866" s="471"/>
      <c r="H2866" s="250"/>
      <c r="I2866" s="471"/>
    </row>
    <row r="2867" spans="1:9" ht="12.75">
      <c r="A2867" s="717"/>
      <c r="B2867" s="718"/>
      <c r="C2867" s="250"/>
      <c r="D2867" s="250"/>
      <c r="E2867" s="250"/>
      <c r="F2867" s="250"/>
      <c r="G2867" s="471"/>
      <c r="H2867" s="250"/>
      <c r="I2867" s="471"/>
    </row>
    <row r="2868" spans="1:9" ht="12.75">
      <c r="A2868" s="717"/>
      <c r="B2868" s="718"/>
      <c r="C2868" s="250"/>
      <c r="D2868" s="250"/>
      <c r="E2868" s="250"/>
      <c r="F2868" s="250"/>
      <c r="G2868" s="471"/>
      <c r="H2868" s="250"/>
      <c r="I2868" s="471"/>
    </row>
    <row r="2869" spans="1:9" ht="12.75">
      <c r="A2869" s="717"/>
      <c r="B2869" s="718"/>
      <c r="C2869" s="250"/>
      <c r="D2869" s="250"/>
      <c r="E2869" s="250"/>
      <c r="F2869" s="250"/>
      <c r="G2869" s="471"/>
      <c r="H2869" s="250"/>
      <c r="I2869" s="471"/>
    </row>
    <row r="2870" spans="1:9" ht="12.75">
      <c r="A2870" s="717"/>
      <c r="B2870" s="718"/>
      <c r="C2870" s="250"/>
      <c r="D2870" s="250"/>
      <c r="E2870" s="250"/>
      <c r="F2870" s="250"/>
      <c r="G2870" s="471"/>
      <c r="H2870" s="250"/>
      <c r="I2870" s="471"/>
    </row>
    <row r="2871" spans="1:9" ht="12.75">
      <c r="A2871" s="717"/>
      <c r="B2871" s="718"/>
      <c r="C2871" s="250"/>
      <c r="D2871" s="250"/>
      <c r="E2871" s="250"/>
      <c r="F2871" s="250"/>
      <c r="G2871" s="471"/>
      <c r="H2871" s="250"/>
      <c r="I2871" s="471"/>
    </row>
    <row r="2872" spans="1:9" ht="12.75">
      <c r="A2872" s="717"/>
      <c r="B2872" s="718"/>
      <c r="C2872" s="250"/>
      <c r="D2872" s="250"/>
      <c r="E2872" s="250"/>
      <c r="F2872" s="250"/>
      <c r="G2872" s="471"/>
      <c r="H2872" s="250"/>
      <c r="I2872" s="471"/>
    </row>
    <row r="2873" spans="1:9" ht="12.75">
      <c r="A2873" s="717"/>
      <c r="B2873" s="718"/>
      <c r="C2873" s="250"/>
      <c r="D2873" s="250"/>
      <c r="E2873" s="250"/>
      <c r="F2873" s="250"/>
      <c r="G2873" s="471"/>
      <c r="H2873" s="250"/>
      <c r="I2873" s="471"/>
    </row>
    <row r="2874" spans="1:9" ht="12.75">
      <c r="A2874" s="717"/>
      <c r="B2874" s="718"/>
      <c r="C2874" s="250"/>
      <c r="D2874" s="250"/>
      <c r="E2874" s="250"/>
      <c r="F2874" s="250"/>
      <c r="G2874" s="471"/>
      <c r="H2874" s="250"/>
      <c r="I2874" s="471"/>
    </row>
    <row r="2875" spans="1:9" ht="12.75">
      <c r="A2875" s="717"/>
      <c r="B2875" s="718"/>
      <c r="C2875" s="250"/>
      <c r="D2875" s="250"/>
      <c r="E2875" s="250"/>
      <c r="F2875" s="250"/>
      <c r="G2875" s="471"/>
      <c r="H2875" s="250"/>
      <c r="I2875" s="471"/>
    </row>
    <row r="2876" spans="1:9" ht="12.75">
      <c r="A2876" s="717"/>
      <c r="B2876" s="718"/>
      <c r="C2876" s="250"/>
      <c r="D2876" s="250"/>
      <c r="E2876" s="250"/>
      <c r="F2876" s="250"/>
      <c r="G2876" s="471"/>
      <c r="H2876" s="250"/>
      <c r="I2876" s="471"/>
    </row>
    <row r="2877" spans="1:9" ht="12.75">
      <c r="A2877" s="717"/>
      <c r="B2877" s="718"/>
      <c r="C2877" s="250"/>
      <c r="D2877" s="250"/>
      <c r="E2877" s="250"/>
      <c r="F2877" s="250"/>
      <c r="G2877" s="471"/>
      <c r="H2877" s="250"/>
      <c r="I2877" s="471"/>
    </row>
    <row r="2878" spans="1:9" ht="12.75">
      <c r="A2878" s="717"/>
      <c r="B2878" s="718"/>
      <c r="C2878" s="250"/>
      <c r="D2878" s="250"/>
      <c r="E2878" s="250"/>
      <c r="F2878" s="250"/>
      <c r="G2878" s="471"/>
      <c r="H2878" s="250"/>
      <c r="I2878" s="471"/>
    </row>
    <row r="2879" spans="1:9" ht="12.75">
      <c r="A2879" s="717"/>
      <c r="B2879" s="718"/>
      <c r="C2879" s="250"/>
      <c r="D2879" s="250"/>
      <c r="E2879" s="250"/>
      <c r="F2879" s="250"/>
      <c r="G2879" s="471"/>
      <c r="H2879" s="250"/>
      <c r="I2879" s="471"/>
    </row>
    <row r="2880" spans="1:9" ht="12.75">
      <c r="A2880" s="717"/>
      <c r="B2880" s="718"/>
      <c r="C2880" s="250"/>
      <c r="D2880" s="250"/>
      <c r="E2880" s="250"/>
      <c r="F2880" s="250"/>
      <c r="G2880" s="471"/>
      <c r="H2880" s="250"/>
      <c r="I2880" s="471"/>
    </row>
    <row r="2881" spans="1:9" ht="12.75">
      <c r="A2881" s="717"/>
      <c r="B2881" s="718"/>
      <c r="C2881" s="250"/>
      <c r="D2881" s="250"/>
      <c r="E2881" s="250"/>
      <c r="F2881" s="250"/>
      <c r="G2881" s="471"/>
      <c r="H2881" s="250"/>
      <c r="I2881" s="471"/>
    </row>
    <row r="2882" spans="1:9" ht="12.75">
      <c r="A2882" s="717"/>
      <c r="B2882" s="718"/>
      <c r="C2882" s="250"/>
      <c r="D2882" s="250"/>
      <c r="E2882" s="250"/>
      <c r="F2882" s="250"/>
      <c r="G2882" s="471"/>
      <c r="H2882" s="250"/>
      <c r="I2882" s="471"/>
    </row>
    <row r="2883" spans="1:9" ht="12.75">
      <c r="A2883" s="717"/>
      <c r="B2883" s="718"/>
      <c r="C2883" s="250"/>
      <c r="D2883" s="250"/>
      <c r="E2883" s="250"/>
      <c r="F2883" s="250"/>
      <c r="G2883" s="471"/>
      <c r="H2883" s="250"/>
      <c r="I2883" s="471"/>
    </row>
    <row r="2884" spans="1:9" ht="12.75">
      <c r="A2884" s="717"/>
      <c r="B2884" s="718"/>
      <c r="C2884" s="250"/>
      <c r="D2884" s="250"/>
      <c r="E2884" s="250"/>
      <c r="F2884" s="250"/>
      <c r="G2884" s="471"/>
      <c r="H2884" s="250"/>
      <c r="I2884" s="471"/>
    </row>
    <row r="2885" spans="1:9" ht="12.75">
      <c r="A2885" s="717"/>
      <c r="B2885" s="718"/>
      <c r="C2885" s="250"/>
      <c r="D2885" s="250"/>
      <c r="E2885" s="250"/>
      <c r="F2885" s="250"/>
      <c r="G2885" s="471"/>
      <c r="H2885" s="250"/>
      <c r="I2885" s="471"/>
    </row>
    <row r="2886" spans="1:9" ht="12.75">
      <c r="A2886" s="717"/>
      <c r="B2886" s="718"/>
      <c r="C2886" s="250"/>
      <c r="D2886" s="250"/>
      <c r="E2886" s="250"/>
      <c r="F2886" s="250"/>
      <c r="G2886" s="471"/>
      <c r="H2886" s="250"/>
      <c r="I2886" s="471"/>
    </row>
    <row r="2887" spans="1:9" ht="12.75">
      <c r="A2887" s="717"/>
      <c r="B2887" s="718"/>
      <c r="C2887" s="250"/>
      <c r="D2887" s="250"/>
      <c r="E2887" s="250"/>
      <c r="F2887" s="250"/>
      <c r="G2887" s="471"/>
      <c r="H2887" s="250"/>
      <c r="I2887" s="471"/>
    </row>
    <row r="2888" spans="1:9" ht="12.75">
      <c r="A2888" s="717"/>
      <c r="B2888" s="718"/>
      <c r="C2888" s="250"/>
      <c r="D2888" s="250"/>
      <c r="E2888" s="250"/>
      <c r="F2888" s="250"/>
      <c r="G2888" s="471"/>
      <c r="H2888" s="250"/>
      <c r="I2888" s="471"/>
    </row>
    <row r="2889" spans="1:9" ht="12.75">
      <c r="A2889" s="717"/>
      <c r="B2889" s="718"/>
      <c r="C2889" s="250"/>
      <c r="D2889" s="250"/>
      <c r="E2889" s="250"/>
      <c r="F2889" s="250"/>
      <c r="G2889" s="471"/>
      <c r="H2889" s="250"/>
      <c r="I2889" s="471"/>
    </row>
    <row r="2890" spans="1:9" ht="12.75">
      <c r="A2890" s="717"/>
      <c r="B2890" s="718"/>
      <c r="C2890" s="250"/>
      <c r="D2890" s="250"/>
      <c r="E2890" s="250"/>
      <c r="F2890" s="250"/>
      <c r="G2890" s="471"/>
      <c r="H2890" s="250"/>
      <c r="I2890" s="471"/>
    </row>
    <row r="2891" spans="1:9" ht="12.75">
      <c r="A2891" s="717"/>
      <c r="B2891" s="718"/>
      <c r="C2891" s="250"/>
      <c r="D2891" s="250"/>
      <c r="E2891" s="250"/>
      <c r="F2891" s="250"/>
      <c r="G2891" s="471"/>
      <c r="H2891" s="250"/>
      <c r="I2891" s="471"/>
    </row>
    <row r="2892" spans="1:9" ht="12.75">
      <c r="A2892" s="717"/>
      <c r="B2892" s="718"/>
      <c r="C2892" s="250"/>
      <c r="D2892" s="250"/>
      <c r="E2892" s="250"/>
      <c r="F2892" s="250"/>
      <c r="G2892" s="471"/>
      <c r="H2892" s="250"/>
      <c r="I2892" s="471"/>
    </row>
    <row r="2893" spans="1:9" ht="12.75">
      <c r="A2893" s="717"/>
      <c r="B2893" s="718"/>
      <c r="C2893" s="250"/>
      <c r="D2893" s="250"/>
      <c r="E2893" s="250"/>
      <c r="F2893" s="250"/>
      <c r="G2893" s="471"/>
      <c r="H2893" s="250"/>
      <c r="I2893" s="471"/>
    </row>
    <row r="2894" spans="1:9" ht="12.75">
      <c r="A2894" s="717"/>
      <c r="B2894" s="718"/>
      <c r="C2894" s="250"/>
      <c r="D2894" s="250"/>
      <c r="E2894" s="250"/>
      <c r="F2894" s="250"/>
      <c r="G2894" s="471"/>
      <c r="H2894" s="250"/>
      <c r="I2894" s="471"/>
    </row>
    <row r="2895" spans="1:9" ht="12.75">
      <c r="A2895" s="717"/>
      <c r="B2895" s="718"/>
      <c r="C2895" s="250"/>
      <c r="D2895" s="250"/>
      <c r="E2895" s="250"/>
      <c r="F2895" s="250"/>
      <c r="G2895" s="471"/>
      <c r="H2895" s="250"/>
      <c r="I2895" s="471"/>
    </row>
    <row r="2896" spans="1:9" ht="12.75">
      <c r="A2896" s="717"/>
      <c r="B2896" s="718"/>
      <c r="C2896" s="250"/>
      <c r="D2896" s="250"/>
      <c r="E2896" s="250"/>
      <c r="F2896" s="250"/>
      <c r="G2896" s="471"/>
      <c r="H2896" s="250"/>
      <c r="I2896" s="471"/>
    </row>
    <row r="2897" spans="1:9" ht="12.75">
      <c r="A2897" s="717"/>
      <c r="B2897" s="718"/>
      <c r="C2897" s="250"/>
      <c r="D2897" s="250"/>
      <c r="E2897" s="250"/>
      <c r="F2897" s="250"/>
      <c r="G2897" s="471"/>
      <c r="H2897" s="250"/>
      <c r="I2897" s="471"/>
    </row>
    <row r="2898" spans="1:9" ht="12.75">
      <c r="A2898" s="717"/>
      <c r="B2898" s="718"/>
      <c r="C2898" s="250"/>
      <c r="D2898" s="250"/>
      <c r="E2898" s="250"/>
      <c r="F2898" s="250"/>
      <c r="G2898" s="471"/>
      <c r="H2898" s="250"/>
      <c r="I2898" s="471"/>
    </row>
    <row r="2899" spans="1:9" ht="12.75">
      <c r="A2899" s="717"/>
      <c r="B2899" s="718"/>
      <c r="C2899" s="250"/>
      <c r="D2899" s="250"/>
      <c r="E2899" s="250"/>
      <c r="F2899" s="250"/>
      <c r="G2899" s="471"/>
      <c r="H2899" s="250"/>
      <c r="I2899" s="471"/>
    </row>
    <row r="2900" spans="1:9" ht="12.75">
      <c r="A2900" s="717"/>
      <c r="B2900" s="718"/>
      <c r="C2900" s="250"/>
      <c r="D2900" s="250"/>
      <c r="E2900" s="250"/>
      <c r="F2900" s="250"/>
      <c r="G2900" s="471"/>
      <c r="H2900" s="250"/>
      <c r="I2900" s="471"/>
    </row>
    <row r="2901" spans="1:9" ht="12.75">
      <c r="A2901" s="717"/>
      <c r="B2901" s="718"/>
      <c r="C2901" s="250"/>
      <c r="D2901" s="250"/>
      <c r="E2901" s="250"/>
      <c r="F2901" s="250"/>
      <c r="G2901" s="471"/>
      <c r="H2901" s="250"/>
      <c r="I2901" s="471"/>
    </row>
    <row r="2902" spans="1:9" ht="12.75">
      <c r="A2902" s="717"/>
      <c r="B2902" s="718"/>
      <c r="C2902" s="250"/>
      <c r="D2902" s="250"/>
      <c r="E2902" s="250"/>
      <c r="F2902" s="250"/>
      <c r="G2902" s="471"/>
      <c r="H2902" s="250"/>
      <c r="I2902" s="471"/>
    </row>
    <row r="2903" spans="1:9" ht="12.75">
      <c r="A2903" s="717"/>
      <c r="B2903" s="718"/>
      <c r="C2903" s="250"/>
      <c r="D2903" s="250"/>
      <c r="E2903" s="250"/>
      <c r="F2903" s="250"/>
      <c r="G2903" s="471"/>
      <c r="H2903" s="250"/>
      <c r="I2903" s="471"/>
    </row>
    <row r="2904" spans="1:9" ht="12.75">
      <c r="A2904" s="717"/>
      <c r="B2904" s="718"/>
      <c r="C2904" s="250"/>
      <c r="D2904" s="250"/>
      <c r="E2904" s="250"/>
      <c r="F2904" s="250"/>
      <c r="G2904" s="471"/>
      <c r="H2904" s="250"/>
      <c r="I2904" s="471"/>
    </row>
    <row r="2905" spans="1:9" ht="12.75">
      <c r="A2905" s="717"/>
      <c r="B2905" s="718"/>
      <c r="C2905" s="250"/>
      <c r="D2905" s="250"/>
      <c r="E2905" s="250"/>
      <c r="F2905" s="250"/>
      <c r="G2905" s="471"/>
      <c r="H2905" s="250"/>
      <c r="I2905" s="471"/>
    </row>
    <row r="2906" spans="1:9" ht="12.75">
      <c r="A2906" s="717"/>
      <c r="B2906" s="718"/>
      <c r="C2906" s="250"/>
      <c r="D2906" s="250"/>
      <c r="E2906" s="250"/>
      <c r="F2906" s="250"/>
      <c r="G2906" s="471"/>
      <c r="H2906" s="250"/>
      <c r="I2906" s="471"/>
    </row>
    <row r="2907" spans="1:9" ht="12.75">
      <c r="A2907" s="717"/>
      <c r="B2907" s="718"/>
      <c r="C2907" s="250"/>
      <c r="D2907" s="250"/>
      <c r="E2907" s="250"/>
      <c r="F2907" s="250"/>
      <c r="G2907" s="471"/>
      <c r="H2907" s="250"/>
      <c r="I2907" s="471"/>
    </row>
    <row r="2908" spans="1:9" ht="12.75">
      <c r="A2908" s="717"/>
      <c r="B2908" s="718"/>
      <c r="C2908" s="250"/>
      <c r="D2908" s="250"/>
      <c r="E2908" s="250"/>
      <c r="F2908" s="250"/>
      <c r="G2908" s="471"/>
      <c r="H2908" s="250"/>
      <c r="I2908" s="471"/>
    </row>
    <row r="2909" spans="1:9" ht="12.75">
      <c r="A2909" s="717"/>
      <c r="B2909" s="718"/>
      <c r="C2909" s="250"/>
      <c r="D2909" s="250"/>
      <c r="E2909" s="250"/>
      <c r="F2909" s="250"/>
      <c r="G2909" s="471"/>
      <c r="H2909" s="250"/>
      <c r="I2909" s="471"/>
    </row>
    <row r="2910" spans="1:9" ht="12.75">
      <c r="A2910" s="717"/>
      <c r="B2910" s="718"/>
      <c r="C2910" s="250"/>
      <c r="D2910" s="250"/>
      <c r="E2910" s="250"/>
      <c r="F2910" s="250"/>
      <c r="G2910" s="471"/>
      <c r="H2910" s="250"/>
      <c r="I2910" s="471"/>
    </row>
    <row r="2911" spans="1:9" ht="12.75">
      <c r="A2911" s="717"/>
      <c r="B2911" s="718"/>
      <c r="C2911" s="250"/>
      <c r="D2911" s="250"/>
      <c r="E2911" s="250"/>
      <c r="F2911" s="250"/>
      <c r="G2911" s="471"/>
      <c r="H2911" s="250"/>
      <c r="I2911" s="471"/>
    </row>
    <row r="2912" spans="1:9" ht="12.75">
      <c r="A2912" s="717"/>
      <c r="B2912" s="718"/>
      <c r="C2912" s="250"/>
      <c r="D2912" s="250"/>
      <c r="E2912" s="250"/>
      <c r="F2912" s="250"/>
      <c r="G2912" s="471"/>
      <c r="H2912" s="250"/>
      <c r="I2912" s="471"/>
    </row>
    <row r="2913" spans="1:9" ht="12.75">
      <c r="A2913" s="717"/>
      <c r="B2913" s="718"/>
      <c r="C2913" s="250"/>
      <c r="D2913" s="250"/>
      <c r="E2913" s="250"/>
      <c r="F2913" s="250"/>
      <c r="G2913" s="471"/>
      <c r="H2913" s="250"/>
      <c r="I2913" s="471"/>
    </row>
    <row r="2914" spans="1:9" ht="12.75">
      <c r="A2914" s="717"/>
      <c r="B2914" s="718"/>
      <c r="C2914" s="250"/>
      <c r="D2914" s="250"/>
      <c r="E2914" s="250"/>
      <c r="F2914" s="250"/>
      <c r="G2914" s="471"/>
      <c r="H2914" s="250"/>
      <c r="I2914" s="471"/>
    </row>
    <row r="2915" spans="1:9" ht="12.75">
      <c r="A2915" s="717"/>
      <c r="B2915" s="718"/>
      <c r="C2915" s="250"/>
      <c r="D2915" s="250"/>
      <c r="E2915" s="250"/>
      <c r="F2915" s="250"/>
      <c r="G2915" s="471"/>
      <c r="H2915" s="250"/>
      <c r="I2915" s="471"/>
    </row>
    <row r="2916" spans="1:9" ht="12.75">
      <c r="A2916" s="717"/>
      <c r="B2916" s="718"/>
      <c r="C2916" s="250"/>
      <c r="D2916" s="250"/>
      <c r="E2916" s="250"/>
      <c r="F2916" s="250"/>
      <c r="G2916" s="471"/>
      <c r="H2916" s="250"/>
      <c r="I2916" s="471"/>
    </row>
    <row r="2917" spans="1:9" ht="12.75">
      <c r="A2917" s="717"/>
      <c r="B2917" s="718"/>
      <c r="C2917" s="250"/>
      <c r="D2917" s="250"/>
      <c r="E2917" s="250"/>
      <c r="F2917" s="250"/>
      <c r="G2917" s="471"/>
      <c r="H2917" s="250"/>
      <c r="I2917" s="471"/>
    </row>
    <row r="2918" spans="1:9" ht="12.75">
      <c r="A2918" s="717"/>
      <c r="B2918" s="718"/>
      <c r="C2918" s="250"/>
      <c r="D2918" s="250"/>
      <c r="E2918" s="250"/>
      <c r="F2918" s="250"/>
      <c r="G2918" s="471"/>
      <c r="H2918" s="250"/>
      <c r="I2918" s="471"/>
    </row>
    <row r="2919" spans="1:9" ht="12.75">
      <c r="A2919" s="717"/>
      <c r="B2919" s="718"/>
      <c r="C2919" s="250"/>
      <c r="D2919" s="250"/>
      <c r="E2919" s="250"/>
      <c r="F2919" s="250"/>
      <c r="G2919" s="471"/>
      <c r="H2919" s="250"/>
      <c r="I2919" s="471"/>
    </row>
    <row r="2920" spans="1:9" ht="12.75">
      <c r="A2920" s="717"/>
      <c r="B2920" s="718"/>
      <c r="C2920" s="250"/>
      <c r="D2920" s="250"/>
      <c r="E2920" s="250"/>
      <c r="F2920" s="250"/>
      <c r="G2920" s="471"/>
      <c r="H2920" s="250"/>
      <c r="I2920" s="471"/>
    </row>
    <row r="2921" spans="1:9" ht="12.75">
      <c r="A2921" s="717"/>
      <c r="B2921" s="718"/>
      <c r="C2921" s="250"/>
      <c r="D2921" s="250"/>
      <c r="E2921" s="250"/>
      <c r="F2921" s="250"/>
      <c r="G2921" s="471"/>
      <c r="H2921" s="250"/>
      <c r="I2921" s="471"/>
    </row>
    <row r="2922" spans="1:9" ht="12.75">
      <c r="A2922" s="717"/>
      <c r="B2922" s="718"/>
      <c r="C2922" s="250"/>
      <c r="D2922" s="250"/>
      <c r="E2922" s="250"/>
      <c r="F2922" s="250"/>
      <c r="G2922" s="471"/>
      <c r="H2922" s="250"/>
      <c r="I2922" s="471"/>
    </row>
    <row r="2923" spans="1:9" ht="12.75">
      <c r="A2923" s="717"/>
      <c r="B2923" s="718"/>
      <c r="C2923" s="250"/>
      <c r="D2923" s="250"/>
      <c r="E2923" s="250"/>
      <c r="F2923" s="250"/>
      <c r="G2923" s="471"/>
      <c r="H2923" s="250"/>
      <c r="I2923" s="471"/>
    </row>
    <row r="2924" spans="1:9" ht="12.75">
      <c r="A2924" s="717"/>
      <c r="B2924" s="718"/>
      <c r="C2924" s="250"/>
      <c r="D2924" s="250"/>
      <c r="E2924" s="250"/>
      <c r="F2924" s="250"/>
      <c r="G2924" s="471"/>
      <c r="H2924" s="250"/>
      <c r="I2924" s="471"/>
    </row>
    <row r="2925" spans="1:9" ht="12.75">
      <c r="A2925" s="717"/>
      <c r="B2925" s="718"/>
      <c r="C2925" s="250"/>
      <c r="D2925" s="250"/>
      <c r="E2925" s="250"/>
      <c r="F2925" s="250"/>
      <c r="G2925" s="471"/>
      <c r="H2925" s="250"/>
      <c r="I2925" s="471"/>
    </row>
    <row r="2926" spans="1:9" ht="12.75">
      <c r="A2926" s="717"/>
      <c r="B2926" s="718"/>
      <c r="C2926" s="250"/>
      <c r="D2926" s="250"/>
      <c r="E2926" s="250"/>
      <c r="F2926" s="250"/>
      <c r="G2926" s="471"/>
      <c r="H2926" s="250"/>
      <c r="I2926" s="471"/>
    </row>
    <row r="2927" spans="1:9" ht="12.75">
      <c r="A2927" s="717"/>
      <c r="B2927" s="718"/>
      <c r="C2927" s="250"/>
      <c r="D2927" s="250"/>
      <c r="E2927" s="250"/>
      <c r="F2927" s="250"/>
      <c r="G2927" s="471"/>
      <c r="H2927" s="250"/>
      <c r="I2927" s="471"/>
    </row>
    <row r="2928" spans="1:9" ht="12.75">
      <c r="A2928" s="717"/>
      <c r="B2928" s="718"/>
      <c r="C2928" s="250"/>
      <c r="D2928" s="250"/>
      <c r="E2928" s="250"/>
      <c r="F2928" s="250"/>
      <c r="G2928" s="471"/>
      <c r="H2928" s="250"/>
      <c r="I2928" s="471"/>
    </row>
    <row r="2929" spans="1:9" ht="12.75">
      <c r="A2929" s="717"/>
      <c r="B2929" s="718"/>
      <c r="C2929" s="250"/>
      <c r="D2929" s="250"/>
      <c r="E2929" s="250"/>
      <c r="F2929" s="250"/>
      <c r="G2929" s="471"/>
      <c r="H2929" s="250"/>
      <c r="I2929" s="471"/>
    </row>
    <row r="2930" spans="1:9" ht="12.75">
      <c r="A2930" s="717"/>
      <c r="B2930" s="718"/>
      <c r="C2930" s="250"/>
      <c r="D2930" s="250"/>
      <c r="E2930" s="250"/>
      <c r="F2930" s="250"/>
      <c r="G2930" s="471"/>
      <c r="H2930" s="250"/>
      <c r="I2930" s="471"/>
    </row>
    <row r="2931" spans="1:9" ht="12.75">
      <c r="A2931" s="717"/>
      <c r="B2931" s="718"/>
      <c r="C2931" s="250"/>
      <c r="D2931" s="250"/>
      <c r="E2931" s="250"/>
      <c r="F2931" s="250"/>
      <c r="G2931" s="471"/>
      <c r="H2931" s="250"/>
      <c r="I2931" s="471"/>
    </row>
    <row r="2932" spans="1:9" ht="12.75">
      <c r="A2932" s="717"/>
      <c r="B2932" s="718"/>
      <c r="C2932" s="250"/>
      <c r="D2932" s="250"/>
      <c r="E2932" s="250"/>
      <c r="F2932" s="250"/>
      <c r="G2932" s="471"/>
      <c r="H2932" s="250"/>
      <c r="I2932" s="471"/>
    </row>
    <row r="2933" spans="1:9" ht="12.75">
      <c r="A2933" s="717"/>
      <c r="B2933" s="718"/>
      <c r="C2933" s="250"/>
      <c r="D2933" s="250"/>
      <c r="E2933" s="250"/>
      <c r="F2933" s="250"/>
      <c r="G2933" s="471"/>
      <c r="H2933" s="250"/>
      <c r="I2933" s="471"/>
    </row>
    <row r="2934" spans="1:9" ht="12.75">
      <c r="A2934" s="717"/>
      <c r="B2934" s="718"/>
      <c r="C2934" s="250"/>
      <c r="D2934" s="250"/>
      <c r="E2934" s="250"/>
      <c r="F2934" s="250"/>
      <c r="G2934" s="471"/>
      <c r="H2934" s="250"/>
      <c r="I2934" s="471"/>
    </row>
    <row r="2935" spans="1:9" ht="12.75">
      <c r="A2935" s="717"/>
      <c r="B2935" s="718"/>
      <c r="C2935" s="250"/>
      <c r="D2935" s="250"/>
      <c r="E2935" s="250"/>
      <c r="F2935" s="250"/>
      <c r="G2935" s="471"/>
      <c r="H2935" s="250"/>
      <c r="I2935" s="471"/>
    </row>
    <row r="2936" spans="1:9" ht="12.75">
      <c r="A2936" s="717"/>
      <c r="B2936" s="718"/>
      <c r="C2936" s="250"/>
      <c r="D2936" s="250"/>
      <c r="E2936" s="250"/>
      <c r="F2936" s="250"/>
      <c r="G2936" s="471"/>
      <c r="H2936" s="250"/>
      <c r="I2936" s="471"/>
    </row>
    <row r="2937" spans="1:9" ht="12.75">
      <c r="A2937" s="717"/>
      <c r="B2937" s="718"/>
      <c r="C2937" s="250"/>
      <c r="D2937" s="250"/>
      <c r="E2937" s="250"/>
      <c r="F2937" s="250"/>
      <c r="G2937" s="471"/>
      <c r="H2937" s="250"/>
      <c r="I2937" s="471"/>
    </row>
    <row r="2938" spans="1:9" ht="12.75">
      <c r="A2938" s="717"/>
      <c r="B2938" s="718"/>
      <c r="C2938" s="250"/>
      <c r="D2938" s="250"/>
      <c r="E2938" s="250"/>
      <c r="F2938" s="250"/>
      <c r="G2938" s="471"/>
      <c r="H2938" s="250"/>
      <c r="I2938" s="471"/>
    </row>
    <row r="2939" spans="1:9" ht="12.75">
      <c r="A2939" s="717"/>
      <c r="B2939" s="718"/>
      <c r="C2939" s="250"/>
      <c r="D2939" s="250"/>
      <c r="E2939" s="250"/>
      <c r="F2939" s="250"/>
      <c r="G2939" s="471"/>
      <c r="H2939" s="250"/>
      <c r="I2939" s="471"/>
    </row>
    <row r="2940" spans="1:9" ht="12.75">
      <c r="A2940" s="717"/>
      <c r="B2940" s="718"/>
      <c r="C2940" s="250"/>
      <c r="D2940" s="250"/>
      <c r="E2940" s="250"/>
      <c r="F2940" s="250"/>
      <c r="G2940" s="471"/>
      <c r="H2940" s="250"/>
      <c r="I2940" s="471"/>
    </row>
    <row r="2941" spans="1:9" ht="12.75">
      <c r="A2941" s="717"/>
      <c r="B2941" s="718"/>
      <c r="C2941" s="250"/>
      <c r="D2941" s="250"/>
      <c r="E2941" s="250"/>
      <c r="F2941" s="250"/>
      <c r="G2941" s="471"/>
      <c r="H2941" s="250"/>
      <c r="I2941" s="471"/>
    </row>
    <row r="2942" spans="1:9" ht="12.75">
      <c r="A2942" s="717"/>
      <c r="B2942" s="718"/>
      <c r="C2942" s="250"/>
      <c r="D2942" s="250"/>
      <c r="E2942" s="250"/>
      <c r="F2942" s="250"/>
      <c r="G2942" s="471"/>
      <c r="H2942" s="250"/>
      <c r="I2942" s="471"/>
    </row>
    <row r="2943" spans="1:9" ht="12.75">
      <c r="A2943" s="717"/>
      <c r="B2943" s="718"/>
      <c r="C2943" s="250"/>
      <c r="D2943" s="250"/>
      <c r="E2943" s="250"/>
      <c r="F2943" s="250"/>
      <c r="G2943" s="471"/>
      <c r="H2943" s="250"/>
      <c r="I2943" s="471"/>
    </row>
    <row r="2944" spans="1:9" ht="12.75">
      <c r="A2944" s="717"/>
      <c r="B2944" s="718"/>
      <c r="C2944" s="250"/>
      <c r="D2944" s="250"/>
      <c r="E2944" s="250"/>
      <c r="F2944" s="250"/>
      <c r="G2944" s="471"/>
      <c r="H2944" s="250"/>
      <c r="I2944" s="471"/>
    </row>
    <row r="2945" spans="1:9" ht="12.75">
      <c r="A2945" s="717"/>
      <c r="B2945" s="718"/>
      <c r="C2945" s="250"/>
      <c r="D2945" s="250"/>
      <c r="E2945" s="250"/>
      <c r="F2945" s="250"/>
      <c r="G2945" s="471"/>
      <c r="H2945" s="250"/>
      <c r="I2945" s="471"/>
    </row>
    <row r="2946" spans="1:9" ht="12.75">
      <c r="A2946" s="717"/>
      <c r="B2946" s="718"/>
      <c r="C2946" s="250"/>
      <c r="D2946" s="250"/>
      <c r="E2946" s="250"/>
      <c r="F2946" s="250"/>
      <c r="G2946" s="471"/>
      <c r="H2946" s="250"/>
      <c r="I2946" s="471"/>
    </row>
    <row r="2947" spans="1:9" ht="12.75">
      <c r="A2947" s="717"/>
      <c r="B2947" s="718"/>
      <c r="C2947" s="250"/>
      <c r="D2947" s="250"/>
      <c r="E2947" s="250"/>
      <c r="F2947" s="250"/>
      <c r="G2947" s="471"/>
      <c r="H2947" s="250"/>
      <c r="I2947" s="471"/>
    </row>
    <row r="2948" spans="1:9" ht="12.75">
      <c r="A2948" s="717"/>
      <c r="B2948" s="718"/>
      <c r="C2948" s="250"/>
      <c r="D2948" s="250"/>
      <c r="E2948" s="250"/>
      <c r="F2948" s="250"/>
      <c r="G2948" s="471"/>
      <c r="H2948" s="250"/>
      <c r="I2948" s="471"/>
    </row>
    <row r="2949" spans="1:9" ht="12.75">
      <c r="A2949" s="717"/>
      <c r="B2949" s="718"/>
      <c r="C2949" s="250"/>
      <c r="D2949" s="250"/>
      <c r="E2949" s="250"/>
      <c r="F2949" s="250"/>
      <c r="G2949" s="471"/>
      <c r="H2949" s="250"/>
      <c r="I2949" s="471"/>
    </row>
    <row r="2950" spans="1:9" ht="12.75">
      <c r="A2950" s="717"/>
      <c r="B2950" s="718"/>
      <c r="C2950" s="250"/>
      <c r="D2950" s="250"/>
      <c r="E2950" s="250"/>
      <c r="F2950" s="250"/>
      <c r="G2950" s="471"/>
      <c r="H2950" s="250"/>
      <c r="I2950" s="471"/>
    </row>
    <row r="2951" spans="1:9" ht="12.75">
      <c r="A2951" s="717"/>
      <c r="B2951" s="718"/>
      <c r="C2951" s="250"/>
      <c r="D2951" s="250"/>
      <c r="E2951" s="250"/>
      <c r="F2951" s="250"/>
      <c r="G2951" s="471"/>
      <c r="H2951" s="250"/>
      <c r="I2951" s="471"/>
    </row>
    <row r="2952" spans="1:9" ht="12.75">
      <c r="A2952" s="717"/>
      <c r="B2952" s="718"/>
      <c r="C2952" s="250"/>
      <c r="D2952" s="250"/>
      <c r="E2952" s="250"/>
      <c r="F2952" s="250"/>
      <c r="G2952" s="471"/>
      <c r="H2952" s="250"/>
      <c r="I2952" s="471"/>
    </row>
    <row r="2953" spans="1:9" ht="12.75">
      <c r="A2953" s="717"/>
      <c r="B2953" s="718"/>
      <c r="C2953" s="250"/>
      <c r="D2953" s="250"/>
      <c r="E2953" s="250"/>
      <c r="F2953" s="250"/>
      <c r="G2953" s="471"/>
      <c r="H2953" s="250"/>
      <c r="I2953" s="471"/>
    </row>
    <row r="2954" spans="1:9" ht="12.75">
      <c r="A2954" s="717"/>
      <c r="B2954" s="718"/>
      <c r="C2954" s="250"/>
      <c r="D2954" s="250"/>
      <c r="E2954" s="250"/>
      <c r="F2954" s="250"/>
      <c r="G2954" s="471"/>
      <c r="H2954" s="250"/>
      <c r="I2954" s="471"/>
    </row>
    <row r="2955" spans="1:9" ht="12.75">
      <c r="A2955" s="717"/>
      <c r="B2955" s="718"/>
      <c r="C2955" s="250"/>
      <c r="D2955" s="250"/>
      <c r="E2955" s="250"/>
      <c r="F2955" s="250"/>
      <c r="G2955" s="471"/>
      <c r="H2955" s="250"/>
      <c r="I2955" s="471"/>
    </row>
    <row r="2956" spans="1:9" ht="12.75">
      <c r="A2956" s="717"/>
      <c r="B2956" s="718"/>
      <c r="C2956" s="250"/>
      <c r="D2956" s="250"/>
      <c r="E2956" s="250"/>
      <c r="F2956" s="250"/>
      <c r="G2956" s="471"/>
      <c r="H2956" s="250"/>
      <c r="I2956" s="471"/>
    </row>
    <row r="2957" spans="1:9" ht="12.75">
      <c r="A2957" s="717"/>
      <c r="B2957" s="718"/>
      <c r="C2957" s="250"/>
      <c r="D2957" s="250"/>
      <c r="E2957" s="250"/>
      <c r="F2957" s="250"/>
      <c r="G2957" s="471"/>
      <c r="H2957" s="250"/>
      <c r="I2957" s="471"/>
    </row>
    <row r="2958" spans="1:9" ht="12.75">
      <c r="A2958" s="717"/>
      <c r="B2958" s="718"/>
      <c r="C2958" s="250"/>
      <c r="D2958" s="250"/>
      <c r="E2958" s="250"/>
      <c r="F2958" s="250"/>
      <c r="G2958" s="471"/>
      <c r="H2958" s="250"/>
      <c r="I2958" s="471"/>
    </row>
    <row r="2959" spans="1:9" ht="12.75">
      <c r="A2959" s="717"/>
      <c r="B2959" s="718"/>
      <c r="C2959" s="250"/>
      <c r="D2959" s="250"/>
      <c r="E2959" s="250"/>
      <c r="F2959" s="250"/>
      <c r="G2959" s="471"/>
      <c r="H2959" s="250"/>
      <c r="I2959" s="471"/>
    </row>
    <row r="2960" spans="1:9" ht="12.75">
      <c r="A2960" s="717"/>
      <c r="B2960" s="718"/>
      <c r="C2960" s="250"/>
      <c r="D2960" s="250"/>
      <c r="E2960" s="250"/>
      <c r="F2960" s="250"/>
      <c r="G2960" s="471"/>
      <c r="H2960" s="250"/>
      <c r="I2960" s="471"/>
    </row>
    <row r="2961" spans="1:9" ht="12.75">
      <c r="A2961" s="717"/>
      <c r="B2961" s="718"/>
      <c r="C2961" s="250"/>
      <c r="D2961" s="250"/>
      <c r="E2961" s="250"/>
      <c r="F2961" s="250"/>
      <c r="G2961" s="471"/>
      <c r="H2961" s="250"/>
      <c r="I2961" s="471"/>
    </row>
    <row r="2962" spans="1:9" ht="12.75">
      <c r="A2962" s="717"/>
      <c r="B2962" s="718"/>
      <c r="C2962" s="250"/>
      <c r="D2962" s="250"/>
      <c r="E2962" s="250"/>
      <c r="F2962" s="250"/>
      <c r="G2962" s="471"/>
      <c r="H2962" s="250"/>
      <c r="I2962" s="471"/>
    </row>
    <row r="2963" spans="1:9" ht="12.75">
      <c r="A2963" s="717"/>
      <c r="B2963" s="718"/>
      <c r="C2963" s="250"/>
      <c r="D2963" s="250"/>
      <c r="E2963" s="250"/>
      <c r="F2963" s="250"/>
      <c r="G2963" s="471"/>
      <c r="H2963" s="250"/>
      <c r="I2963" s="471"/>
    </row>
    <row r="2964" spans="1:9" ht="12.75">
      <c r="A2964" s="717"/>
      <c r="B2964" s="718"/>
      <c r="C2964" s="250"/>
      <c r="D2964" s="250"/>
      <c r="E2964" s="250"/>
      <c r="F2964" s="250"/>
      <c r="G2964" s="471"/>
      <c r="H2964" s="250"/>
      <c r="I2964" s="471"/>
    </row>
    <row r="2965" spans="1:9" ht="12.75">
      <c r="A2965" s="717"/>
      <c r="B2965" s="718"/>
      <c r="C2965" s="250"/>
      <c r="D2965" s="250"/>
      <c r="E2965" s="250"/>
      <c r="F2965" s="250"/>
      <c r="G2965" s="471"/>
      <c r="H2965" s="250"/>
      <c r="I2965" s="471"/>
    </row>
    <row r="2966" spans="1:9" ht="12.75">
      <c r="A2966" s="717"/>
      <c r="B2966" s="718"/>
      <c r="C2966" s="250"/>
      <c r="D2966" s="250"/>
      <c r="E2966" s="250"/>
      <c r="F2966" s="250"/>
      <c r="G2966" s="471"/>
      <c r="H2966" s="250"/>
      <c r="I2966" s="471"/>
    </row>
    <row r="2967" spans="1:9" ht="12.75">
      <c r="A2967" s="717"/>
      <c r="B2967" s="718"/>
      <c r="C2967" s="250"/>
      <c r="D2967" s="250"/>
      <c r="E2967" s="250"/>
      <c r="F2967" s="250"/>
      <c r="G2967" s="471"/>
      <c r="H2967" s="250"/>
      <c r="I2967" s="471"/>
    </row>
    <row r="2968" spans="1:9" ht="12.75">
      <c r="A2968" s="717"/>
      <c r="B2968" s="718"/>
      <c r="C2968" s="250"/>
      <c r="D2968" s="250"/>
      <c r="E2968" s="250"/>
      <c r="F2968" s="250"/>
      <c r="G2968" s="471"/>
      <c r="H2968" s="250"/>
      <c r="I2968" s="471"/>
    </row>
    <row r="2969" spans="1:9" ht="12.75">
      <c r="A2969" s="717"/>
      <c r="B2969" s="718"/>
      <c r="C2969" s="250"/>
      <c r="D2969" s="250"/>
      <c r="E2969" s="250"/>
      <c r="F2969" s="250"/>
      <c r="G2969" s="471"/>
      <c r="H2969" s="250"/>
      <c r="I2969" s="471"/>
    </row>
    <row r="2970" spans="1:9" ht="12.75">
      <c r="A2970" s="717"/>
      <c r="B2970" s="718"/>
      <c r="C2970" s="250"/>
      <c r="D2970" s="250"/>
      <c r="E2970" s="250"/>
      <c r="F2970" s="250"/>
      <c r="G2970" s="471"/>
      <c r="H2970" s="250"/>
      <c r="I2970" s="471"/>
    </row>
    <row r="2971" spans="1:9" ht="12.75">
      <c r="A2971" s="717"/>
      <c r="B2971" s="718"/>
      <c r="C2971" s="250"/>
      <c r="D2971" s="250"/>
      <c r="E2971" s="250"/>
      <c r="F2971" s="250"/>
      <c r="G2971" s="471"/>
      <c r="H2971" s="250"/>
      <c r="I2971" s="471"/>
    </row>
    <row r="2972" spans="1:9" ht="12.75">
      <c r="A2972" s="717"/>
      <c r="B2972" s="718"/>
      <c r="C2972" s="250"/>
      <c r="D2972" s="250"/>
      <c r="E2972" s="250"/>
      <c r="F2972" s="250"/>
      <c r="G2972" s="471"/>
      <c r="H2972" s="250"/>
      <c r="I2972" s="471"/>
    </row>
    <row r="2973" spans="1:9" ht="12.75">
      <c r="A2973" s="717"/>
      <c r="B2973" s="718"/>
      <c r="C2973" s="250"/>
      <c r="D2973" s="250"/>
      <c r="E2973" s="250"/>
      <c r="F2973" s="250"/>
      <c r="G2973" s="471"/>
      <c r="H2973" s="250"/>
      <c r="I2973" s="471"/>
    </row>
    <row r="2974" spans="1:9" ht="12.75">
      <c r="A2974" s="717"/>
      <c r="B2974" s="718"/>
      <c r="C2974" s="250"/>
      <c r="D2974" s="250"/>
      <c r="E2974" s="250"/>
      <c r="F2974" s="250"/>
      <c r="G2974" s="471"/>
      <c r="H2974" s="250"/>
      <c r="I2974" s="471"/>
    </row>
    <row r="2975" spans="1:9" ht="12.75">
      <c r="A2975" s="717"/>
      <c r="B2975" s="718"/>
      <c r="C2975" s="250"/>
      <c r="D2975" s="250"/>
      <c r="E2975" s="250"/>
      <c r="F2975" s="250"/>
      <c r="G2975" s="471"/>
      <c r="H2975" s="250"/>
      <c r="I2975" s="471"/>
    </row>
    <row r="2976" spans="1:9" ht="12.75">
      <c r="A2976" s="717"/>
      <c r="B2976" s="718"/>
      <c r="C2976" s="250"/>
      <c r="D2976" s="250"/>
      <c r="E2976" s="250"/>
      <c r="F2976" s="250"/>
      <c r="G2976" s="471"/>
      <c r="H2976" s="250"/>
      <c r="I2976" s="471"/>
    </row>
    <row r="2977" spans="1:9" ht="12.75">
      <c r="A2977" s="717"/>
      <c r="B2977" s="718"/>
      <c r="C2977" s="250"/>
      <c r="D2977" s="250"/>
      <c r="E2977" s="250"/>
      <c r="F2977" s="250"/>
      <c r="G2977" s="471"/>
      <c r="H2977" s="250"/>
      <c r="I2977" s="471"/>
    </row>
    <row r="2978" spans="1:9" ht="12.75">
      <c r="A2978" s="717"/>
      <c r="B2978" s="718"/>
      <c r="C2978" s="250"/>
      <c r="D2978" s="250"/>
      <c r="E2978" s="250"/>
      <c r="F2978" s="250"/>
      <c r="G2978" s="471"/>
      <c r="H2978" s="250"/>
      <c r="I2978" s="471"/>
    </row>
    <row r="2979" spans="1:9" ht="12.75">
      <c r="A2979" s="717"/>
      <c r="B2979" s="718"/>
      <c r="C2979" s="250"/>
      <c r="D2979" s="250"/>
      <c r="E2979" s="250"/>
      <c r="F2979" s="250"/>
      <c r="G2979" s="471"/>
      <c r="H2979" s="250"/>
      <c r="I2979" s="471"/>
    </row>
    <row r="2980" spans="1:9" ht="12.75">
      <c r="A2980" s="717"/>
      <c r="B2980" s="718"/>
      <c r="C2980" s="250"/>
      <c r="D2980" s="250"/>
      <c r="E2980" s="250"/>
      <c r="F2980" s="250"/>
      <c r="G2980" s="471"/>
      <c r="H2980" s="250"/>
      <c r="I2980" s="471"/>
    </row>
    <row r="2981" spans="1:9" ht="12.75">
      <c r="A2981" s="717"/>
      <c r="B2981" s="718"/>
      <c r="C2981" s="250"/>
      <c r="D2981" s="250"/>
      <c r="E2981" s="250"/>
      <c r="F2981" s="250"/>
      <c r="G2981" s="471"/>
      <c r="H2981" s="250"/>
      <c r="I2981" s="471"/>
    </row>
    <row r="2982" spans="1:9" ht="12.75">
      <c r="A2982" s="717"/>
      <c r="B2982" s="718"/>
      <c r="C2982" s="250"/>
      <c r="D2982" s="250"/>
      <c r="E2982" s="250"/>
      <c r="F2982" s="250"/>
      <c r="G2982" s="471"/>
      <c r="H2982" s="250"/>
      <c r="I2982" s="471"/>
    </row>
    <row r="2983" spans="1:9" ht="12.75">
      <c r="A2983" s="717"/>
      <c r="B2983" s="718"/>
      <c r="C2983" s="250"/>
      <c r="D2983" s="250"/>
      <c r="E2983" s="250"/>
      <c r="F2983" s="250"/>
      <c r="G2983" s="471"/>
      <c r="H2983" s="250"/>
      <c r="I2983" s="471"/>
    </row>
    <row r="2984" spans="1:9" ht="12.75">
      <c r="A2984" s="717"/>
      <c r="B2984" s="718"/>
      <c r="C2984" s="250"/>
      <c r="D2984" s="250"/>
      <c r="E2984" s="250"/>
      <c r="F2984" s="250"/>
      <c r="G2984" s="471"/>
      <c r="H2984" s="250"/>
      <c r="I2984" s="471"/>
    </row>
    <row r="2985" spans="1:9" ht="12.75">
      <c r="A2985" s="717"/>
      <c r="B2985" s="718"/>
      <c r="C2985" s="250"/>
      <c r="D2985" s="250"/>
      <c r="E2985" s="250"/>
      <c r="F2985" s="250"/>
      <c r="G2985" s="471"/>
      <c r="H2985" s="250"/>
      <c r="I2985" s="471"/>
    </row>
    <row r="2986" spans="1:9" ht="12.75">
      <c r="A2986" s="717"/>
      <c r="B2986" s="718"/>
      <c r="C2986" s="250"/>
      <c r="D2986" s="250"/>
      <c r="E2986" s="250"/>
      <c r="F2986" s="250"/>
      <c r="G2986" s="471"/>
      <c r="H2986" s="250"/>
      <c r="I2986" s="471"/>
    </row>
    <row r="2987" spans="1:9" ht="12.75">
      <c r="A2987" s="717"/>
      <c r="B2987" s="718"/>
      <c r="C2987" s="250"/>
      <c r="D2987" s="250"/>
      <c r="E2987" s="250"/>
      <c r="F2987" s="250"/>
      <c r="G2987" s="471"/>
      <c r="H2987" s="250"/>
      <c r="I2987" s="471"/>
    </row>
    <row r="2988" spans="1:9" ht="12.75">
      <c r="A2988" s="717"/>
      <c r="B2988" s="718"/>
      <c r="C2988" s="250"/>
      <c r="D2988" s="250"/>
      <c r="E2988" s="250"/>
      <c r="F2988" s="250"/>
      <c r="G2988" s="471"/>
      <c r="H2988" s="250"/>
      <c r="I2988" s="471"/>
    </row>
    <row r="2989" spans="1:9" ht="12.75">
      <c r="A2989" s="717"/>
      <c r="B2989" s="718"/>
      <c r="C2989" s="250"/>
      <c r="D2989" s="250"/>
      <c r="E2989" s="250"/>
      <c r="F2989" s="250"/>
      <c r="G2989" s="471"/>
      <c r="H2989" s="250"/>
      <c r="I2989" s="471"/>
    </row>
    <row r="2990" spans="1:9" ht="12.75">
      <c r="A2990" s="717"/>
      <c r="B2990" s="718"/>
      <c r="C2990" s="250"/>
      <c r="D2990" s="250"/>
      <c r="E2990" s="250"/>
      <c r="F2990" s="250"/>
      <c r="G2990" s="471"/>
      <c r="H2990" s="250"/>
      <c r="I2990" s="471"/>
    </row>
    <row r="2991" spans="1:9" ht="12.75">
      <c r="A2991" s="717"/>
      <c r="B2991" s="718"/>
      <c r="C2991" s="250"/>
      <c r="D2991" s="250"/>
      <c r="E2991" s="250"/>
      <c r="F2991" s="250"/>
      <c r="G2991" s="471"/>
      <c r="H2991" s="250"/>
      <c r="I2991" s="471"/>
    </row>
    <row r="2992" spans="1:9" ht="12.75">
      <c r="A2992" s="717"/>
      <c r="B2992" s="718"/>
      <c r="C2992" s="250"/>
      <c r="D2992" s="250"/>
      <c r="E2992" s="250"/>
      <c r="F2992" s="250"/>
      <c r="G2992" s="471"/>
      <c r="H2992" s="250"/>
      <c r="I2992" s="471"/>
    </row>
    <row r="2993" spans="1:9" ht="12.75">
      <c r="A2993" s="717"/>
      <c r="B2993" s="718"/>
      <c r="C2993" s="250"/>
      <c r="D2993" s="250"/>
      <c r="E2993" s="250"/>
      <c r="F2993" s="250"/>
      <c r="G2993" s="471"/>
      <c r="H2993" s="250"/>
      <c r="I2993" s="471"/>
    </row>
    <row r="2994" spans="1:9" ht="12.75">
      <c r="A2994" s="717"/>
      <c r="B2994" s="718"/>
      <c r="C2994" s="250"/>
      <c r="D2994" s="250"/>
      <c r="E2994" s="250"/>
      <c r="F2994" s="250"/>
      <c r="G2994" s="471"/>
      <c r="H2994" s="250"/>
      <c r="I2994" s="471"/>
    </row>
    <row r="2995" spans="1:9" ht="12.75">
      <c r="A2995" s="717"/>
      <c r="B2995" s="718"/>
      <c r="C2995" s="250"/>
      <c r="D2995" s="250"/>
      <c r="E2995" s="250"/>
      <c r="F2995" s="250"/>
      <c r="G2995" s="471"/>
      <c r="H2995" s="250"/>
      <c r="I2995" s="471"/>
    </row>
    <row r="2996" spans="1:9" ht="12.75">
      <c r="A2996" s="717"/>
      <c r="B2996" s="718"/>
      <c r="C2996" s="250"/>
      <c r="D2996" s="250"/>
      <c r="E2996" s="250"/>
      <c r="F2996" s="250"/>
      <c r="G2996" s="471"/>
      <c r="H2996" s="250"/>
      <c r="I2996" s="471"/>
    </row>
    <row r="2997" spans="1:9" ht="12.75">
      <c r="A2997" s="717"/>
      <c r="B2997" s="718"/>
      <c r="C2997" s="250"/>
      <c r="D2997" s="250"/>
      <c r="E2997" s="250"/>
      <c r="F2997" s="250"/>
      <c r="G2997" s="471"/>
      <c r="H2997" s="250"/>
      <c r="I2997" s="471"/>
    </row>
    <row r="2998" spans="1:9" ht="12.75">
      <c r="A2998" s="717"/>
      <c r="B2998" s="718"/>
      <c r="C2998" s="250"/>
      <c r="D2998" s="250"/>
      <c r="E2998" s="250"/>
      <c r="F2998" s="250"/>
      <c r="G2998" s="471"/>
      <c r="H2998" s="250"/>
      <c r="I2998" s="471"/>
    </row>
    <row r="2999" spans="1:9" ht="12.75">
      <c r="A2999" s="717"/>
      <c r="B2999" s="718"/>
      <c r="C2999" s="250"/>
      <c r="D2999" s="250"/>
      <c r="E2999" s="250"/>
      <c r="F2999" s="250"/>
      <c r="G2999" s="471"/>
      <c r="H2999" s="250"/>
      <c r="I2999" s="471"/>
    </row>
    <row r="3000" spans="1:9" ht="12.75">
      <c r="A3000" s="717"/>
      <c r="B3000" s="718"/>
      <c r="C3000" s="250"/>
      <c r="D3000" s="250"/>
      <c r="E3000" s="250"/>
      <c r="F3000" s="250"/>
      <c r="G3000" s="471"/>
      <c r="H3000" s="250"/>
      <c r="I3000" s="471"/>
    </row>
    <row r="3001" spans="1:9" ht="12.75">
      <c r="A3001" s="717"/>
      <c r="B3001" s="718"/>
      <c r="C3001" s="250"/>
      <c r="D3001" s="250"/>
      <c r="E3001" s="250"/>
      <c r="F3001" s="250"/>
      <c r="G3001" s="471"/>
      <c r="H3001" s="250"/>
      <c r="I3001" s="471"/>
    </row>
    <row r="3002" spans="1:9" ht="12.75">
      <c r="A3002" s="717"/>
      <c r="B3002" s="718"/>
      <c r="C3002" s="250"/>
      <c r="D3002" s="250"/>
      <c r="E3002" s="250"/>
      <c r="F3002" s="250"/>
      <c r="G3002" s="471"/>
      <c r="H3002" s="250"/>
      <c r="I3002" s="471"/>
    </row>
    <row r="3003" spans="1:9" ht="12.75">
      <c r="A3003" s="717"/>
      <c r="B3003" s="718"/>
      <c r="C3003" s="250"/>
      <c r="D3003" s="250"/>
      <c r="E3003" s="250"/>
      <c r="F3003" s="250"/>
      <c r="G3003" s="471"/>
      <c r="H3003" s="250"/>
      <c r="I3003" s="471"/>
    </row>
    <row r="3004" spans="1:9" ht="12.75">
      <c r="A3004" s="717"/>
      <c r="B3004" s="718"/>
      <c r="C3004" s="250"/>
      <c r="D3004" s="250"/>
      <c r="E3004" s="250"/>
      <c r="F3004" s="250"/>
      <c r="G3004" s="471"/>
      <c r="H3004" s="250"/>
      <c r="I3004" s="471"/>
    </row>
    <row r="3005" spans="1:9" ht="12.75">
      <c r="A3005" s="717"/>
      <c r="B3005" s="718"/>
      <c r="C3005" s="250"/>
      <c r="D3005" s="250"/>
      <c r="E3005" s="250"/>
      <c r="F3005" s="250"/>
      <c r="G3005" s="471"/>
      <c r="H3005" s="250"/>
      <c r="I3005" s="471"/>
    </row>
    <row r="3006" spans="1:9" ht="12.75">
      <c r="A3006" s="717"/>
      <c r="B3006" s="718"/>
      <c r="C3006" s="250"/>
      <c r="D3006" s="250"/>
      <c r="E3006" s="250"/>
      <c r="F3006" s="250"/>
      <c r="G3006" s="471"/>
      <c r="H3006" s="250"/>
      <c r="I3006" s="471"/>
    </row>
    <row r="3007" spans="1:9" ht="12.75">
      <c r="A3007" s="717"/>
      <c r="B3007" s="718"/>
      <c r="C3007" s="250"/>
      <c r="D3007" s="250"/>
      <c r="E3007" s="250"/>
      <c r="F3007" s="250"/>
      <c r="G3007" s="471"/>
      <c r="H3007" s="250"/>
      <c r="I3007" s="471"/>
    </row>
    <row r="3008" spans="1:9" ht="12.75">
      <c r="A3008" s="717"/>
      <c r="B3008" s="718"/>
      <c r="C3008" s="250"/>
      <c r="D3008" s="250"/>
      <c r="E3008" s="250"/>
      <c r="F3008" s="250"/>
      <c r="G3008" s="471"/>
      <c r="H3008" s="250"/>
      <c r="I3008" s="471"/>
    </row>
    <row r="3009" spans="1:9" ht="12.75">
      <c r="A3009" s="717"/>
      <c r="B3009" s="718"/>
      <c r="C3009" s="250"/>
      <c r="D3009" s="250"/>
      <c r="E3009" s="250"/>
      <c r="F3009" s="250"/>
      <c r="G3009" s="471"/>
      <c r="H3009" s="250"/>
      <c r="I3009" s="471"/>
    </row>
    <row r="3010" spans="1:9" ht="12.75">
      <c r="A3010" s="717"/>
      <c r="B3010" s="718"/>
      <c r="C3010" s="250"/>
      <c r="D3010" s="250"/>
      <c r="E3010" s="250"/>
      <c r="F3010" s="250"/>
      <c r="G3010" s="471"/>
      <c r="H3010" s="250"/>
      <c r="I3010" s="471"/>
    </row>
    <row r="3011" spans="1:9" ht="12.75">
      <c r="A3011" s="717"/>
      <c r="B3011" s="718"/>
      <c r="C3011" s="250"/>
      <c r="D3011" s="250"/>
      <c r="E3011" s="250"/>
      <c r="F3011" s="250"/>
      <c r="G3011" s="471"/>
      <c r="H3011" s="250"/>
      <c r="I3011" s="471"/>
    </row>
    <row r="3012" spans="1:9" ht="12.75">
      <c r="A3012" s="717"/>
      <c r="B3012" s="718"/>
      <c r="C3012" s="250"/>
      <c r="D3012" s="250"/>
      <c r="E3012" s="250"/>
      <c r="F3012" s="250"/>
      <c r="G3012" s="471"/>
      <c r="H3012" s="250"/>
      <c r="I3012" s="471"/>
    </row>
    <row r="3013" spans="1:9" ht="12.75">
      <c r="A3013" s="717"/>
      <c r="B3013" s="718"/>
      <c r="C3013" s="250"/>
      <c r="D3013" s="250"/>
      <c r="E3013" s="250"/>
      <c r="F3013" s="250"/>
      <c r="G3013" s="471"/>
      <c r="H3013" s="250"/>
      <c r="I3013" s="471"/>
    </row>
    <row r="3014" spans="1:9" ht="12.75">
      <c r="A3014" s="717"/>
      <c r="B3014" s="718"/>
      <c r="C3014" s="250"/>
      <c r="D3014" s="250"/>
      <c r="E3014" s="250"/>
      <c r="F3014" s="250"/>
      <c r="G3014" s="471"/>
      <c r="H3014" s="250"/>
      <c r="I3014" s="471"/>
    </row>
    <row r="3015" spans="1:9" ht="12.75">
      <c r="A3015" s="717"/>
      <c r="B3015" s="718"/>
      <c r="C3015" s="250"/>
      <c r="D3015" s="250"/>
      <c r="E3015" s="250"/>
      <c r="F3015" s="250"/>
      <c r="G3015" s="471"/>
      <c r="H3015" s="250"/>
      <c r="I3015" s="471"/>
    </row>
    <row r="3016" spans="1:9" ht="12.75">
      <c r="A3016" s="717"/>
      <c r="B3016" s="718"/>
      <c r="C3016" s="250"/>
      <c r="D3016" s="250"/>
      <c r="E3016" s="250"/>
      <c r="F3016" s="250"/>
      <c r="G3016" s="471"/>
      <c r="H3016" s="250"/>
      <c r="I3016" s="471"/>
    </row>
    <row r="3017" spans="1:9" ht="12.75">
      <c r="A3017" s="717"/>
      <c r="B3017" s="718"/>
      <c r="C3017" s="250"/>
      <c r="D3017" s="250"/>
      <c r="E3017" s="250"/>
      <c r="F3017" s="250"/>
      <c r="G3017" s="471"/>
      <c r="H3017" s="250"/>
      <c r="I3017" s="471"/>
    </row>
    <row r="3018" spans="1:9" ht="12.75">
      <c r="A3018" s="717"/>
      <c r="B3018" s="718"/>
      <c r="C3018" s="250"/>
      <c r="D3018" s="250"/>
      <c r="E3018" s="250"/>
      <c r="F3018" s="250"/>
      <c r="G3018" s="471"/>
      <c r="H3018" s="250"/>
      <c r="I3018" s="471"/>
    </row>
    <row r="3019" spans="1:9" ht="12.75">
      <c r="A3019" s="717"/>
      <c r="B3019" s="718"/>
      <c r="C3019" s="250"/>
      <c r="D3019" s="250"/>
      <c r="E3019" s="250"/>
      <c r="F3019" s="250"/>
      <c r="G3019" s="471"/>
      <c r="H3019" s="250"/>
      <c r="I3019" s="471"/>
    </row>
    <row r="3020" spans="1:9" ht="12.75">
      <c r="A3020" s="717"/>
      <c r="B3020" s="718"/>
      <c r="C3020" s="250"/>
      <c r="D3020" s="250"/>
      <c r="E3020" s="250"/>
      <c r="F3020" s="250"/>
      <c r="G3020" s="471"/>
      <c r="H3020" s="250"/>
      <c r="I3020" s="471"/>
    </row>
    <row r="3021" spans="1:9" ht="12.75">
      <c r="A3021" s="717"/>
      <c r="B3021" s="718"/>
      <c r="C3021" s="250"/>
      <c r="D3021" s="250"/>
      <c r="E3021" s="250"/>
      <c r="F3021" s="250"/>
      <c r="G3021" s="471"/>
      <c r="H3021" s="250"/>
      <c r="I3021" s="471"/>
    </row>
    <row r="3022" spans="1:9" ht="12.75">
      <c r="A3022" s="717"/>
      <c r="B3022" s="718"/>
      <c r="C3022" s="250"/>
      <c r="D3022" s="250"/>
      <c r="E3022" s="250"/>
      <c r="F3022" s="250"/>
      <c r="G3022" s="471"/>
      <c r="H3022" s="250"/>
      <c r="I3022" s="471"/>
    </row>
    <row r="3023" spans="1:9" ht="12.75">
      <c r="A3023" s="717"/>
      <c r="B3023" s="718"/>
      <c r="C3023" s="250"/>
      <c r="D3023" s="250"/>
      <c r="E3023" s="250"/>
      <c r="F3023" s="250"/>
      <c r="G3023" s="471"/>
      <c r="H3023" s="250"/>
      <c r="I3023" s="471"/>
    </row>
    <row r="3024" spans="1:9" ht="12.75">
      <c r="A3024" s="717"/>
      <c r="B3024" s="718"/>
      <c r="C3024" s="250"/>
      <c r="D3024" s="250"/>
      <c r="E3024" s="250"/>
      <c r="F3024" s="250"/>
      <c r="G3024" s="471"/>
      <c r="H3024" s="250"/>
      <c r="I3024" s="471"/>
    </row>
    <row r="3025" spans="1:9" ht="12.75">
      <c r="A3025" s="717"/>
      <c r="B3025" s="718"/>
      <c r="C3025" s="250"/>
      <c r="D3025" s="250"/>
      <c r="E3025" s="250"/>
      <c r="F3025" s="250"/>
      <c r="G3025" s="471"/>
      <c r="H3025" s="250"/>
      <c r="I3025" s="471"/>
    </row>
    <row r="3026" spans="1:9" ht="12.75">
      <c r="A3026" s="717"/>
      <c r="B3026" s="718"/>
      <c r="C3026" s="250"/>
      <c r="D3026" s="250"/>
      <c r="E3026" s="250"/>
      <c r="F3026" s="250"/>
      <c r="G3026" s="471"/>
      <c r="H3026" s="250"/>
      <c r="I3026" s="471"/>
    </row>
    <row r="3027" spans="1:9" ht="12.75">
      <c r="A3027" s="717"/>
      <c r="B3027" s="718"/>
      <c r="C3027" s="250"/>
      <c r="D3027" s="250"/>
      <c r="E3027" s="250"/>
      <c r="F3027" s="250"/>
      <c r="G3027" s="471"/>
      <c r="H3027" s="250"/>
      <c r="I3027" s="471"/>
    </row>
    <row r="3028" spans="1:9" ht="12.75">
      <c r="A3028" s="717"/>
      <c r="B3028" s="718"/>
      <c r="C3028" s="250"/>
      <c r="D3028" s="250"/>
      <c r="E3028" s="250"/>
      <c r="F3028" s="250"/>
      <c r="G3028" s="471"/>
      <c r="H3028" s="250"/>
      <c r="I3028" s="471"/>
    </row>
    <row r="3029" spans="1:9" ht="12.75">
      <c r="A3029" s="717"/>
      <c r="B3029" s="718"/>
      <c r="C3029" s="250"/>
      <c r="D3029" s="250"/>
      <c r="E3029" s="250"/>
      <c r="F3029" s="250"/>
      <c r="G3029" s="471"/>
      <c r="H3029" s="250"/>
      <c r="I3029" s="471"/>
    </row>
    <row r="3030" spans="1:9" ht="12.75">
      <c r="A3030" s="717"/>
      <c r="B3030" s="718"/>
      <c r="C3030" s="250"/>
      <c r="D3030" s="250"/>
      <c r="E3030" s="250"/>
      <c r="F3030" s="250"/>
      <c r="G3030" s="471"/>
      <c r="H3030" s="250"/>
      <c r="I3030" s="471"/>
    </row>
    <row r="3031" spans="1:9" ht="12.75">
      <c r="A3031" s="717"/>
      <c r="B3031" s="718"/>
      <c r="C3031" s="250"/>
      <c r="D3031" s="250"/>
      <c r="E3031" s="250"/>
      <c r="F3031" s="250"/>
      <c r="G3031" s="471"/>
      <c r="H3031" s="250"/>
      <c r="I3031" s="471"/>
    </row>
    <row r="3032" spans="1:9" ht="12.75">
      <c r="A3032" s="717"/>
      <c r="B3032" s="718"/>
      <c r="C3032" s="250"/>
      <c r="D3032" s="250"/>
      <c r="E3032" s="250"/>
      <c r="F3032" s="250"/>
      <c r="G3032" s="471"/>
      <c r="H3032" s="250"/>
      <c r="I3032" s="471"/>
    </row>
    <row r="3033" spans="1:9" ht="12.75">
      <c r="A3033" s="717"/>
      <c r="B3033" s="718"/>
      <c r="C3033" s="250"/>
      <c r="D3033" s="250"/>
      <c r="E3033" s="250"/>
      <c r="F3033" s="250"/>
      <c r="G3033" s="471"/>
      <c r="H3033" s="250"/>
      <c r="I3033" s="471"/>
    </row>
    <row r="3034" spans="1:9" ht="12.75">
      <c r="A3034" s="717"/>
      <c r="B3034" s="718"/>
      <c r="C3034" s="250"/>
      <c r="D3034" s="250"/>
      <c r="E3034" s="250"/>
      <c r="F3034" s="250"/>
      <c r="G3034" s="471"/>
      <c r="H3034" s="250"/>
      <c r="I3034" s="471"/>
    </row>
    <row r="3035" spans="1:9" ht="12.75">
      <c r="A3035" s="717"/>
      <c r="B3035" s="718"/>
      <c r="C3035" s="250"/>
      <c r="D3035" s="250"/>
      <c r="E3035" s="250"/>
      <c r="F3035" s="250"/>
      <c r="G3035" s="471"/>
      <c r="H3035" s="250"/>
      <c r="I3035" s="471"/>
    </row>
    <row r="3036" spans="1:9" ht="12.75">
      <c r="A3036" s="717"/>
      <c r="B3036" s="718"/>
      <c r="C3036" s="250"/>
      <c r="D3036" s="250"/>
      <c r="E3036" s="250"/>
      <c r="F3036" s="250"/>
      <c r="G3036" s="471"/>
      <c r="H3036" s="250"/>
      <c r="I3036" s="471"/>
    </row>
    <row r="3037" spans="1:9" ht="12.75">
      <c r="A3037" s="717"/>
      <c r="B3037" s="718"/>
      <c r="C3037" s="250"/>
      <c r="D3037" s="250"/>
      <c r="E3037" s="250"/>
      <c r="F3037" s="250"/>
      <c r="G3037" s="471"/>
      <c r="H3037" s="250"/>
      <c r="I3037" s="471"/>
    </row>
    <row r="3038" spans="1:9" ht="12.75">
      <c r="A3038" s="717"/>
      <c r="B3038" s="718"/>
      <c r="C3038" s="250"/>
      <c r="D3038" s="250"/>
      <c r="E3038" s="250"/>
      <c r="F3038" s="250"/>
      <c r="G3038" s="471"/>
      <c r="H3038" s="250"/>
      <c r="I3038" s="471"/>
    </row>
    <row r="3039" spans="1:9" ht="12.75">
      <c r="A3039" s="717"/>
      <c r="B3039" s="718"/>
      <c r="C3039" s="250"/>
      <c r="D3039" s="250"/>
      <c r="E3039" s="250"/>
      <c r="F3039" s="250"/>
      <c r="G3039" s="471"/>
      <c r="H3039" s="250"/>
      <c r="I3039" s="471"/>
    </row>
    <row r="3040" spans="1:9" ht="12.75">
      <c r="A3040" s="717"/>
      <c r="B3040" s="718"/>
      <c r="C3040" s="250"/>
      <c r="D3040" s="250"/>
      <c r="E3040" s="250"/>
      <c r="F3040" s="250"/>
      <c r="G3040" s="471"/>
      <c r="H3040" s="250"/>
      <c r="I3040" s="471"/>
    </row>
    <row r="3041" spans="1:9" ht="12.75">
      <c r="A3041" s="717"/>
      <c r="B3041" s="718"/>
      <c r="C3041" s="250"/>
      <c r="D3041" s="250"/>
      <c r="E3041" s="250"/>
      <c r="F3041" s="250"/>
      <c r="G3041" s="471"/>
      <c r="H3041" s="250"/>
      <c r="I3041" s="471"/>
    </row>
    <row r="3042" spans="1:9" ht="12.75">
      <c r="A3042" s="717"/>
      <c r="B3042" s="718"/>
      <c r="C3042" s="250"/>
      <c r="D3042" s="250"/>
      <c r="E3042" s="250"/>
      <c r="F3042" s="250"/>
      <c r="G3042" s="471"/>
      <c r="H3042" s="250"/>
      <c r="I3042" s="471"/>
    </row>
    <row r="3043" spans="1:9" ht="12.75">
      <c r="A3043" s="717"/>
      <c r="B3043" s="718"/>
      <c r="C3043" s="250"/>
      <c r="D3043" s="250"/>
      <c r="E3043" s="250"/>
      <c r="F3043" s="250"/>
      <c r="G3043" s="471"/>
      <c r="H3043" s="250"/>
      <c r="I3043" s="471"/>
    </row>
    <row r="3044" spans="1:9" ht="12.75">
      <c r="A3044" s="717"/>
      <c r="B3044" s="718"/>
      <c r="C3044" s="250"/>
      <c r="D3044" s="250"/>
      <c r="E3044" s="250"/>
      <c r="F3044" s="250"/>
      <c r="G3044" s="471"/>
      <c r="H3044" s="250"/>
      <c r="I3044" s="471"/>
    </row>
    <row r="3045" spans="1:9" ht="12.75">
      <c r="A3045" s="717"/>
      <c r="B3045" s="718"/>
      <c r="C3045" s="250"/>
      <c r="D3045" s="250"/>
      <c r="E3045" s="250"/>
      <c r="F3045" s="250"/>
      <c r="G3045" s="471"/>
      <c r="H3045" s="250"/>
      <c r="I3045" s="471"/>
    </row>
    <row r="3046" spans="1:9" ht="12.75">
      <c r="A3046" s="717"/>
      <c r="B3046" s="718"/>
      <c r="C3046" s="250"/>
      <c r="D3046" s="250"/>
      <c r="E3046" s="250"/>
      <c r="F3046" s="250"/>
      <c r="G3046" s="471"/>
      <c r="H3046" s="250"/>
      <c r="I3046" s="471"/>
    </row>
    <row r="3047" spans="1:9" ht="12.75">
      <c r="A3047" s="717"/>
      <c r="B3047" s="718"/>
      <c r="C3047" s="250"/>
      <c r="D3047" s="250"/>
      <c r="E3047" s="250"/>
      <c r="F3047" s="250"/>
      <c r="G3047" s="471"/>
      <c r="H3047" s="250"/>
      <c r="I3047" s="471"/>
    </row>
    <row r="3048" spans="1:9" ht="12.75">
      <c r="A3048" s="717"/>
      <c r="B3048" s="718"/>
      <c r="C3048" s="250"/>
      <c r="D3048" s="250"/>
      <c r="E3048" s="250"/>
      <c r="F3048" s="250"/>
      <c r="G3048" s="471"/>
      <c r="H3048" s="250"/>
      <c r="I3048" s="471"/>
    </row>
    <row r="3049" spans="1:9" ht="12.75">
      <c r="A3049" s="717"/>
      <c r="B3049" s="718"/>
      <c r="C3049" s="250"/>
      <c r="D3049" s="250"/>
      <c r="E3049" s="250"/>
      <c r="F3049" s="250"/>
      <c r="G3049" s="471"/>
      <c r="H3049" s="250"/>
      <c r="I3049" s="471"/>
    </row>
    <row r="3050" spans="1:9" ht="12.75">
      <c r="A3050" s="717"/>
      <c r="B3050" s="718"/>
      <c r="C3050" s="250"/>
      <c r="D3050" s="250"/>
      <c r="E3050" s="250"/>
      <c r="F3050" s="250"/>
      <c r="G3050" s="471"/>
      <c r="H3050" s="250"/>
      <c r="I3050" s="471"/>
    </row>
    <row r="3051" spans="1:9" ht="12.75">
      <c r="A3051" s="717"/>
      <c r="B3051" s="718"/>
      <c r="C3051" s="250"/>
      <c r="D3051" s="250"/>
      <c r="E3051" s="250"/>
      <c r="F3051" s="250"/>
      <c r="G3051" s="471"/>
      <c r="H3051" s="250"/>
      <c r="I3051" s="471"/>
    </row>
    <row r="3052" spans="1:9" ht="12.75">
      <c r="A3052" s="717"/>
      <c r="B3052" s="718"/>
      <c r="C3052" s="250"/>
      <c r="D3052" s="250"/>
      <c r="E3052" s="250"/>
      <c r="F3052" s="250"/>
      <c r="G3052" s="471"/>
      <c r="H3052" s="250"/>
      <c r="I3052" s="471"/>
    </row>
    <row r="3053" spans="1:9" ht="12.75">
      <c r="A3053" s="717"/>
      <c r="B3053" s="718"/>
      <c r="C3053" s="250"/>
      <c r="D3053" s="250"/>
      <c r="E3053" s="250"/>
      <c r="F3053" s="250"/>
      <c r="G3053" s="471"/>
      <c r="H3053" s="250"/>
      <c r="I3053" s="471"/>
    </row>
    <row r="3054" spans="1:9" ht="12.75">
      <c r="A3054" s="717"/>
      <c r="B3054" s="718"/>
      <c r="C3054" s="250"/>
      <c r="D3054" s="250"/>
      <c r="E3054" s="250"/>
      <c r="F3054" s="250"/>
      <c r="G3054" s="471"/>
      <c r="H3054" s="250"/>
      <c r="I3054" s="471"/>
    </row>
    <row r="3055" spans="1:9" ht="12.75">
      <c r="A3055" s="717"/>
      <c r="B3055" s="718"/>
      <c r="C3055" s="250"/>
      <c r="D3055" s="250"/>
      <c r="E3055" s="250"/>
      <c r="F3055" s="250"/>
      <c r="G3055" s="471"/>
      <c r="H3055" s="250"/>
      <c r="I3055" s="471"/>
    </row>
    <row r="3056" spans="1:9" ht="12.75">
      <c r="A3056" s="717"/>
      <c r="B3056" s="718"/>
      <c r="C3056" s="250"/>
      <c r="D3056" s="250"/>
      <c r="E3056" s="250"/>
      <c r="F3056" s="250"/>
      <c r="G3056" s="471"/>
      <c r="H3056" s="250"/>
      <c r="I3056" s="471"/>
    </row>
    <row r="3057" spans="1:9" ht="12.75">
      <c r="A3057" s="717"/>
      <c r="B3057" s="718"/>
      <c r="C3057" s="250"/>
      <c r="D3057" s="250"/>
      <c r="E3057" s="250"/>
      <c r="F3057" s="250"/>
      <c r="G3057" s="471"/>
      <c r="H3057" s="250"/>
      <c r="I3057" s="471"/>
    </row>
    <row r="3058" spans="1:9" ht="12.75">
      <c r="A3058" s="717"/>
      <c r="B3058" s="718"/>
      <c r="C3058" s="250"/>
      <c r="D3058" s="250"/>
      <c r="E3058" s="250"/>
      <c r="F3058" s="250"/>
      <c r="G3058" s="471"/>
      <c r="H3058" s="250"/>
      <c r="I3058" s="471"/>
    </row>
    <row r="3059" spans="1:9" ht="12.75">
      <c r="A3059" s="717"/>
      <c r="B3059" s="718"/>
      <c r="C3059" s="250"/>
      <c r="D3059" s="250"/>
      <c r="E3059" s="250"/>
      <c r="F3059" s="250"/>
      <c r="G3059" s="471"/>
      <c r="H3059" s="250"/>
      <c r="I3059" s="471"/>
    </row>
    <row r="3060" spans="1:9" ht="12.75">
      <c r="A3060" s="717"/>
      <c r="B3060" s="718"/>
      <c r="C3060" s="250"/>
      <c r="D3060" s="250"/>
      <c r="E3060" s="250"/>
      <c r="F3060" s="250"/>
      <c r="G3060" s="471"/>
      <c r="H3060" s="250"/>
      <c r="I3060" s="471"/>
    </row>
    <row r="3061" spans="1:9" ht="12.75">
      <c r="A3061" s="717"/>
      <c r="B3061" s="718"/>
      <c r="C3061" s="250"/>
      <c r="D3061" s="250"/>
      <c r="E3061" s="250"/>
      <c r="F3061" s="250"/>
      <c r="G3061" s="471"/>
      <c r="H3061" s="250"/>
      <c r="I3061" s="471"/>
    </row>
    <row r="3062" spans="1:9" ht="12.75">
      <c r="A3062" s="717"/>
      <c r="B3062" s="718"/>
      <c r="C3062" s="250"/>
      <c r="D3062" s="250"/>
      <c r="E3062" s="250"/>
      <c r="F3062" s="250"/>
      <c r="G3062" s="471"/>
      <c r="H3062" s="250"/>
      <c r="I3062" s="471"/>
    </row>
    <row r="3063" spans="1:9" ht="12.75">
      <c r="A3063" s="717"/>
      <c r="B3063" s="718"/>
      <c r="C3063" s="250"/>
      <c r="D3063" s="250"/>
      <c r="E3063" s="250"/>
      <c r="F3063" s="250"/>
      <c r="G3063" s="471"/>
      <c r="H3063" s="250"/>
      <c r="I3063" s="471"/>
    </row>
    <row r="3064" spans="1:9" ht="12.75">
      <c r="A3064" s="717"/>
      <c r="B3064" s="718"/>
      <c r="C3064" s="250"/>
      <c r="D3064" s="250"/>
      <c r="E3064" s="250"/>
      <c r="F3064" s="250"/>
      <c r="G3064" s="471"/>
      <c r="H3064" s="250"/>
      <c r="I3064" s="471"/>
    </row>
    <row r="3065" spans="1:9" ht="12.75">
      <c r="A3065" s="717"/>
      <c r="B3065" s="718"/>
      <c r="C3065" s="250"/>
      <c r="D3065" s="250"/>
      <c r="E3065" s="250"/>
      <c r="F3065" s="250"/>
      <c r="G3065" s="471"/>
      <c r="H3065" s="250"/>
      <c r="I3065" s="471"/>
    </row>
    <row r="3066" spans="1:9" ht="12.75">
      <c r="A3066" s="717"/>
      <c r="B3066" s="718"/>
      <c r="C3066" s="250"/>
      <c r="D3066" s="250"/>
      <c r="E3066" s="250"/>
      <c r="F3066" s="250"/>
      <c r="G3066" s="471"/>
      <c r="H3066" s="250"/>
      <c r="I3066" s="471"/>
    </row>
    <row r="3067" spans="1:9" ht="12.75">
      <c r="A3067" s="717"/>
      <c r="B3067" s="718"/>
      <c r="C3067" s="250"/>
      <c r="D3067" s="250"/>
      <c r="E3067" s="250"/>
      <c r="F3067" s="250"/>
      <c r="G3067" s="471"/>
      <c r="H3067" s="250"/>
      <c r="I3067" s="471"/>
    </row>
    <row r="3068" spans="1:9" ht="12.75">
      <c r="A3068" s="717"/>
      <c r="B3068" s="718"/>
      <c r="C3068" s="250"/>
      <c r="D3068" s="250"/>
      <c r="E3068" s="250"/>
      <c r="F3068" s="250"/>
      <c r="G3068" s="471"/>
      <c r="H3068" s="250"/>
      <c r="I3068" s="471"/>
    </row>
    <row r="3069" spans="1:9" ht="12.75">
      <c r="A3069" s="717"/>
      <c r="B3069" s="718"/>
      <c r="C3069" s="250"/>
      <c r="D3069" s="250"/>
      <c r="E3069" s="250"/>
      <c r="F3069" s="250"/>
      <c r="G3069" s="471"/>
      <c r="H3069" s="250"/>
      <c r="I3069" s="471"/>
    </row>
    <row r="3070" spans="1:9" ht="12.75">
      <c r="A3070" s="717"/>
      <c r="B3070" s="718"/>
      <c r="C3070" s="250"/>
      <c r="D3070" s="250"/>
      <c r="E3070" s="250"/>
      <c r="F3070" s="250"/>
      <c r="G3070" s="471"/>
      <c r="H3070" s="250"/>
      <c r="I3070" s="471"/>
    </row>
    <row r="3071" spans="1:9" ht="12.75">
      <c r="A3071" s="717"/>
      <c r="B3071" s="718"/>
      <c r="C3071" s="250"/>
      <c r="D3071" s="250"/>
      <c r="E3071" s="250"/>
      <c r="F3071" s="250"/>
      <c r="G3071" s="471"/>
      <c r="H3071" s="250"/>
      <c r="I3071" s="471"/>
    </row>
    <row r="3072" spans="1:9" ht="12.75">
      <c r="A3072" s="717"/>
      <c r="B3072" s="718"/>
      <c r="C3072" s="250"/>
      <c r="D3072" s="250"/>
      <c r="E3072" s="250"/>
      <c r="F3072" s="250"/>
      <c r="G3072" s="471"/>
      <c r="H3072" s="250"/>
      <c r="I3072" s="471"/>
    </row>
    <row r="3073" spans="1:9" ht="12.75">
      <c r="A3073" s="717"/>
      <c r="B3073" s="718"/>
      <c r="C3073" s="250"/>
      <c r="D3073" s="250"/>
      <c r="E3073" s="250"/>
      <c r="F3073" s="250"/>
      <c r="G3073" s="471"/>
      <c r="H3073" s="250"/>
      <c r="I3073" s="471"/>
    </row>
    <row r="3074" spans="1:9" ht="12.75">
      <c r="A3074" s="717"/>
      <c r="B3074" s="718"/>
      <c r="C3074" s="250"/>
      <c r="D3074" s="250"/>
      <c r="E3074" s="250"/>
      <c r="F3074" s="250"/>
      <c r="G3074" s="471"/>
      <c r="H3074" s="250"/>
      <c r="I3074" s="471"/>
    </row>
    <row r="3075" spans="1:9" ht="12.75">
      <c r="A3075" s="717"/>
      <c r="B3075" s="718"/>
      <c r="C3075" s="250"/>
      <c r="D3075" s="250"/>
      <c r="E3075" s="250"/>
      <c r="F3075" s="250"/>
      <c r="G3075" s="471"/>
      <c r="H3075" s="250"/>
      <c r="I3075" s="471"/>
    </row>
    <row r="3076" spans="1:9" ht="12.75">
      <c r="A3076" s="717"/>
      <c r="B3076" s="718"/>
      <c r="C3076" s="250"/>
      <c r="D3076" s="250"/>
      <c r="E3076" s="250"/>
      <c r="F3076" s="250"/>
      <c r="G3076" s="471"/>
      <c r="H3076" s="250"/>
      <c r="I3076" s="471"/>
    </row>
    <row r="3077" spans="1:9" ht="12.75">
      <c r="A3077" s="717"/>
      <c r="B3077" s="718"/>
      <c r="C3077" s="250"/>
      <c r="D3077" s="250"/>
      <c r="E3077" s="250"/>
      <c r="F3077" s="250"/>
      <c r="G3077" s="471"/>
      <c r="H3077" s="250"/>
      <c r="I3077" s="471"/>
    </row>
    <row r="3078" spans="1:9" ht="12.75">
      <c r="A3078" s="717"/>
      <c r="B3078" s="718"/>
      <c r="C3078" s="250"/>
      <c r="D3078" s="250"/>
      <c r="E3078" s="250"/>
      <c r="F3078" s="250"/>
      <c r="G3078" s="471"/>
      <c r="H3078" s="250"/>
      <c r="I3078" s="471"/>
    </row>
    <row r="3079" spans="1:9" ht="12.75">
      <c r="A3079" s="717"/>
      <c r="B3079" s="718"/>
      <c r="C3079" s="250"/>
      <c r="D3079" s="250"/>
      <c r="E3079" s="250"/>
      <c r="F3079" s="250"/>
      <c r="G3079" s="471"/>
      <c r="H3079" s="250"/>
      <c r="I3079" s="471"/>
    </row>
    <row r="3080" spans="1:9" ht="12.75">
      <c r="A3080" s="717"/>
      <c r="B3080" s="718"/>
      <c r="C3080" s="250"/>
      <c r="D3080" s="250"/>
      <c r="E3080" s="250"/>
      <c r="F3080" s="250"/>
      <c r="G3080" s="471"/>
      <c r="H3080" s="250"/>
      <c r="I3080" s="471"/>
    </row>
    <row r="3081" spans="1:9" ht="12.75">
      <c r="A3081" s="717"/>
      <c r="B3081" s="718"/>
      <c r="C3081" s="250"/>
      <c r="D3081" s="250"/>
      <c r="E3081" s="250"/>
      <c r="F3081" s="250"/>
      <c r="G3081" s="471"/>
      <c r="H3081" s="250"/>
      <c r="I3081" s="471"/>
    </row>
    <row r="3082" spans="1:9" ht="12.75">
      <c r="A3082" s="717"/>
      <c r="B3082" s="718"/>
      <c r="C3082" s="250"/>
      <c r="D3082" s="250"/>
      <c r="E3082" s="250"/>
      <c r="F3082" s="250"/>
      <c r="G3082" s="471"/>
      <c r="H3082" s="250"/>
      <c r="I3082" s="471"/>
    </row>
    <row r="3083" spans="1:9" ht="12.75">
      <c r="A3083" s="717"/>
      <c r="B3083" s="718"/>
      <c r="C3083" s="250"/>
      <c r="D3083" s="250"/>
      <c r="E3083" s="250"/>
      <c r="F3083" s="250"/>
      <c r="G3083" s="471"/>
      <c r="H3083" s="250"/>
      <c r="I3083" s="471"/>
    </row>
    <row r="3084" spans="1:9" ht="12.75">
      <c r="A3084" s="717"/>
      <c r="B3084" s="718"/>
      <c r="C3084" s="250"/>
      <c r="D3084" s="250"/>
      <c r="E3084" s="250"/>
      <c r="F3084" s="250"/>
      <c r="G3084" s="471"/>
      <c r="H3084" s="250"/>
      <c r="I3084" s="471"/>
    </row>
    <row r="3085" spans="1:9" ht="12.75">
      <c r="A3085" s="717"/>
      <c r="B3085" s="718"/>
      <c r="C3085" s="250"/>
      <c r="D3085" s="250"/>
      <c r="E3085" s="250"/>
      <c r="F3085" s="250"/>
      <c r="G3085" s="471"/>
      <c r="H3085" s="250"/>
      <c r="I3085" s="471"/>
    </row>
    <row r="3086" spans="1:9" ht="12.75">
      <c r="A3086" s="717"/>
      <c r="B3086" s="718"/>
      <c r="C3086" s="250"/>
      <c r="D3086" s="250"/>
      <c r="E3086" s="250"/>
      <c r="F3086" s="250"/>
      <c r="G3086" s="471"/>
      <c r="H3086" s="250"/>
      <c r="I3086" s="471"/>
    </row>
    <row r="3087" spans="1:9" ht="12.75">
      <c r="A3087" s="717"/>
      <c r="B3087" s="718"/>
      <c r="C3087" s="250"/>
      <c r="D3087" s="250"/>
      <c r="E3087" s="250"/>
      <c r="F3087" s="250"/>
      <c r="G3087" s="471"/>
      <c r="H3087" s="250"/>
      <c r="I3087" s="471"/>
    </row>
    <row r="3088" spans="1:9" ht="12.75">
      <c r="A3088" s="717"/>
      <c r="B3088" s="718"/>
      <c r="C3088" s="250"/>
      <c r="D3088" s="250"/>
      <c r="E3088" s="250"/>
      <c r="F3088" s="250"/>
      <c r="G3088" s="471"/>
      <c r="H3088" s="250"/>
      <c r="I3088" s="471"/>
    </row>
    <row r="3089" spans="1:9" ht="12.75">
      <c r="A3089" s="717"/>
      <c r="B3089" s="718"/>
      <c r="C3089" s="250"/>
      <c r="D3089" s="250"/>
      <c r="E3089" s="250"/>
      <c r="F3089" s="250"/>
      <c r="G3089" s="471"/>
      <c r="H3089" s="250"/>
      <c r="I3089" s="471"/>
    </row>
    <row r="3090" spans="1:9" ht="12.75">
      <c r="A3090" s="717"/>
      <c r="B3090" s="718"/>
      <c r="C3090" s="250"/>
      <c r="D3090" s="250"/>
      <c r="E3090" s="250"/>
      <c r="F3090" s="250"/>
      <c r="G3090" s="471"/>
      <c r="H3090" s="250"/>
      <c r="I3090" s="471"/>
    </row>
    <row r="3091" spans="1:9" ht="12.75">
      <c r="A3091" s="717"/>
      <c r="B3091" s="718"/>
      <c r="C3091" s="250"/>
      <c r="D3091" s="250"/>
      <c r="E3091" s="250"/>
      <c r="F3091" s="250"/>
      <c r="G3091" s="471"/>
      <c r="H3091" s="250"/>
      <c r="I3091" s="471"/>
    </row>
    <row r="3092" spans="1:9" ht="12.75">
      <c r="A3092" s="717"/>
      <c r="B3092" s="718"/>
      <c r="C3092" s="250"/>
      <c r="D3092" s="250"/>
      <c r="E3092" s="250"/>
      <c r="F3092" s="250"/>
      <c r="G3092" s="471"/>
      <c r="H3092" s="250"/>
      <c r="I3092" s="471"/>
    </row>
    <row r="3093" spans="1:9" ht="12.75">
      <c r="A3093" s="717"/>
      <c r="B3093" s="718"/>
      <c r="C3093" s="250"/>
      <c r="D3093" s="250"/>
      <c r="E3093" s="250"/>
      <c r="F3093" s="250"/>
      <c r="G3093" s="471"/>
      <c r="H3093" s="250"/>
      <c r="I3093" s="471"/>
    </row>
    <row r="3094" spans="1:9" ht="12.75">
      <c r="A3094" s="717"/>
      <c r="B3094" s="718"/>
      <c r="C3094" s="250"/>
      <c r="D3094" s="250"/>
      <c r="E3094" s="250"/>
      <c r="F3094" s="250"/>
      <c r="G3094" s="471"/>
      <c r="H3094" s="250"/>
      <c r="I3094" s="471"/>
    </row>
    <row r="3095" spans="1:9" ht="12.75">
      <c r="A3095" s="717"/>
      <c r="B3095" s="718"/>
      <c r="C3095" s="250"/>
      <c r="D3095" s="250"/>
      <c r="E3095" s="250"/>
      <c r="F3095" s="250"/>
      <c r="G3095" s="471"/>
      <c r="H3095" s="250"/>
      <c r="I3095" s="471"/>
    </row>
    <row r="3096" spans="1:9" ht="12.75">
      <c r="A3096" s="717"/>
      <c r="B3096" s="718"/>
      <c r="C3096" s="250"/>
      <c r="D3096" s="250"/>
      <c r="E3096" s="250"/>
      <c r="F3096" s="250"/>
      <c r="G3096" s="471"/>
      <c r="H3096" s="250"/>
      <c r="I3096" s="471"/>
    </row>
    <row r="3097" spans="1:9" ht="12.75">
      <c r="A3097" s="717"/>
      <c r="B3097" s="718"/>
      <c r="C3097" s="250"/>
      <c r="D3097" s="250"/>
      <c r="E3097" s="250"/>
      <c r="F3097" s="250"/>
      <c r="G3097" s="471"/>
      <c r="H3097" s="250"/>
      <c r="I3097" s="471"/>
    </row>
    <row r="3098" spans="1:9" ht="12.75">
      <c r="A3098" s="717"/>
      <c r="B3098" s="718"/>
      <c r="C3098" s="250"/>
      <c r="D3098" s="250"/>
      <c r="E3098" s="250"/>
      <c r="F3098" s="250"/>
      <c r="G3098" s="471"/>
      <c r="H3098" s="250"/>
      <c r="I3098" s="471"/>
    </row>
    <row r="3099" spans="1:9" ht="12.75">
      <c r="A3099" s="717"/>
      <c r="B3099" s="718"/>
      <c r="C3099" s="250"/>
      <c r="D3099" s="250"/>
      <c r="E3099" s="250"/>
      <c r="F3099" s="250"/>
      <c r="G3099" s="471"/>
      <c r="H3099" s="250"/>
      <c r="I3099" s="471"/>
    </row>
    <row r="3100" spans="1:9" ht="12.75">
      <c r="A3100" s="717"/>
      <c r="B3100" s="718"/>
      <c r="C3100" s="250"/>
      <c r="D3100" s="250"/>
      <c r="E3100" s="250"/>
      <c r="F3100" s="250"/>
      <c r="G3100" s="471"/>
      <c r="H3100" s="250"/>
      <c r="I3100" s="471"/>
    </row>
    <row r="3101" spans="1:9" ht="12.75">
      <c r="A3101" s="717"/>
      <c r="B3101" s="718"/>
      <c r="C3101" s="250"/>
      <c r="D3101" s="250"/>
      <c r="E3101" s="250"/>
      <c r="F3101" s="250"/>
      <c r="G3101" s="471"/>
      <c r="H3101" s="250"/>
      <c r="I3101" s="471"/>
    </row>
    <row r="3102" spans="1:9" ht="12.75">
      <c r="A3102" s="717"/>
      <c r="B3102" s="718"/>
      <c r="C3102" s="250"/>
      <c r="D3102" s="250"/>
      <c r="E3102" s="250"/>
      <c r="F3102" s="250"/>
      <c r="G3102" s="471"/>
      <c r="H3102" s="250"/>
      <c r="I3102" s="471"/>
    </row>
    <row r="3103" spans="1:9" ht="12.75">
      <c r="A3103" s="717"/>
      <c r="B3103" s="718"/>
      <c r="C3103" s="250"/>
      <c r="D3103" s="250"/>
      <c r="E3103" s="250"/>
      <c r="F3103" s="250"/>
      <c r="G3103" s="471"/>
      <c r="H3103" s="250"/>
      <c r="I3103" s="471"/>
    </row>
    <row r="3104" spans="1:9" ht="12.75">
      <c r="A3104" s="717"/>
      <c r="B3104" s="718"/>
      <c r="C3104" s="250"/>
      <c r="D3104" s="250"/>
      <c r="E3104" s="250"/>
      <c r="F3104" s="250"/>
      <c r="G3104" s="471"/>
      <c r="H3104" s="250"/>
      <c r="I3104" s="471"/>
    </row>
    <row r="3105" spans="1:9" ht="12.75">
      <c r="A3105" s="717"/>
      <c r="B3105" s="718"/>
      <c r="C3105" s="250"/>
      <c r="D3105" s="250"/>
      <c r="E3105" s="250"/>
      <c r="F3105" s="250"/>
      <c r="G3105" s="471"/>
      <c r="H3105" s="250"/>
      <c r="I3105" s="471"/>
    </row>
    <row r="3106" spans="1:9" ht="12.75">
      <c r="A3106" s="717"/>
      <c r="B3106" s="718"/>
      <c r="C3106" s="250"/>
      <c r="D3106" s="250"/>
      <c r="E3106" s="250"/>
      <c r="F3106" s="250"/>
      <c r="G3106" s="471"/>
      <c r="H3106" s="250"/>
      <c r="I3106" s="471"/>
    </row>
    <row r="3107" spans="1:9" ht="12.75">
      <c r="A3107" s="717"/>
      <c r="B3107" s="718"/>
      <c r="C3107" s="250"/>
      <c r="D3107" s="250"/>
      <c r="E3107" s="250"/>
      <c r="F3107" s="250"/>
      <c r="G3107" s="471"/>
      <c r="H3107" s="250"/>
      <c r="I3107" s="471"/>
    </row>
    <row r="3108" spans="1:9" ht="12.75">
      <c r="A3108" s="717"/>
      <c r="B3108" s="718"/>
      <c r="C3108" s="250"/>
      <c r="D3108" s="250"/>
      <c r="E3108" s="250"/>
      <c r="F3108" s="250"/>
      <c r="G3108" s="471"/>
      <c r="H3108" s="250"/>
      <c r="I3108" s="471"/>
    </row>
    <row r="3109" spans="1:9" ht="12.75">
      <c r="A3109" s="717"/>
      <c r="B3109" s="718"/>
      <c r="C3109" s="250"/>
      <c r="D3109" s="250"/>
      <c r="E3109" s="250"/>
      <c r="F3109" s="250"/>
      <c r="G3109" s="471"/>
      <c r="H3109" s="250"/>
      <c r="I3109" s="471"/>
    </row>
    <row r="3110" spans="1:9" ht="12.75">
      <c r="A3110" s="717"/>
      <c r="B3110" s="718"/>
      <c r="C3110" s="250"/>
      <c r="D3110" s="250"/>
      <c r="E3110" s="250"/>
      <c r="F3110" s="250"/>
      <c r="G3110" s="471"/>
      <c r="H3110" s="250"/>
      <c r="I3110" s="471"/>
    </row>
    <row r="3111" spans="1:9" ht="12.75">
      <c r="A3111" s="717"/>
      <c r="B3111" s="718"/>
      <c r="C3111" s="250"/>
      <c r="D3111" s="250"/>
      <c r="E3111" s="250"/>
      <c r="F3111" s="250"/>
      <c r="G3111" s="471"/>
      <c r="H3111" s="250"/>
      <c r="I3111" s="471"/>
    </row>
    <row r="3112" spans="1:9" ht="12.75">
      <c r="A3112" s="717"/>
      <c r="B3112" s="718"/>
      <c r="C3112" s="250"/>
      <c r="D3112" s="250"/>
      <c r="E3112" s="250"/>
      <c r="F3112" s="250"/>
      <c r="G3112" s="471"/>
      <c r="H3112" s="250"/>
      <c r="I3112" s="471"/>
    </row>
    <row r="3113" spans="1:9" ht="12.75">
      <c r="A3113" s="717"/>
      <c r="B3113" s="718"/>
      <c r="C3113" s="250"/>
      <c r="D3113" s="250"/>
      <c r="E3113" s="250"/>
      <c r="F3113" s="250"/>
      <c r="G3113" s="471"/>
      <c r="H3113" s="250"/>
      <c r="I3113" s="471"/>
    </row>
    <row r="3114" spans="1:9" ht="12.75">
      <c r="A3114" s="717"/>
      <c r="B3114" s="718"/>
      <c r="C3114" s="250"/>
      <c r="D3114" s="250"/>
      <c r="E3114" s="250"/>
      <c r="F3114" s="250"/>
      <c r="G3114" s="471"/>
      <c r="H3114" s="250"/>
      <c r="I3114" s="471"/>
    </row>
    <row r="3115" spans="1:9" ht="12.75">
      <c r="A3115" s="717"/>
      <c r="B3115" s="718"/>
      <c r="C3115" s="250"/>
      <c r="D3115" s="250"/>
      <c r="E3115" s="250"/>
      <c r="F3115" s="250"/>
      <c r="G3115" s="471"/>
      <c r="H3115" s="250"/>
      <c r="I3115" s="471"/>
    </row>
    <row r="3116" spans="1:9" ht="12.75">
      <c r="A3116" s="717"/>
      <c r="B3116" s="718"/>
      <c r="C3116" s="250"/>
      <c r="D3116" s="250"/>
      <c r="E3116" s="250"/>
      <c r="F3116" s="250"/>
      <c r="G3116" s="471"/>
      <c r="H3116" s="250"/>
      <c r="I3116" s="471"/>
    </row>
    <row r="3117" spans="1:9" ht="12.75">
      <c r="A3117" s="717"/>
      <c r="B3117" s="718"/>
      <c r="C3117" s="250"/>
      <c r="D3117" s="250"/>
      <c r="E3117" s="250"/>
      <c r="F3117" s="250"/>
      <c r="G3117" s="471"/>
      <c r="H3117" s="250"/>
      <c r="I3117" s="471"/>
    </row>
    <row r="3118" spans="1:9" ht="12.75">
      <c r="A3118" s="717"/>
      <c r="B3118" s="718"/>
      <c r="C3118" s="250"/>
      <c r="D3118" s="250"/>
      <c r="E3118" s="250"/>
      <c r="F3118" s="250"/>
      <c r="G3118" s="471"/>
      <c r="H3118" s="250"/>
      <c r="I3118" s="471"/>
    </row>
    <row r="3119" spans="1:9" ht="12.75">
      <c r="A3119" s="717"/>
      <c r="B3119" s="718"/>
      <c r="C3119" s="250"/>
      <c r="D3119" s="250"/>
      <c r="E3119" s="250"/>
      <c r="F3119" s="250"/>
      <c r="G3119" s="471"/>
      <c r="H3119" s="250"/>
      <c r="I3119" s="471"/>
    </row>
    <row r="3120" spans="1:9" ht="12.75">
      <c r="A3120" s="717"/>
      <c r="B3120" s="718"/>
      <c r="C3120" s="250"/>
      <c r="D3120" s="250"/>
      <c r="E3120" s="250"/>
      <c r="F3120" s="250"/>
      <c r="G3120" s="471"/>
      <c r="H3120" s="250"/>
      <c r="I3120" s="471"/>
    </row>
    <row r="3121" spans="1:9" ht="12.75">
      <c r="A3121" s="717"/>
      <c r="B3121" s="718"/>
      <c r="C3121" s="250"/>
      <c r="D3121" s="250"/>
      <c r="E3121" s="250"/>
      <c r="F3121" s="250"/>
      <c r="G3121" s="471"/>
      <c r="H3121" s="250"/>
      <c r="I3121" s="471"/>
    </row>
    <row r="3122" spans="1:9" ht="12.75">
      <c r="A3122" s="717"/>
      <c r="B3122" s="718"/>
      <c r="C3122" s="250"/>
      <c r="D3122" s="250"/>
      <c r="E3122" s="250"/>
      <c r="F3122" s="250"/>
      <c r="G3122" s="471"/>
      <c r="H3122" s="250"/>
      <c r="I3122" s="471"/>
    </row>
    <row r="3123" spans="1:9" ht="12.75">
      <c r="A3123" s="717"/>
      <c r="B3123" s="718"/>
      <c r="C3123" s="250"/>
      <c r="D3123" s="250"/>
      <c r="E3123" s="250"/>
      <c r="F3123" s="250"/>
      <c r="G3123" s="471"/>
      <c r="H3123" s="250"/>
      <c r="I3123" s="471"/>
    </row>
    <row r="3124" spans="1:9" ht="12.75">
      <c r="A3124" s="717"/>
      <c r="B3124" s="718"/>
      <c r="C3124" s="250"/>
      <c r="D3124" s="250"/>
      <c r="E3124" s="250"/>
      <c r="F3124" s="250"/>
      <c r="G3124" s="471"/>
      <c r="H3124" s="250"/>
      <c r="I3124" s="471"/>
    </row>
    <row r="3125" spans="1:9" ht="12.75">
      <c r="A3125" s="717"/>
      <c r="B3125" s="718"/>
      <c r="C3125" s="250"/>
      <c r="D3125" s="250"/>
      <c r="E3125" s="250"/>
      <c r="F3125" s="250"/>
      <c r="G3125" s="471"/>
      <c r="H3125" s="250"/>
      <c r="I3125" s="471"/>
    </row>
    <row r="3126" spans="1:9" ht="12.75">
      <c r="A3126" s="717"/>
      <c r="B3126" s="718"/>
      <c r="C3126" s="250"/>
      <c r="D3126" s="250"/>
      <c r="E3126" s="250"/>
      <c r="F3126" s="250"/>
      <c r="G3126" s="471"/>
      <c r="H3126" s="250"/>
      <c r="I3126" s="471"/>
    </row>
    <row r="3127" spans="1:9" ht="12.75">
      <c r="A3127" s="717"/>
      <c r="B3127" s="718"/>
      <c r="C3127" s="250"/>
      <c r="D3127" s="250"/>
      <c r="E3127" s="250"/>
      <c r="F3127" s="250"/>
      <c r="G3127" s="471"/>
      <c r="H3127" s="250"/>
      <c r="I3127" s="471"/>
    </row>
    <row r="3128" spans="1:9" ht="12.75">
      <c r="A3128" s="717"/>
      <c r="B3128" s="718"/>
      <c r="C3128" s="250"/>
      <c r="D3128" s="250"/>
      <c r="E3128" s="250"/>
      <c r="F3128" s="250"/>
      <c r="G3128" s="471"/>
      <c r="H3128" s="250"/>
      <c r="I3128" s="471"/>
    </row>
    <row r="3129" spans="1:9" ht="12.75">
      <c r="A3129" s="717"/>
      <c r="B3129" s="718"/>
      <c r="C3129" s="250"/>
      <c r="D3129" s="250"/>
      <c r="E3129" s="250"/>
      <c r="F3129" s="250"/>
      <c r="G3129" s="471"/>
      <c r="H3129" s="250"/>
      <c r="I3129" s="471"/>
    </row>
    <row r="3130" spans="1:9" ht="12.75">
      <c r="A3130" s="717"/>
      <c r="B3130" s="718"/>
      <c r="C3130" s="250"/>
      <c r="D3130" s="250"/>
      <c r="E3130" s="250"/>
      <c r="F3130" s="250"/>
      <c r="G3130" s="471"/>
      <c r="H3130" s="250"/>
      <c r="I3130" s="471"/>
    </row>
    <row r="3131" spans="1:9" ht="12.75">
      <c r="A3131" s="717"/>
      <c r="B3131" s="718"/>
      <c r="C3131" s="250"/>
      <c r="D3131" s="250"/>
      <c r="E3131" s="250"/>
      <c r="F3131" s="250"/>
      <c r="G3131" s="471"/>
      <c r="H3131" s="250"/>
      <c r="I3131" s="471"/>
    </row>
    <row r="3132" spans="1:9" ht="12.75">
      <c r="A3132" s="717"/>
      <c r="B3132" s="718"/>
      <c r="C3132" s="250"/>
      <c r="D3132" s="250"/>
      <c r="E3132" s="250"/>
      <c r="F3132" s="250"/>
      <c r="G3132" s="471"/>
      <c r="H3132" s="250"/>
      <c r="I3132" s="471"/>
    </row>
    <row r="3133" spans="1:9" ht="12.75">
      <c r="A3133" s="717"/>
      <c r="B3133" s="718"/>
      <c r="C3133" s="250"/>
      <c r="D3133" s="250"/>
      <c r="E3133" s="250"/>
      <c r="F3133" s="250"/>
      <c r="G3133" s="471"/>
      <c r="H3133" s="250"/>
      <c r="I3133" s="471"/>
    </row>
    <row r="3134" spans="1:9" ht="12.75">
      <c r="A3134" s="717"/>
      <c r="B3134" s="718"/>
      <c r="C3134" s="250"/>
      <c r="D3134" s="250"/>
      <c r="E3134" s="250"/>
      <c r="F3134" s="250"/>
      <c r="G3134" s="471"/>
      <c r="H3134" s="250"/>
      <c r="I3134" s="471"/>
    </row>
    <row r="3135" spans="1:9" ht="12.75">
      <c r="A3135" s="717"/>
      <c r="B3135" s="718"/>
      <c r="C3135" s="250"/>
      <c r="D3135" s="250"/>
      <c r="E3135" s="250"/>
      <c r="F3135" s="250"/>
      <c r="G3135" s="471"/>
      <c r="H3135" s="250"/>
      <c r="I3135" s="471"/>
    </row>
    <row r="3136" spans="1:9" ht="12.75">
      <c r="A3136" s="717"/>
      <c r="B3136" s="718"/>
      <c r="C3136" s="250"/>
      <c r="D3136" s="250"/>
      <c r="E3136" s="250"/>
      <c r="F3136" s="250"/>
      <c r="G3136" s="471"/>
      <c r="H3136" s="250"/>
      <c r="I3136" s="471"/>
    </row>
    <row r="3137" spans="1:9" ht="12.75">
      <c r="A3137" s="717"/>
      <c r="B3137" s="718"/>
      <c r="C3137" s="250"/>
      <c r="D3137" s="250"/>
      <c r="E3137" s="250"/>
      <c r="F3137" s="250"/>
      <c r="G3137" s="471"/>
      <c r="H3137" s="250"/>
      <c r="I3137" s="471"/>
    </row>
    <row r="3138" spans="1:9" ht="12.75">
      <c r="A3138" s="717"/>
      <c r="B3138" s="718"/>
      <c r="C3138" s="250"/>
      <c r="D3138" s="250"/>
      <c r="E3138" s="250"/>
      <c r="F3138" s="250"/>
      <c r="G3138" s="471"/>
      <c r="H3138" s="250"/>
      <c r="I3138" s="471"/>
    </row>
    <row r="3139" spans="1:9" ht="12.75">
      <c r="A3139" s="717"/>
      <c r="B3139" s="718"/>
      <c r="C3139" s="250"/>
      <c r="D3139" s="250"/>
      <c r="E3139" s="250"/>
      <c r="F3139" s="250"/>
      <c r="G3139" s="471"/>
      <c r="H3139" s="250"/>
      <c r="I3139" s="471"/>
    </row>
    <row r="3140" spans="1:9" ht="12.75">
      <c r="A3140" s="717"/>
      <c r="B3140" s="718"/>
      <c r="C3140" s="250"/>
      <c r="D3140" s="250"/>
      <c r="E3140" s="250"/>
      <c r="F3140" s="250"/>
      <c r="G3140" s="471"/>
      <c r="H3140" s="250"/>
      <c r="I3140" s="471"/>
    </row>
    <row r="3141" spans="1:9" ht="12.75">
      <c r="A3141" s="717"/>
      <c r="B3141" s="718"/>
      <c r="C3141" s="250"/>
      <c r="D3141" s="250"/>
      <c r="E3141" s="250"/>
      <c r="F3141" s="250"/>
      <c r="G3141" s="471"/>
      <c r="H3141" s="250"/>
      <c r="I3141" s="471"/>
    </row>
    <row r="3142" spans="1:9" ht="12.75">
      <c r="A3142" s="717"/>
      <c r="B3142" s="718"/>
      <c r="C3142" s="250"/>
      <c r="D3142" s="250"/>
      <c r="E3142" s="250"/>
      <c r="F3142" s="250"/>
      <c r="G3142" s="471"/>
      <c r="H3142" s="250"/>
      <c r="I3142" s="471"/>
    </row>
    <row r="3143" spans="1:9" ht="12.75">
      <c r="A3143" s="717"/>
      <c r="B3143" s="718"/>
      <c r="C3143" s="250"/>
      <c r="D3143" s="250"/>
      <c r="E3143" s="250"/>
      <c r="F3143" s="250"/>
      <c r="G3143" s="471"/>
      <c r="H3143" s="250"/>
      <c r="I3143" s="471"/>
    </row>
    <row r="3144" spans="1:9" ht="12.75">
      <c r="A3144" s="717"/>
      <c r="B3144" s="718"/>
      <c r="C3144" s="250"/>
      <c r="D3144" s="250"/>
      <c r="E3144" s="250"/>
      <c r="F3144" s="250"/>
      <c r="G3144" s="471"/>
      <c r="H3144" s="250"/>
      <c r="I3144" s="471"/>
    </row>
    <row r="3145" spans="1:9" ht="12.75">
      <c r="A3145" s="717"/>
      <c r="B3145" s="718"/>
      <c r="C3145" s="250"/>
      <c r="D3145" s="250"/>
      <c r="E3145" s="250"/>
      <c r="F3145" s="250"/>
      <c r="G3145" s="471"/>
      <c r="H3145" s="250"/>
      <c r="I3145" s="471"/>
    </row>
    <row r="3146" spans="1:9" ht="12.75">
      <c r="A3146" s="717"/>
      <c r="B3146" s="719"/>
      <c r="C3146" s="250"/>
      <c r="D3146" s="250"/>
      <c r="E3146" s="250"/>
      <c r="F3146" s="250"/>
      <c r="G3146" s="471"/>
      <c r="H3146" s="250"/>
      <c r="I3146" s="471"/>
    </row>
    <row r="3147" spans="1:9" ht="12.75">
      <c r="A3147" s="717"/>
      <c r="B3147" s="718"/>
      <c r="C3147" s="250"/>
      <c r="D3147" s="250"/>
      <c r="E3147" s="250"/>
      <c r="F3147" s="250"/>
      <c r="G3147" s="471"/>
      <c r="H3147" s="250"/>
      <c r="I3147" s="471"/>
    </row>
    <row r="3148" spans="1:9" ht="12.75">
      <c r="A3148" s="717"/>
      <c r="B3148" s="718"/>
      <c r="C3148" s="250"/>
      <c r="D3148" s="250"/>
      <c r="E3148" s="250"/>
      <c r="F3148" s="250"/>
      <c r="G3148" s="471"/>
      <c r="H3148" s="250"/>
      <c r="I3148" s="471"/>
    </row>
    <row r="3149" spans="1:9" ht="12.75">
      <c r="A3149" s="717"/>
      <c r="B3149" s="718"/>
      <c r="C3149" s="250"/>
      <c r="D3149" s="250"/>
      <c r="E3149" s="250"/>
      <c r="F3149" s="250"/>
      <c r="G3149" s="471"/>
      <c r="H3149" s="250"/>
      <c r="I3149" s="471"/>
    </row>
    <row r="3150" spans="1:9" ht="12.75">
      <c r="A3150" s="717"/>
      <c r="B3150" s="718"/>
      <c r="C3150" s="250"/>
      <c r="D3150" s="250"/>
      <c r="E3150" s="250"/>
      <c r="F3150" s="250"/>
      <c r="G3150" s="471"/>
      <c r="H3150" s="250"/>
      <c r="I3150" s="471"/>
    </row>
    <row r="3151" spans="1:9" ht="12.75">
      <c r="A3151" s="717"/>
      <c r="B3151" s="718"/>
      <c r="C3151" s="250"/>
      <c r="D3151" s="250"/>
      <c r="E3151" s="250"/>
      <c r="F3151" s="250"/>
      <c r="G3151" s="471"/>
      <c r="H3151" s="250"/>
      <c r="I3151" s="471"/>
    </row>
    <row r="3152" spans="1:9" ht="12.75">
      <c r="A3152" s="717"/>
      <c r="B3152" s="718"/>
      <c r="C3152" s="250"/>
      <c r="D3152" s="250"/>
      <c r="E3152" s="250"/>
      <c r="F3152" s="250"/>
      <c r="G3152" s="471"/>
      <c r="H3152" s="250"/>
      <c r="I3152" s="471"/>
    </row>
    <row r="3153" spans="1:9" ht="12.75">
      <c r="A3153" s="717"/>
      <c r="B3153" s="718"/>
      <c r="C3153" s="250"/>
      <c r="D3153" s="250"/>
      <c r="E3153" s="250"/>
      <c r="F3153" s="250"/>
      <c r="G3153" s="471"/>
      <c r="H3153" s="250"/>
      <c r="I3153" s="471"/>
    </row>
    <row r="3154" spans="1:9" ht="12.75">
      <c r="A3154" s="717"/>
      <c r="B3154" s="718"/>
      <c r="C3154" s="250"/>
      <c r="D3154" s="250"/>
      <c r="E3154" s="250"/>
      <c r="F3154" s="250"/>
      <c r="G3154" s="471"/>
      <c r="H3154" s="250"/>
      <c r="I3154" s="471"/>
    </row>
    <row r="3155" spans="1:9" ht="12.75">
      <c r="A3155" s="717"/>
      <c r="B3155" s="718"/>
      <c r="C3155" s="250"/>
      <c r="D3155" s="250"/>
      <c r="E3155" s="250"/>
      <c r="F3155" s="250"/>
      <c r="G3155" s="471"/>
      <c r="H3155" s="250"/>
      <c r="I3155" s="471"/>
    </row>
    <row r="3156" spans="1:9" ht="12.75">
      <c r="A3156" s="717"/>
      <c r="B3156" s="718"/>
      <c r="C3156" s="250"/>
      <c r="D3156" s="250"/>
      <c r="E3156" s="250"/>
      <c r="F3156" s="250"/>
      <c r="G3156" s="471"/>
      <c r="H3156" s="250"/>
      <c r="I3156" s="471"/>
    </row>
    <row r="3157" spans="1:9" ht="12.75">
      <c r="A3157" s="717"/>
      <c r="B3157" s="718"/>
      <c r="C3157" s="250"/>
      <c r="D3157" s="250"/>
      <c r="E3157" s="250"/>
      <c r="F3157" s="250"/>
      <c r="G3157" s="471"/>
      <c r="H3157" s="250"/>
      <c r="I3157" s="471"/>
    </row>
    <row r="3158" spans="1:9" ht="12.75">
      <c r="A3158" s="717"/>
      <c r="B3158" s="718"/>
      <c r="C3158" s="250"/>
      <c r="D3158" s="250"/>
      <c r="E3158" s="250"/>
      <c r="F3158" s="250"/>
      <c r="G3158" s="471"/>
      <c r="H3158" s="250"/>
      <c r="I3158" s="471"/>
    </row>
    <row r="3159" spans="1:9" ht="12.75">
      <c r="A3159" s="717"/>
      <c r="B3159" s="718"/>
      <c r="C3159" s="250"/>
      <c r="D3159" s="250"/>
      <c r="E3159" s="250"/>
      <c r="F3159" s="250"/>
      <c r="G3159" s="471"/>
      <c r="H3159" s="250"/>
      <c r="I3159" s="471"/>
    </row>
    <row r="3160" spans="1:9" ht="12.75">
      <c r="A3160" s="717"/>
      <c r="B3160" s="718"/>
      <c r="C3160" s="250"/>
      <c r="D3160" s="250"/>
      <c r="E3160" s="250"/>
      <c r="F3160" s="250"/>
      <c r="G3160" s="471"/>
      <c r="H3160" s="250"/>
      <c r="I3160" s="471"/>
    </row>
    <row r="3161" spans="1:9" ht="12.75">
      <c r="A3161" s="717"/>
      <c r="B3161" s="718"/>
      <c r="C3161" s="250"/>
      <c r="D3161" s="250"/>
      <c r="E3161" s="250"/>
      <c r="F3161" s="250"/>
      <c r="G3161" s="471"/>
      <c r="H3161" s="250"/>
      <c r="I3161" s="471"/>
    </row>
    <row r="3162" spans="1:9" ht="12.75">
      <c r="A3162" s="717"/>
      <c r="B3162" s="718"/>
      <c r="C3162" s="250"/>
      <c r="D3162" s="250"/>
      <c r="E3162" s="250"/>
      <c r="F3162" s="250"/>
      <c r="G3162" s="471"/>
      <c r="H3162" s="250"/>
      <c r="I3162" s="471"/>
    </row>
    <row r="3163" spans="1:9" ht="12.75">
      <c r="A3163" s="717"/>
      <c r="B3163" s="718"/>
      <c r="C3163" s="250"/>
      <c r="D3163" s="250"/>
      <c r="E3163" s="250"/>
      <c r="F3163" s="250"/>
      <c r="G3163" s="471"/>
      <c r="H3163" s="250"/>
      <c r="I3163" s="471"/>
    </row>
    <row r="3164" spans="1:9" ht="12.75">
      <c r="A3164" s="717"/>
      <c r="B3164" s="718"/>
      <c r="C3164" s="250"/>
      <c r="D3164" s="250"/>
      <c r="E3164" s="250"/>
      <c r="F3164" s="250"/>
      <c r="G3164" s="471"/>
      <c r="H3164" s="250"/>
      <c r="I3164" s="471"/>
    </row>
    <row r="3165" spans="1:9" ht="12.75">
      <c r="A3165" s="717"/>
      <c r="B3165" s="718"/>
      <c r="C3165" s="250"/>
      <c r="D3165" s="250"/>
      <c r="E3165" s="250"/>
      <c r="F3165" s="250"/>
      <c r="G3165" s="471"/>
      <c r="H3165" s="250"/>
      <c r="I3165" s="471"/>
    </row>
    <row r="3166" spans="1:9" ht="12.75">
      <c r="A3166" s="717"/>
      <c r="B3166" s="718"/>
      <c r="C3166" s="250"/>
      <c r="D3166" s="250"/>
      <c r="E3166" s="250"/>
      <c r="F3166" s="250"/>
      <c r="G3166" s="471"/>
      <c r="H3166" s="250"/>
      <c r="I3166" s="471"/>
    </row>
    <row r="3167" spans="1:9" ht="12.75">
      <c r="A3167" s="717"/>
      <c r="B3167" s="718"/>
      <c r="C3167" s="250"/>
      <c r="D3167" s="250"/>
      <c r="E3167" s="250"/>
      <c r="F3167" s="250"/>
      <c r="G3167" s="471"/>
      <c r="H3167" s="250"/>
      <c r="I3167" s="471"/>
    </row>
    <row r="3168" spans="1:9" ht="12.75">
      <c r="A3168" s="717"/>
      <c r="B3168" s="718"/>
      <c r="C3168" s="250"/>
      <c r="D3168" s="250"/>
      <c r="E3168" s="250"/>
      <c r="F3168" s="250"/>
      <c r="G3168" s="471"/>
      <c r="H3168" s="250"/>
      <c r="I3168" s="471"/>
    </row>
    <row r="3169" spans="1:9" ht="12.75">
      <c r="A3169" s="717"/>
      <c r="B3169" s="718"/>
      <c r="C3169" s="250"/>
      <c r="D3169" s="250"/>
      <c r="E3169" s="250"/>
      <c r="F3169" s="250"/>
      <c r="G3169" s="471"/>
      <c r="H3169" s="250"/>
      <c r="I3169" s="471"/>
    </row>
    <row r="3170" spans="1:9" ht="12.75">
      <c r="A3170" s="717"/>
      <c r="B3170" s="718"/>
      <c r="C3170" s="250"/>
      <c r="D3170" s="250"/>
      <c r="E3170" s="250"/>
      <c r="F3170" s="250"/>
      <c r="G3170" s="471"/>
      <c r="H3170" s="250"/>
      <c r="I3170" s="471"/>
    </row>
    <row r="3171" spans="1:9" ht="12.75">
      <c r="A3171" s="717"/>
      <c r="B3171" s="718"/>
      <c r="C3171" s="250"/>
      <c r="D3171" s="250"/>
      <c r="E3171" s="250"/>
      <c r="F3171" s="250"/>
      <c r="G3171" s="471"/>
      <c r="H3171" s="250"/>
      <c r="I3171" s="471"/>
    </row>
    <row r="3172" spans="1:9" ht="12.75">
      <c r="A3172" s="717"/>
      <c r="B3172" s="718"/>
      <c r="C3172" s="250"/>
      <c r="D3172" s="250"/>
      <c r="E3172" s="250"/>
      <c r="F3172" s="250"/>
      <c r="G3172" s="471"/>
      <c r="H3172" s="250"/>
      <c r="I3172" s="471"/>
    </row>
    <row r="3173" spans="1:9" ht="12.75">
      <c r="A3173" s="717"/>
      <c r="B3173" s="718"/>
      <c r="C3173" s="250"/>
      <c r="D3173" s="250"/>
      <c r="E3173" s="250"/>
      <c r="F3173" s="250"/>
      <c r="G3173" s="471"/>
      <c r="H3173" s="250"/>
      <c r="I3173" s="471"/>
    </row>
    <row r="3174" spans="1:9" ht="12.75">
      <c r="A3174" s="717"/>
      <c r="B3174" s="718"/>
      <c r="C3174" s="250"/>
      <c r="D3174" s="250"/>
      <c r="E3174" s="250"/>
      <c r="F3174" s="250"/>
      <c r="G3174" s="471"/>
      <c r="H3174" s="250"/>
      <c r="I3174" s="471"/>
    </row>
    <row r="3175" spans="1:9" ht="12.75">
      <c r="A3175" s="717"/>
      <c r="B3175" s="718"/>
      <c r="C3175" s="250"/>
      <c r="D3175" s="250"/>
      <c r="E3175" s="250"/>
      <c r="F3175" s="250"/>
      <c r="G3175" s="471"/>
      <c r="H3175" s="250"/>
      <c r="I3175" s="471"/>
    </row>
    <row r="3176" spans="1:9" ht="12.75">
      <c r="A3176" s="717"/>
      <c r="B3176" s="718"/>
      <c r="C3176" s="250"/>
      <c r="D3176" s="250"/>
      <c r="E3176" s="250"/>
      <c r="F3176" s="250"/>
      <c r="G3176" s="471"/>
      <c r="H3176" s="250"/>
      <c r="I3176" s="471"/>
    </row>
    <row r="3177" spans="1:9" ht="12.75">
      <c r="A3177" s="717"/>
      <c r="B3177" s="718"/>
      <c r="C3177" s="250"/>
      <c r="D3177" s="250"/>
      <c r="E3177" s="250"/>
      <c r="F3177" s="250"/>
      <c r="G3177" s="471"/>
      <c r="H3177" s="250"/>
      <c r="I3177" s="471"/>
    </row>
    <row r="3178" spans="1:9" ht="12.75">
      <c r="A3178" s="717"/>
      <c r="B3178" s="718"/>
      <c r="C3178" s="250"/>
      <c r="D3178" s="250"/>
      <c r="E3178" s="250"/>
      <c r="F3178" s="250"/>
      <c r="G3178" s="471"/>
      <c r="H3178" s="250"/>
      <c r="I3178" s="471"/>
    </row>
    <row r="3179" spans="1:9" ht="12.75">
      <c r="A3179" s="717"/>
      <c r="B3179" s="718"/>
      <c r="C3179" s="250"/>
      <c r="D3179" s="250"/>
      <c r="E3179" s="250"/>
      <c r="F3179" s="250"/>
      <c r="G3179" s="471"/>
      <c r="H3179" s="250"/>
      <c r="I3179" s="471"/>
    </row>
    <row r="3180" spans="1:9" ht="12.75">
      <c r="A3180" s="717"/>
      <c r="B3180" s="718"/>
      <c r="C3180" s="250"/>
      <c r="D3180" s="250"/>
      <c r="E3180" s="250"/>
      <c r="F3180" s="250"/>
      <c r="G3180" s="471"/>
      <c r="H3180" s="250"/>
      <c r="I3180" s="471"/>
    </row>
    <row r="3181" spans="1:9" ht="12.75">
      <c r="A3181" s="717"/>
      <c r="B3181" s="718"/>
      <c r="C3181" s="250"/>
      <c r="D3181" s="250"/>
      <c r="E3181" s="250"/>
      <c r="F3181" s="250"/>
      <c r="G3181" s="471"/>
      <c r="H3181" s="250"/>
      <c r="I3181" s="471"/>
    </row>
    <row r="3182" spans="1:9" ht="12.75">
      <c r="A3182" s="717"/>
      <c r="B3182" s="718"/>
      <c r="C3182" s="250"/>
      <c r="D3182" s="250"/>
      <c r="E3182" s="250"/>
      <c r="F3182" s="250"/>
      <c r="G3182" s="471"/>
      <c r="H3182" s="250"/>
      <c r="I3182" s="471"/>
    </row>
    <row r="3183" spans="1:9" ht="12.75">
      <c r="A3183" s="717"/>
      <c r="B3183" s="718"/>
      <c r="C3183" s="250"/>
      <c r="D3183" s="250"/>
      <c r="E3183" s="250"/>
      <c r="F3183" s="250"/>
      <c r="G3183" s="471"/>
      <c r="H3183" s="250"/>
      <c r="I3183" s="471"/>
    </row>
    <row r="3184" spans="1:9" ht="12.75">
      <c r="A3184" s="717"/>
      <c r="B3184" s="718"/>
      <c r="C3184" s="250"/>
      <c r="D3184" s="250"/>
      <c r="E3184" s="250"/>
      <c r="F3184" s="250"/>
      <c r="G3184" s="471"/>
      <c r="H3184" s="250"/>
      <c r="I3184" s="471"/>
    </row>
    <row r="3185" spans="1:9" ht="12.75">
      <c r="A3185" s="717"/>
      <c r="B3185" s="718"/>
      <c r="C3185" s="250"/>
      <c r="D3185" s="250"/>
      <c r="E3185" s="250"/>
      <c r="F3185" s="250"/>
      <c r="G3185" s="471"/>
      <c r="H3185" s="250"/>
      <c r="I3185" s="471"/>
    </row>
    <row r="3186" spans="1:9" ht="12.75">
      <c r="A3186" s="717"/>
      <c r="B3186" s="718"/>
      <c r="C3186" s="250"/>
      <c r="D3186" s="250"/>
      <c r="E3186" s="250"/>
      <c r="F3186" s="250"/>
      <c r="G3186" s="471"/>
      <c r="H3186" s="250"/>
      <c r="I3186" s="471"/>
    </row>
    <row r="3187" spans="1:9" ht="12.75">
      <c r="A3187" s="717"/>
      <c r="B3187" s="718"/>
      <c r="C3187" s="250"/>
      <c r="D3187" s="250"/>
      <c r="E3187" s="250"/>
      <c r="F3187" s="250"/>
      <c r="G3187" s="471"/>
      <c r="H3187" s="250"/>
      <c r="I3187" s="471"/>
    </row>
    <row r="3188" spans="1:9" ht="12.75">
      <c r="A3188" s="717"/>
      <c r="B3188" s="718"/>
      <c r="C3188" s="250"/>
      <c r="D3188" s="250"/>
      <c r="E3188" s="250"/>
      <c r="F3188" s="250"/>
      <c r="G3188" s="471"/>
      <c r="H3188" s="250"/>
      <c r="I3188" s="471"/>
    </row>
    <row r="3189" spans="1:9" ht="12.75">
      <c r="A3189" s="717"/>
      <c r="B3189" s="718"/>
      <c r="C3189" s="250"/>
      <c r="D3189" s="250"/>
      <c r="E3189" s="250"/>
      <c r="F3189" s="250"/>
      <c r="G3189" s="471"/>
      <c r="H3189" s="250"/>
      <c r="I3189" s="471"/>
    </row>
    <row r="3190" spans="1:9" ht="12.75">
      <c r="A3190" s="717"/>
      <c r="B3190" s="718"/>
      <c r="C3190" s="250"/>
      <c r="D3190" s="250"/>
      <c r="E3190" s="250"/>
      <c r="F3190" s="250"/>
      <c r="G3190" s="471"/>
      <c r="H3190" s="250"/>
      <c r="I3190" s="471"/>
    </row>
    <row r="3191" spans="1:9" ht="12.75">
      <c r="A3191" s="717"/>
      <c r="B3191" s="718"/>
      <c r="C3191" s="250"/>
      <c r="D3191" s="250"/>
      <c r="E3191" s="250"/>
      <c r="F3191" s="250"/>
      <c r="G3191" s="471"/>
      <c r="H3191" s="250"/>
      <c r="I3191" s="471"/>
    </row>
    <row r="3192" spans="1:9" ht="12.75">
      <c r="A3192" s="717"/>
      <c r="B3192" s="718"/>
      <c r="C3192" s="250"/>
      <c r="D3192" s="250"/>
      <c r="E3192" s="250"/>
      <c r="F3192" s="250"/>
      <c r="G3192" s="471"/>
      <c r="H3192" s="250"/>
      <c r="I3192" s="471"/>
    </row>
    <row r="3193" spans="1:9" ht="12.75">
      <c r="A3193" s="717"/>
      <c r="B3193" s="718"/>
      <c r="C3193" s="250"/>
      <c r="D3193" s="250"/>
      <c r="E3193" s="250"/>
      <c r="F3193" s="250"/>
      <c r="G3193" s="471"/>
      <c r="H3193" s="250"/>
      <c r="I3193" s="471"/>
    </row>
    <row r="3194" spans="1:9" ht="12.75">
      <c r="A3194" s="717"/>
      <c r="B3194" s="718"/>
      <c r="C3194" s="250"/>
      <c r="D3194" s="250"/>
      <c r="E3194" s="250"/>
      <c r="F3194" s="250"/>
      <c r="G3194" s="471"/>
      <c r="H3194" s="250"/>
      <c r="I3194" s="471"/>
    </row>
    <row r="3195" spans="1:9" ht="12.75">
      <c r="A3195" s="717"/>
      <c r="B3195" s="718"/>
      <c r="C3195" s="250"/>
      <c r="D3195" s="250"/>
      <c r="E3195" s="250"/>
      <c r="F3195" s="250"/>
      <c r="G3195" s="471"/>
      <c r="H3195" s="250"/>
      <c r="I3195" s="471"/>
    </row>
    <row r="3196" spans="1:9" ht="12.75">
      <c r="A3196" s="717"/>
      <c r="B3196" s="718"/>
      <c r="C3196" s="250"/>
      <c r="D3196" s="250"/>
      <c r="E3196" s="250"/>
      <c r="F3196" s="250"/>
      <c r="G3196" s="471"/>
      <c r="H3196" s="250"/>
      <c r="I3196" s="471"/>
    </row>
    <row r="3197" spans="1:9" ht="12.75">
      <c r="A3197" s="717"/>
      <c r="B3197" s="718"/>
      <c r="C3197" s="250"/>
      <c r="D3197" s="250"/>
      <c r="E3197" s="250"/>
      <c r="F3197" s="250"/>
      <c r="G3197" s="471"/>
      <c r="H3197" s="250"/>
      <c r="I3197" s="471"/>
    </row>
    <row r="3198" spans="1:9" ht="12.75">
      <c r="A3198" s="717"/>
      <c r="B3198" s="718"/>
      <c r="C3198" s="250"/>
      <c r="D3198" s="250"/>
      <c r="E3198" s="250"/>
      <c r="F3198" s="250"/>
      <c r="G3198" s="471"/>
      <c r="H3198" s="250"/>
      <c r="I3198" s="471"/>
    </row>
    <row r="3199" spans="1:9" ht="12.75">
      <c r="A3199" s="717"/>
      <c r="B3199" s="718"/>
      <c r="C3199" s="250"/>
      <c r="D3199" s="250"/>
      <c r="E3199" s="250"/>
      <c r="F3199" s="250"/>
      <c r="G3199" s="471"/>
      <c r="H3199" s="250"/>
      <c r="I3199" s="471"/>
    </row>
    <row r="3200" spans="1:9" ht="12.75">
      <c r="A3200" s="717"/>
      <c r="B3200" s="718"/>
      <c r="C3200" s="250"/>
      <c r="D3200" s="250"/>
      <c r="E3200" s="250"/>
      <c r="F3200" s="250"/>
      <c r="G3200" s="471"/>
      <c r="H3200" s="250"/>
      <c r="I3200" s="471"/>
    </row>
    <row r="3201" spans="1:9" ht="12.75">
      <c r="A3201" s="717"/>
      <c r="B3201" s="718"/>
      <c r="C3201" s="250"/>
      <c r="D3201" s="250"/>
      <c r="E3201" s="250"/>
      <c r="F3201" s="250"/>
      <c r="G3201" s="471"/>
      <c r="H3201" s="250"/>
      <c r="I3201" s="471"/>
    </row>
    <row r="3202" spans="1:9" ht="12.75">
      <c r="A3202" s="717"/>
      <c r="B3202" s="718"/>
      <c r="C3202" s="250"/>
      <c r="D3202" s="250"/>
      <c r="E3202" s="250"/>
      <c r="F3202" s="250"/>
      <c r="G3202" s="471"/>
      <c r="H3202" s="250"/>
      <c r="I3202" s="471"/>
    </row>
    <row r="3203" spans="1:9" ht="12.75">
      <c r="A3203" s="717"/>
      <c r="B3203" s="718"/>
      <c r="C3203" s="250"/>
      <c r="D3203" s="250"/>
      <c r="E3203" s="250"/>
      <c r="F3203" s="250"/>
      <c r="G3203" s="471"/>
      <c r="H3203" s="250"/>
      <c r="I3203" s="471"/>
    </row>
    <row r="3204" spans="1:9" ht="12.75">
      <c r="A3204" s="717"/>
      <c r="B3204" s="718"/>
      <c r="C3204" s="250"/>
      <c r="D3204" s="250"/>
      <c r="E3204" s="250"/>
      <c r="F3204" s="250"/>
      <c r="G3204" s="471"/>
      <c r="H3204" s="250"/>
      <c r="I3204" s="471"/>
    </row>
    <row r="3205" spans="1:9" ht="12.75">
      <c r="A3205" s="717"/>
      <c r="B3205" s="718"/>
      <c r="C3205" s="250"/>
      <c r="D3205" s="250"/>
      <c r="E3205" s="250"/>
      <c r="F3205" s="250"/>
      <c r="G3205" s="471"/>
      <c r="H3205" s="250"/>
      <c r="I3205" s="471"/>
    </row>
    <row r="3206" spans="1:9" ht="12.75">
      <c r="A3206" s="717"/>
      <c r="B3206" s="718"/>
      <c r="C3206" s="250"/>
      <c r="D3206" s="250"/>
      <c r="E3206" s="250"/>
      <c r="F3206" s="250"/>
      <c r="G3206" s="471"/>
      <c r="H3206" s="250"/>
      <c r="I3206" s="471"/>
    </row>
    <row r="3207" spans="1:9" ht="12.75">
      <c r="A3207" s="717"/>
      <c r="B3207" s="718"/>
      <c r="C3207" s="250"/>
      <c r="D3207" s="250"/>
      <c r="E3207" s="250"/>
      <c r="F3207" s="250"/>
      <c r="G3207" s="471"/>
      <c r="H3207" s="250"/>
      <c r="I3207" s="471"/>
    </row>
    <row r="3208" spans="1:9" ht="12.75">
      <c r="A3208" s="717"/>
      <c r="B3208" s="718"/>
      <c r="C3208" s="250"/>
      <c r="D3208" s="250"/>
      <c r="E3208" s="250"/>
      <c r="F3208" s="250"/>
      <c r="G3208" s="471"/>
      <c r="H3208" s="250"/>
      <c r="I3208" s="471"/>
    </row>
    <row r="3209" spans="1:9" ht="12.75">
      <c r="A3209" s="717"/>
      <c r="B3209" s="718"/>
      <c r="C3209" s="250"/>
      <c r="D3209" s="250"/>
      <c r="E3209" s="250"/>
      <c r="F3209" s="250"/>
      <c r="G3209" s="471"/>
      <c r="H3209" s="250"/>
      <c r="I3209" s="471"/>
    </row>
    <row r="3210" spans="1:9" ht="12.75">
      <c r="A3210" s="717"/>
      <c r="B3210" s="718"/>
      <c r="C3210" s="250"/>
      <c r="D3210" s="250"/>
      <c r="E3210" s="250"/>
      <c r="F3210" s="250"/>
      <c r="G3210" s="471"/>
      <c r="H3210" s="250"/>
      <c r="I3210" s="471"/>
    </row>
    <row r="3211" spans="1:9" ht="12.75">
      <c r="A3211" s="717"/>
      <c r="B3211" s="718"/>
      <c r="C3211" s="250"/>
      <c r="D3211" s="250"/>
      <c r="E3211" s="250"/>
      <c r="F3211" s="250"/>
      <c r="G3211" s="471"/>
      <c r="H3211" s="250"/>
      <c r="I3211" s="471"/>
    </row>
    <row r="3212" spans="1:9" ht="12.75">
      <c r="A3212" s="717"/>
      <c r="B3212" s="718"/>
      <c r="C3212" s="250"/>
      <c r="D3212" s="250"/>
      <c r="E3212" s="250"/>
      <c r="F3212" s="250"/>
      <c r="G3212" s="471"/>
      <c r="H3212" s="250"/>
      <c r="I3212" s="471"/>
    </row>
    <row r="3213" spans="1:9" ht="12.75">
      <c r="A3213" s="717"/>
      <c r="B3213" s="718"/>
      <c r="C3213" s="250"/>
      <c r="D3213" s="250"/>
      <c r="E3213" s="250"/>
      <c r="F3213" s="250"/>
      <c r="G3213" s="471"/>
      <c r="H3213" s="250"/>
      <c r="I3213" s="471"/>
    </row>
    <row r="3214" spans="1:9" ht="12.75">
      <c r="A3214" s="717"/>
      <c r="B3214" s="718"/>
      <c r="C3214" s="250"/>
      <c r="D3214" s="250"/>
      <c r="E3214" s="250"/>
      <c r="F3214" s="250"/>
      <c r="G3214" s="471"/>
      <c r="H3214" s="250"/>
      <c r="I3214" s="471"/>
    </row>
    <row r="3215" spans="1:9" ht="12.75">
      <c r="A3215" s="717"/>
      <c r="B3215" s="718"/>
      <c r="C3215" s="250"/>
      <c r="D3215" s="250"/>
      <c r="E3215" s="250"/>
      <c r="F3215" s="250"/>
      <c r="G3215" s="471"/>
      <c r="H3215" s="250"/>
      <c r="I3215" s="471"/>
    </row>
    <row r="3216" spans="1:9" ht="12.75">
      <c r="A3216" s="717"/>
      <c r="B3216" s="718"/>
      <c r="C3216" s="250"/>
      <c r="D3216" s="250"/>
      <c r="E3216" s="250"/>
      <c r="F3216" s="250"/>
      <c r="G3216" s="471"/>
      <c r="H3216" s="250"/>
      <c r="I3216" s="471"/>
    </row>
    <row r="3217" spans="1:9" ht="12.75">
      <c r="A3217" s="717"/>
      <c r="B3217" s="718"/>
      <c r="C3217" s="250"/>
      <c r="D3217" s="250"/>
      <c r="E3217" s="250"/>
      <c r="F3217" s="250"/>
      <c r="G3217" s="471"/>
      <c r="H3217" s="250"/>
      <c r="I3217" s="471"/>
    </row>
    <row r="3218" spans="1:9" ht="12.75">
      <c r="A3218" s="717"/>
      <c r="B3218" s="718"/>
      <c r="C3218" s="250"/>
      <c r="D3218" s="250"/>
      <c r="E3218" s="250"/>
      <c r="F3218" s="250"/>
      <c r="G3218" s="471"/>
      <c r="H3218" s="250"/>
      <c r="I3218" s="471"/>
    </row>
    <row r="3219" spans="1:9" ht="12.75">
      <c r="A3219" s="717"/>
      <c r="B3219" s="718"/>
      <c r="C3219" s="250"/>
      <c r="D3219" s="250"/>
      <c r="E3219" s="250"/>
      <c r="F3219" s="250"/>
      <c r="G3219" s="471"/>
      <c r="H3219" s="250"/>
      <c r="I3219" s="471"/>
    </row>
    <row r="3220" spans="1:9" ht="12.75">
      <c r="A3220" s="717"/>
      <c r="B3220" s="718"/>
      <c r="C3220" s="250"/>
      <c r="D3220" s="250"/>
      <c r="E3220" s="250"/>
      <c r="F3220" s="250"/>
      <c r="G3220" s="471"/>
      <c r="H3220" s="250"/>
      <c r="I3220" s="471"/>
    </row>
    <row r="3221" spans="1:9" ht="12.75">
      <c r="A3221" s="717"/>
      <c r="B3221" s="718"/>
      <c r="C3221" s="250"/>
      <c r="D3221" s="250"/>
      <c r="E3221" s="250"/>
      <c r="F3221" s="250"/>
      <c r="G3221" s="471"/>
      <c r="H3221" s="250"/>
      <c r="I3221" s="471"/>
    </row>
    <row r="3222" spans="1:9" ht="12.75">
      <c r="A3222" s="717"/>
      <c r="B3222" s="718"/>
      <c r="C3222" s="250"/>
      <c r="D3222" s="250"/>
      <c r="E3222" s="250"/>
      <c r="F3222" s="250"/>
      <c r="G3222" s="471"/>
      <c r="H3222" s="250"/>
      <c r="I3222" s="471"/>
    </row>
    <row r="3223" spans="1:9" ht="12.75">
      <c r="A3223" s="717"/>
      <c r="B3223" s="718"/>
      <c r="C3223" s="250"/>
      <c r="D3223" s="250"/>
      <c r="E3223" s="250"/>
      <c r="F3223" s="250"/>
      <c r="G3223" s="471"/>
      <c r="H3223" s="250"/>
      <c r="I3223" s="471"/>
    </row>
    <row r="3224" spans="1:9" ht="12.75">
      <c r="A3224" s="717"/>
      <c r="B3224" s="718"/>
      <c r="C3224" s="250"/>
      <c r="D3224" s="250"/>
      <c r="E3224" s="250"/>
      <c r="F3224" s="250"/>
      <c r="G3224" s="471"/>
      <c r="H3224" s="250"/>
      <c r="I3224" s="471"/>
    </row>
    <row r="3225" spans="1:9" ht="12.75">
      <c r="A3225" s="717"/>
      <c r="B3225" s="718"/>
      <c r="C3225" s="250"/>
      <c r="D3225" s="250"/>
      <c r="E3225" s="250"/>
      <c r="F3225" s="250"/>
      <c r="G3225" s="471"/>
      <c r="H3225" s="250"/>
      <c r="I3225" s="471"/>
    </row>
    <row r="3226" spans="1:9" ht="12.75">
      <c r="A3226" s="717"/>
      <c r="B3226" s="718"/>
      <c r="C3226" s="250"/>
      <c r="D3226" s="250"/>
      <c r="E3226" s="250"/>
      <c r="F3226" s="250"/>
      <c r="G3226" s="471"/>
      <c r="H3226" s="250"/>
      <c r="I3226" s="471"/>
    </row>
    <row r="3227" spans="1:9" ht="12.75">
      <c r="A3227" s="717"/>
      <c r="B3227" s="718"/>
      <c r="C3227" s="250"/>
      <c r="D3227" s="250"/>
      <c r="E3227" s="250"/>
      <c r="F3227" s="250"/>
      <c r="G3227" s="471"/>
      <c r="H3227" s="250"/>
      <c r="I3227" s="471"/>
    </row>
    <row r="3228" spans="1:9" ht="12.75">
      <c r="A3228" s="717"/>
      <c r="B3228" s="718"/>
      <c r="C3228" s="250"/>
      <c r="D3228" s="250"/>
      <c r="E3228" s="250"/>
      <c r="F3228" s="250"/>
      <c r="G3228" s="471"/>
      <c r="H3228" s="250"/>
      <c r="I3228" s="471"/>
    </row>
    <row r="3229" spans="1:9" ht="12.75">
      <c r="A3229" s="717"/>
      <c r="B3229" s="718"/>
      <c r="C3229" s="250"/>
      <c r="D3229" s="250"/>
      <c r="E3229" s="250"/>
      <c r="F3229" s="250"/>
      <c r="G3229" s="471"/>
      <c r="H3229" s="250"/>
      <c r="I3229" s="471"/>
    </row>
    <row r="3230" spans="1:9" ht="12.75">
      <c r="A3230" s="717"/>
      <c r="B3230" s="718"/>
      <c r="C3230" s="250"/>
      <c r="D3230" s="250"/>
      <c r="E3230" s="250"/>
      <c r="F3230" s="250"/>
      <c r="G3230" s="471"/>
      <c r="H3230" s="250"/>
      <c r="I3230" s="471"/>
    </row>
    <row r="3231" spans="1:9" ht="12.75">
      <c r="A3231" s="717"/>
      <c r="B3231" s="718"/>
      <c r="C3231" s="250"/>
      <c r="D3231" s="250"/>
      <c r="E3231" s="250"/>
      <c r="F3231" s="250"/>
      <c r="G3231" s="471"/>
      <c r="H3231" s="250"/>
      <c r="I3231" s="471"/>
    </row>
    <row r="3232" spans="1:9" ht="12.75">
      <c r="A3232" s="717"/>
      <c r="B3232" s="718"/>
      <c r="C3232" s="250"/>
      <c r="D3232" s="250"/>
      <c r="E3232" s="250"/>
      <c r="F3232" s="250"/>
      <c r="G3232" s="471"/>
      <c r="H3232" s="250"/>
      <c r="I3232" s="471"/>
    </row>
    <row r="3233" spans="1:9" ht="12.75">
      <c r="A3233" s="717"/>
      <c r="B3233" s="718"/>
      <c r="C3233" s="250"/>
      <c r="D3233" s="250"/>
      <c r="E3233" s="250"/>
      <c r="F3233" s="250"/>
      <c r="G3233" s="471"/>
      <c r="H3233" s="250"/>
      <c r="I3233" s="471"/>
    </row>
    <row r="3234" spans="1:9" ht="12.75">
      <c r="A3234" s="717"/>
      <c r="B3234" s="718"/>
      <c r="C3234" s="250"/>
      <c r="D3234" s="250"/>
      <c r="E3234" s="250"/>
      <c r="F3234" s="250"/>
      <c r="G3234" s="471"/>
      <c r="H3234" s="250"/>
      <c r="I3234" s="471"/>
    </row>
    <row r="3235" spans="1:9" ht="12.75">
      <c r="A3235" s="717"/>
      <c r="B3235" s="718"/>
      <c r="C3235" s="250"/>
      <c r="D3235" s="250"/>
      <c r="E3235" s="250"/>
      <c r="F3235" s="250"/>
      <c r="G3235" s="471"/>
      <c r="H3235" s="250"/>
      <c r="I3235" s="471"/>
    </row>
    <row r="3236" spans="1:9" ht="12.75">
      <c r="A3236" s="717"/>
      <c r="B3236" s="718"/>
      <c r="C3236" s="250"/>
      <c r="D3236" s="250"/>
      <c r="E3236" s="250"/>
      <c r="F3236" s="250"/>
      <c r="G3236" s="471"/>
      <c r="H3236" s="250"/>
      <c r="I3236" s="471"/>
    </row>
    <row r="3237" spans="1:9" ht="12.75">
      <c r="A3237" s="717"/>
      <c r="B3237" s="718"/>
      <c r="C3237" s="250"/>
      <c r="D3237" s="250"/>
      <c r="E3237" s="250"/>
      <c r="F3237" s="250"/>
      <c r="G3237" s="471"/>
      <c r="H3237" s="250"/>
      <c r="I3237" s="471"/>
    </row>
    <row r="3238" spans="1:9" ht="12.75">
      <c r="A3238" s="717"/>
      <c r="B3238" s="718"/>
      <c r="C3238" s="250"/>
      <c r="D3238" s="250"/>
      <c r="E3238" s="250"/>
      <c r="F3238" s="250"/>
      <c r="G3238" s="471"/>
      <c r="H3238" s="250"/>
      <c r="I3238" s="471"/>
    </row>
    <row r="3239" spans="1:9" ht="12.75">
      <c r="A3239" s="717"/>
      <c r="B3239" s="718"/>
      <c r="C3239" s="250"/>
      <c r="D3239" s="250"/>
      <c r="E3239" s="250"/>
      <c r="F3239" s="250"/>
      <c r="G3239" s="471"/>
      <c r="H3239" s="250"/>
      <c r="I3239" s="471"/>
    </row>
    <row r="3240" spans="1:9" ht="12.75">
      <c r="A3240" s="717"/>
      <c r="B3240" s="718"/>
      <c r="C3240" s="250"/>
      <c r="D3240" s="250"/>
      <c r="E3240" s="250"/>
      <c r="F3240" s="250"/>
      <c r="G3240" s="471"/>
      <c r="H3240" s="250"/>
      <c r="I3240" s="471"/>
    </row>
    <row r="3241" spans="1:9" ht="12.75">
      <c r="A3241" s="717"/>
      <c r="B3241" s="718"/>
      <c r="C3241" s="250"/>
      <c r="D3241" s="250"/>
      <c r="E3241" s="250"/>
      <c r="F3241" s="250"/>
      <c r="G3241" s="471"/>
      <c r="H3241" s="250"/>
      <c r="I3241" s="471"/>
    </row>
    <row r="3242" spans="1:9" ht="12.75">
      <c r="A3242" s="717"/>
      <c r="B3242" s="718"/>
      <c r="C3242" s="250"/>
      <c r="D3242" s="250"/>
      <c r="E3242" s="250"/>
      <c r="F3242" s="250"/>
      <c r="G3242" s="471"/>
      <c r="H3242" s="250"/>
      <c r="I3242" s="471"/>
    </row>
    <row r="3243" spans="1:9" ht="12.75">
      <c r="A3243" s="717"/>
      <c r="B3243" s="718"/>
      <c r="C3243" s="250"/>
      <c r="D3243" s="250"/>
      <c r="E3243" s="250"/>
      <c r="F3243" s="250"/>
      <c r="G3243" s="471"/>
      <c r="H3243" s="250"/>
      <c r="I3243" s="471"/>
    </row>
    <row r="3244" spans="1:9" ht="12.75">
      <c r="A3244" s="717"/>
      <c r="B3244" s="718"/>
      <c r="C3244" s="250"/>
      <c r="D3244" s="250"/>
      <c r="E3244" s="250"/>
      <c r="F3244" s="250"/>
      <c r="G3244" s="471"/>
      <c r="H3244" s="250"/>
      <c r="I3244" s="471"/>
    </row>
    <row r="3245" spans="1:9" ht="12.75">
      <c r="A3245" s="717"/>
      <c r="B3245" s="718"/>
      <c r="C3245" s="250"/>
      <c r="D3245" s="250"/>
      <c r="E3245" s="250"/>
      <c r="F3245" s="250"/>
      <c r="G3245" s="471"/>
      <c r="H3245" s="250"/>
      <c r="I3245" s="471"/>
    </row>
    <row r="3246" spans="1:9" ht="12.75">
      <c r="A3246" s="717"/>
      <c r="B3246" s="718"/>
      <c r="C3246" s="250"/>
      <c r="D3246" s="250"/>
      <c r="E3246" s="250"/>
      <c r="F3246" s="250"/>
      <c r="G3246" s="471"/>
      <c r="H3246" s="250"/>
      <c r="I3246" s="471"/>
    </row>
    <row r="3247" spans="1:9" ht="12.75">
      <c r="A3247" s="717"/>
      <c r="B3247" s="718"/>
      <c r="C3247" s="250"/>
      <c r="D3247" s="250"/>
      <c r="E3247" s="250"/>
      <c r="F3247" s="250"/>
      <c r="G3247" s="471"/>
      <c r="H3247" s="250"/>
      <c r="I3247" s="471"/>
    </row>
    <row r="3248" spans="1:9" ht="12.75">
      <c r="A3248" s="717"/>
      <c r="B3248" s="718"/>
      <c r="C3248" s="250"/>
      <c r="D3248" s="250"/>
      <c r="E3248" s="250"/>
      <c r="F3248" s="250"/>
      <c r="G3248" s="471"/>
      <c r="H3248" s="250"/>
      <c r="I3248" s="471"/>
    </row>
    <row r="3249" spans="1:9" ht="12.75">
      <c r="A3249" s="717"/>
      <c r="B3249" s="718"/>
      <c r="C3249" s="250"/>
      <c r="D3249" s="250"/>
      <c r="E3249" s="250"/>
      <c r="F3249" s="250"/>
      <c r="G3249" s="471"/>
      <c r="H3249" s="250"/>
      <c r="I3249" s="471"/>
    </row>
    <row r="3250" spans="1:9" ht="12.75">
      <c r="A3250" s="717"/>
      <c r="B3250" s="718"/>
      <c r="C3250" s="250"/>
      <c r="D3250" s="250"/>
      <c r="E3250" s="250"/>
      <c r="F3250" s="250"/>
      <c r="G3250" s="471"/>
      <c r="H3250" s="250"/>
      <c r="I3250" s="471"/>
    </row>
    <row r="3251" spans="1:9" ht="12.75">
      <c r="A3251" s="717"/>
      <c r="B3251" s="718"/>
      <c r="C3251" s="250"/>
      <c r="D3251" s="250"/>
      <c r="E3251" s="250"/>
      <c r="F3251" s="250"/>
      <c r="G3251" s="471"/>
      <c r="H3251" s="250"/>
      <c r="I3251" s="471"/>
    </row>
    <row r="3252" spans="1:9" ht="12.75">
      <c r="A3252" s="717"/>
      <c r="B3252" s="718"/>
      <c r="C3252" s="250"/>
      <c r="D3252" s="250"/>
      <c r="E3252" s="250"/>
      <c r="F3252" s="250"/>
      <c r="G3252" s="471"/>
      <c r="H3252" s="250"/>
      <c r="I3252" s="471"/>
    </row>
    <row r="3253" spans="1:9" ht="12.75">
      <c r="A3253" s="717"/>
      <c r="B3253" s="718"/>
      <c r="C3253" s="250"/>
      <c r="D3253" s="250"/>
      <c r="E3253" s="250"/>
      <c r="F3253" s="250"/>
      <c r="G3253" s="471"/>
      <c r="H3253" s="250"/>
      <c r="I3253" s="471"/>
    </row>
    <row r="3254" spans="1:9" ht="12.75">
      <c r="A3254" s="717"/>
      <c r="B3254" s="718"/>
      <c r="C3254" s="250"/>
      <c r="D3254" s="250"/>
      <c r="E3254" s="250"/>
      <c r="F3254" s="250"/>
      <c r="G3254" s="471"/>
      <c r="H3254" s="250"/>
      <c r="I3254" s="471"/>
    </row>
    <row r="3255" spans="1:9" ht="12.75">
      <c r="A3255" s="717"/>
      <c r="B3255" s="718"/>
      <c r="C3255" s="250"/>
      <c r="D3255" s="250"/>
      <c r="E3255" s="250"/>
      <c r="F3255" s="250"/>
      <c r="G3255" s="471"/>
      <c r="H3255" s="250"/>
      <c r="I3255" s="471"/>
    </row>
    <row r="3256" spans="1:9" ht="12.75">
      <c r="A3256" s="717"/>
      <c r="B3256" s="718"/>
      <c r="C3256" s="250"/>
      <c r="D3256" s="250"/>
      <c r="E3256" s="250"/>
      <c r="F3256" s="250"/>
      <c r="G3256" s="471"/>
      <c r="H3256" s="250"/>
      <c r="I3256" s="471"/>
    </row>
    <row r="3257" spans="1:9" ht="12.75">
      <c r="A3257" s="717"/>
      <c r="B3257" s="718"/>
      <c r="C3257" s="250"/>
      <c r="D3257" s="250"/>
      <c r="E3257" s="250"/>
      <c r="F3257" s="250"/>
      <c r="G3257" s="471"/>
      <c r="H3257" s="250"/>
      <c r="I3257" s="471"/>
    </row>
    <row r="3258" spans="1:9" ht="12.75">
      <c r="A3258" s="717"/>
      <c r="B3258" s="718"/>
      <c r="C3258" s="250"/>
      <c r="D3258" s="250"/>
      <c r="E3258" s="250"/>
      <c r="F3258" s="250"/>
      <c r="G3258" s="471"/>
      <c r="H3258" s="250"/>
      <c r="I3258" s="471"/>
    </row>
    <row r="3259" spans="1:9" ht="12.75">
      <c r="A3259" s="717"/>
      <c r="B3259" s="718"/>
      <c r="C3259" s="250"/>
      <c r="D3259" s="250"/>
      <c r="E3259" s="250"/>
      <c r="F3259" s="250"/>
      <c r="G3259" s="471"/>
      <c r="H3259" s="250"/>
      <c r="I3259" s="471"/>
    </row>
    <row r="3260" spans="1:9" ht="12.75">
      <c r="A3260" s="717"/>
      <c r="B3260" s="718"/>
      <c r="C3260" s="250"/>
      <c r="D3260" s="250"/>
      <c r="E3260" s="250"/>
      <c r="F3260" s="250"/>
      <c r="G3260" s="471"/>
      <c r="H3260" s="250"/>
      <c r="I3260" s="471"/>
    </row>
    <row r="3261" spans="1:9" ht="12.75">
      <c r="A3261" s="717"/>
      <c r="B3261" s="718"/>
      <c r="C3261" s="250"/>
      <c r="D3261" s="250"/>
      <c r="E3261" s="250"/>
      <c r="F3261" s="250"/>
      <c r="G3261" s="471"/>
      <c r="H3261" s="250"/>
      <c r="I3261" s="471"/>
    </row>
    <row r="3262" spans="1:9" ht="12.75">
      <c r="A3262" s="717"/>
      <c r="B3262" s="718"/>
      <c r="C3262" s="250"/>
      <c r="D3262" s="250"/>
      <c r="E3262" s="250"/>
      <c r="F3262" s="250"/>
      <c r="G3262" s="471"/>
      <c r="H3262" s="250"/>
      <c r="I3262" s="471"/>
    </row>
    <row r="3263" spans="1:9" ht="12.75">
      <c r="A3263" s="717"/>
      <c r="B3263" s="718"/>
      <c r="C3263" s="250"/>
      <c r="D3263" s="250"/>
      <c r="E3263" s="250"/>
      <c r="F3263" s="250"/>
      <c r="G3263" s="471"/>
      <c r="H3263" s="250"/>
      <c r="I3263" s="471"/>
    </row>
    <row r="3264" spans="1:9" ht="12.75">
      <c r="A3264" s="717"/>
      <c r="B3264" s="718"/>
      <c r="C3264" s="250"/>
      <c r="D3264" s="250"/>
      <c r="E3264" s="250"/>
      <c r="F3264" s="250"/>
      <c r="G3264" s="471"/>
      <c r="H3264" s="250"/>
      <c r="I3264" s="471"/>
    </row>
    <row r="3265" spans="1:9" ht="12.75">
      <c r="A3265" s="717"/>
      <c r="B3265" s="718"/>
      <c r="C3265" s="250"/>
      <c r="D3265" s="250"/>
      <c r="E3265" s="250"/>
      <c r="F3265" s="250"/>
      <c r="G3265" s="471"/>
      <c r="H3265" s="250"/>
      <c r="I3265" s="471"/>
    </row>
    <row r="3266" spans="1:9" ht="12.75">
      <c r="A3266" s="717"/>
      <c r="B3266" s="718"/>
      <c r="C3266" s="250"/>
      <c r="D3266" s="250"/>
      <c r="E3266" s="250"/>
      <c r="F3266" s="250"/>
      <c r="G3266" s="471"/>
      <c r="H3266" s="250"/>
      <c r="I3266" s="471"/>
    </row>
    <row r="3267" spans="1:9" ht="12.75">
      <c r="A3267" s="717"/>
      <c r="B3267" s="718"/>
      <c r="C3267" s="250"/>
      <c r="D3267" s="250"/>
      <c r="E3267" s="250"/>
      <c r="F3267" s="250"/>
      <c r="G3267" s="471"/>
      <c r="H3267" s="250"/>
      <c r="I3267" s="471"/>
    </row>
    <row r="3268" spans="1:9" ht="12.75">
      <c r="A3268" s="717"/>
      <c r="B3268" s="718"/>
      <c r="C3268" s="250"/>
      <c r="D3268" s="250"/>
      <c r="E3268" s="250"/>
      <c r="F3268" s="250"/>
      <c r="G3268" s="471"/>
      <c r="H3268" s="250"/>
      <c r="I3268" s="471"/>
    </row>
    <row r="3269" spans="1:9" ht="12.75">
      <c r="A3269" s="717"/>
      <c r="B3269" s="718"/>
      <c r="C3269" s="250"/>
      <c r="D3269" s="250"/>
      <c r="E3269" s="250"/>
      <c r="F3269" s="250"/>
      <c r="G3269" s="471"/>
      <c r="H3269" s="250"/>
      <c r="I3269" s="471"/>
    </row>
    <row r="3270" spans="1:9" ht="12.75">
      <c r="A3270" s="717"/>
      <c r="B3270" s="718"/>
      <c r="C3270" s="250"/>
      <c r="D3270" s="250"/>
      <c r="E3270" s="250"/>
      <c r="F3270" s="250"/>
      <c r="G3270" s="471"/>
      <c r="H3270" s="250"/>
      <c r="I3270" s="471"/>
    </row>
    <row r="3271" spans="1:9" ht="12.75">
      <c r="A3271" s="717"/>
      <c r="B3271" s="718"/>
      <c r="C3271" s="250"/>
      <c r="D3271" s="250"/>
      <c r="E3271" s="250"/>
      <c r="F3271" s="250"/>
      <c r="G3271" s="471"/>
      <c r="H3271" s="250"/>
      <c r="I3271" s="471"/>
    </row>
    <row r="3272" spans="1:9" ht="12.75">
      <c r="A3272" s="717"/>
      <c r="B3272" s="718"/>
      <c r="C3272" s="250"/>
      <c r="D3272" s="250"/>
      <c r="E3272" s="250"/>
      <c r="F3272" s="250"/>
      <c r="G3272" s="471"/>
      <c r="H3272" s="250"/>
      <c r="I3272" s="471"/>
    </row>
    <row r="3273" spans="1:9" ht="12.75">
      <c r="A3273" s="717"/>
      <c r="B3273" s="718"/>
      <c r="C3273" s="250"/>
      <c r="D3273" s="250"/>
      <c r="E3273" s="250"/>
      <c r="F3273" s="250"/>
      <c r="G3273" s="471"/>
      <c r="H3273" s="250"/>
      <c r="I3273" s="471"/>
    </row>
    <row r="3274" spans="1:9" ht="12.75">
      <c r="A3274" s="717"/>
      <c r="B3274" s="718"/>
      <c r="C3274" s="250"/>
      <c r="D3274" s="250"/>
      <c r="E3274" s="250"/>
      <c r="F3274" s="250"/>
      <c r="G3274" s="471"/>
      <c r="H3274" s="250"/>
      <c r="I3274" s="471"/>
    </row>
    <row r="3275" spans="1:9" ht="12.75">
      <c r="A3275" s="717"/>
      <c r="B3275" s="718"/>
      <c r="C3275" s="250"/>
      <c r="D3275" s="250"/>
      <c r="E3275" s="250"/>
      <c r="F3275" s="250"/>
      <c r="G3275" s="471"/>
      <c r="H3275" s="250"/>
      <c r="I3275" s="471"/>
    </row>
    <row r="3276" spans="1:9" ht="12.75">
      <c r="A3276" s="717"/>
      <c r="B3276" s="718"/>
      <c r="C3276" s="250"/>
      <c r="D3276" s="250"/>
      <c r="E3276" s="250"/>
      <c r="F3276" s="250"/>
      <c r="G3276" s="471"/>
      <c r="H3276" s="250"/>
      <c r="I3276" s="471"/>
    </row>
    <row r="3277" spans="1:9" ht="12.75">
      <c r="A3277" s="717"/>
      <c r="B3277" s="718"/>
      <c r="C3277" s="250"/>
      <c r="D3277" s="250"/>
      <c r="E3277" s="250"/>
      <c r="F3277" s="250"/>
      <c r="G3277" s="471"/>
      <c r="H3277" s="250"/>
      <c r="I3277" s="471"/>
    </row>
    <row r="3278" spans="1:9" ht="12.75">
      <c r="A3278" s="717"/>
      <c r="B3278" s="718"/>
      <c r="C3278" s="250"/>
      <c r="D3278" s="250"/>
      <c r="E3278" s="250"/>
      <c r="F3278" s="250"/>
      <c r="G3278" s="471"/>
      <c r="H3278" s="250"/>
      <c r="I3278" s="471"/>
    </row>
    <row r="3279" spans="1:9" ht="12.75">
      <c r="A3279" s="717"/>
      <c r="B3279" s="718"/>
      <c r="C3279" s="250"/>
      <c r="D3279" s="250"/>
      <c r="E3279" s="250"/>
      <c r="F3279" s="250"/>
      <c r="G3279" s="471"/>
      <c r="H3279" s="250"/>
      <c r="I3279" s="471"/>
    </row>
    <row r="3280" spans="1:9" ht="12.75">
      <c r="A3280" s="717"/>
      <c r="B3280" s="718"/>
      <c r="C3280" s="250"/>
      <c r="D3280" s="250"/>
      <c r="E3280" s="250"/>
      <c r="F3280" s="250"/>
      <c r="G3280" s="471"/>
      <c r="H3280" s="250"/>
      <c r="I3280" s="471"/>
    </row>
    <row r="3281" spans="1:9" ht="12.75">
      <c r="A3281" s="717"/>
      <c r="B3281" s="718"/>
      <c r="C3281" s="250"/>
      <c r="D3281" s="250"/>
      <c r="E3281" s="250"/>
      <c r="F3281" s="250"/>
      <c r="G3281" s="471"/>
      <c r="H3281" s="250"/>
      <c r="I3281" s="471"/>
    </row>
    <row r="3282" spans="1:9" ht="12.75">
      <c r="A3282" s="717"/>
      <c r="B3282" s="718"/>
      <c r="C3282" s="250"/>
      <c r="D3282" s="250"/>
      <c r="E3282" s="250"/>
      <c r="F3282" s="250"/>
      <c r="G3282" s="471"/>
      <c r="H3282" s="250"/>
      <c r="I3282" s="471"/>
    </row>
    <row r="3283" spans="1:9" ht="12.75">
      <c r="A3283" s="717"/>
      <c r="B3283" s="718"/>
      <c r="C3283" s="250"/>
      <c r="D3283" s="250"/>
      <c r="E3283" s="250"/>
      <c r="F3283" s="250"/>
      <c r="G3283" s="471"/>
      <c r="H3283" s="250"/>
      <c r="I3283" s="471"/>
    </row>
    <row r="3284" spans="1:9" ht="12.75">
      <c r="A3284" s="717"/>
      <c r="B3284" s="718"/>
      <c r="C3284" s="250"/>
      <c r="D3284" s="250"/>
      <c r="E3284" s="250"/>
      <c r="F3284" s="250"/>
      <c r="G3284" s="471"/>
      <c r="H3284" s="250"/>
      <c r="I3284" s="471"/>
    </row>
    <row r="3285" spans="1:9" ht="12.75">
      <c r="A3285" s="717"/>
      <c r="B3285" s="718"/>
      <c r="C3285" s="250"/>
      <c r="D3285" s="250"/>
      <c r="E3285" s="250"/>
      <c r="F3285" s="250"/>
      <c r="G3285" s="471"/>
      <c r="H3285" s="250"/>
      <c r="I3285" s="471"/>
    </row>
    <row r="3286" spans="1:9" ht="12.75">
      <c r="A3286" s="717"/>
      <c r="B3286" s="718"/>
      <c r="C3286" s="250"/>
      <c r="D3286" s="250"/>
      <c r="E3286" s="250"/>
      <c r="F3286" s="250"/>
      <c r="G3286" s="471"/>
      <c r="H3286" s="250"/>
      <c r="I3286" s="471"/>
    </row>
    <row r="3287" spans="1:9" ht="12.75">
      <c r="A3287" s="717"/>
      <c r="B3287" s="718"/>
      <c r="C3287" s="250"/>
      <c r="D3287" s="250"/>
      <c r="E3287" s="250"/>
      <c r="F3287" s="250"/>
      <c r="G3287" s="471"/>
      <c r="H3287" s="250"/>
      <c r="I3287" s="471"/>
    </row>
    <row r="3288" spans="1:9" ht="12.75">
      <c r="A3288" s="717"/>
      <c r="B3288" s="718"/>
      <c r="C3288" s="250"/>
      <c r="D3288" s="250"/>
      <c r="E3288" s="250"/>
      <c r="F3288" s="250"/>
      <c r="G3288" s="471"/>
      <c r="H3288" s="250"/>
      <c r="I3288" s="471"/>
    </row>
    <row r="3289" spans="1:9" ht="12.75">
      <c r="A3289" s="717"/>
      <c r="B3289" s="718"/>
      <c r="C3289" s="250"/>
      <c r="D3289" s="250"/>
      <c r="E3289" s="250"/>
      <c r="F3289" s="250"/>
      <c r="G3289" s="471"/>
      <c r="H3289" s="250"/>
      <c r="I3289" s="471"/>
    </row>
    <row r="3290" spans="1:9" ht="12.75">
      <c r="A3290" s="717"/>
      <c r="B3290" s="718"/>
      <c r="C3290" s="250"/>
      <c r="D3290" s="250"/>
      <c r="E3290" s="250"/>
      <c r="F3290" s="250"/>
      <c r="G3290" s="471"/>
      <c r="H3290" s="250"/>
      <c r="I3290" s="471"/>
    </row>
    <row r="3291" spans="1:9" ht="12.75">
      <c r="A3291" s="717"/>
      <c r="B3291" s="718"/>
      <c r="C3291" s="250"/>
      <c r="D3291" s="250"/>
      <c r="E3291" s="250"/>
      <c r="F3291" s="250"/>
      <c r="G3291" s="471"/>
      <c r="H3291" s="250"/>
      <c r="I3291" s="471"/>
    </row>
    <row r="3292" spans="1:9" ht="12.75">
      <c r="A3292" s="717"/>
      <c r="B3292" s="718"/>
      <c r="C3292" s="250"/>
      <c r="D3292" s="250"/>
      <c r="E3292" s="250"/>
      <c r="F3292" s="250"/>
      <c r="G3292" s="471"/>
      <c r="H3292" s="250"/>
      <c r="I3292" s="471"/>
    </row>
    <row r="3293" spans="1:9" ht="12.75">
      <c r="A3293" s="717"/>
      <c r="B3293" s="718"/>
      <c r="C3293" s="250"/>
      <c r="D3293" s="250"/>
      <c r="E3293" s="250"/>
      <c r="F3293" s="250"/>
      <c r="G3293" s="471"/>
      <c r="H3293" s="250"/>
      <c r="I3293" s="471"/>
    </row>
    <row r="3294" spans="1:9" ht="12.75">
      <c r="A3294" s="717"/>
      <c r="B3294" s="718"/>
      <c r="C3294" s="250"/>
      <c r="D3294" s="250"/>
      <c r="E3294" s="250"/>
      <c r="F3294" s="250"/>
      <c r="G3294" s="471"/>
      <c r="H3294" s="250"/>
      <c r="I3294" s="471"/>
    </row>
    <row r="3295" spans="1:9" ht="12.75">
      <c r="A3295" s="717"/>
      <c r="B3295" s="718"/>
      <c r="C3295" s="250"/>
      <c r="D3295" s="250"/>
      <c r="E3295" s="250"/>
      <c r="F3295" s="250"/>
      <c r="G3295" s="471"/>
      <c r="H3295" s="250"/>
      <c r="I3295" s="471"/>
    </row>
    <row r="3296" spans="1:9" ht="12.75">
      <c r="A3296" s="717"/>
      <c r="B3296" s="718"/>
      <c r="C3296" s="250"/>
      <c r="D3296" s="250"/>
      <c r="E3296" s="250"/>
      <c r="F3296" s="250"/>
      <c r="G3296" s="471"/>
      <c r="H3296" s="250"/>
      <c r="I3296" s="471"/>
    </row>
    <row r="3297" spans="1:9" ht="12.75">
      <c r="A3297" s="717"/>
      <c r="B3297" s="718"/>
      <c r="C3297" s="250"/>
      <c r="D3297" s="250"/>
      <c r="E3297" s="250"/>
      <c r="F3297" s="250"/>
      <c r="G3297" s="471"/>
      <c r="H3297" s="250"/>
      <c r="I3297" s="471"/>
    </row>
    <row r="3298" spans="1:9" ht="12.75">
      <c r="A3298" s="717"/>
      <c r="B3298" s="718"/>
      <c r="C3298" s="250"/>
      <c r="D3298" s="250"/>
      <c r="E3298" s="250"/>
      <c r="F3298" s="250"/>
      <c r="G3298" s="471"/>
      <c r="H3298" s="250"/>
      <c r="I3298" s="471"/>
    </row>
    <row r="3299" spans="1:9" ht="12.75">
      <c r="A3299" s="717"/>
      <c r="B3299" s="718"/>
      <c r="C3299" s="250"/>
      <c r="D3299" s="250"/>
      <c r="E3299" s="250"/>
      <c r="F3299" s="250"/>
      <c r="G3299" s="471"/>
      <c r="H3299" s="250"/>
      <c r="I3299" s="471"/>
    </row>
    <row r="3300" spans="1:9" ht="12.75">
      <c r="A3300" s="717"/>
      <c r="B3300" s="718"/>
      <c r="C3300" s="250"/>
      <c r="D3300" s="250"/>
      <c r="E3300" s="250"/>
      <c r="F3300" s="250"/>
      <c r="G3300" s="471"/>
      <c r="H3300" s="250"/>
      <c r="I3300" s="471"/>
    </row>
    <row r="3301" spans="1:9" ht="12.75">
      <c r="A3301" s="717"/>
      <c r="B3301" s="718"/>
      <c r="C3301" s="250"/>
      <c r="D3301" s="250"/>
      <c r="E3301" s="250"/>
      <c r="F3301" s="250"/>
      <c r="G3301" s="471"/>
      <c r="H3301" s="250"/>
      <c r="I3301" s="471"/>
    </row>
    <row r="3302" spans="1:9" ht="12.75">
      <c r="A3302" s="717"/>
      <c r="B3302" s="718"/>
      <c r="C3302" s="250"/>
      <c r="D3302" s="250"/>
      <c r="E3302" s="250"/>
      <c r="F3302" s="250"/>
      <c r="G3302" s="471"/>
      <c r="H3302" s="250"/>
      <c r="I3302" s="471"/>
    </row>
    <row r="3303" spans="1:9" ht="12.75">
      <c r="A3303" s="717"/>
      <c r="B3303" s="718"/>
      <c r="C3303" s="250"/>
      <c r="D3303" s="250"/>
      <c r="E3303" s="250"/>
      <c r="F3303" s="250"/>
      <c r="G3303" s="471"/>
      <c r="H3303" s="250"/>
      <c r="I3303" s="471"/>
    </row>
    <row r="3304" spans="1:9" ht="12.75">
      <c r="A3304" s="717"/>
      <c r="B3304" s="718"/>
      <c r="C3304" s="250"/>
      <c r="D3304" s="250"/>
      <c r="E3304" s="250"/>
      <c r="F3304" s="250"/>
      <c r="G3304" s="471"/>
      <c r="H3304" s="250"/>
      <c r="I3304" s="471"/>
    </row>
    <row r="3305" spans="1:9" ht="12.75">
      <c r="A3305" s="717"/>
      <c r="B3305" s="718"/>
      <c r="C3305" s="250"/>
      <c r="D3305" s="250"/>
      <c r="E3305" s="250"/>
      <c r="F3305" s="250"/>
      <c r="G3305" s="471"/>
      <c r="H3305" s="250"/>
      <c r="I3305" s="471"/>
    </row>
    <row r="3306" spans="1:9" ht="12.75">
      <c r="A3306" s="717"/>
      <c r="B3306" s="718"/>
      <c r="C3306" s="250"/>
      <c r="D3306" s="250"/>
      <c r="E3306" s="250"/>
      <c r="F3306" s="250"/>
      <c r="G3306" s="471"/>
      <c r="H3306" s="250"/>
      <c r="I3306" s="471"/>
    </row>
    <row r="3307" spans="1:9" ht="12.75">
      <c r="A3307" s="717"/>
      <c r="B3307" s="718"/>
      <c r="C3307" s="250"/>
      <c r="D3307" s="250"/>
      <c r="E3307" s="250"/>
      <c r="F3307" s="250"/>
      <c r="G3307" s="471"/>
      <c r="H3307" s="250"/>
      <c r="I3307" s="471"/>
    </row>
    <row r="3308" spans="1:9" ht="12.75">
      <c r="A3308" s="717"/>
      <c r="B3308" s="718"/>
      <c r="C3308" s="250"/>
      <c r="D3308" s="250"/>
      <c r="E3308" s="250"/>
      <c r="F3308" s="250"/>
      <c r="G3308" s="471"/>
      <c r="H3308" s="250"/>
      <c r="I3308" s="471"/>
    </row>
    <row r="3309" spans="1:9" ht="12.75">
      <c r="A3309" s="717"/>
      <c r="B3309" s="718"/>
      <c r="C3309" s="250"/>
      <c r="D3309" s="250"/>
      <c r="E3309" s="250"/>
      <c r="F3309" s="250"/>
      <c r="G3309" s="471"/>
      <c r="H3309" s="250"/>
      <c r="I3309" s="471"/>
    </row>
    <row r="3310" spans="1:9" ht="12.75">
      <c r="A3310" s="717"/>
      <c r="B3310" s="718"/>
      <c r="C3310" s="250"/>
      <c r="D3310" s="250"/>
      <c r="E3310" s="250"/>
      <c r="F3310" s="250"/>
      <c r="G3310" s="471"/>
      <c r="H3310" s="250"/>
      <c r="I3310" s="471"/>
    </row>
    <row r="3311" spans="1:9" ht="12.75">
      <c r="A3311" s="717"/>
      <c r="B3311" s="718"/>
      <c r="C3311" s="250"/>
      <c r="D3311" s="250"/>
      <c r="E3311" s="250"/>
      <c r="F3311" s="250"/>
      <c r="G3311" s="471"/>
      <c r="H3311" s="250"/>
      <c r="I3311" s="471"/>
    </row>
    <row r="3312" spans="1:9" ht="12.75">
      <c r="A3312" s="717"/>
      <c r="B3312" s="718"/>
      <c r="C3312" s="250"/>
      <c r="D3312" s="250"/>
      <c r="E3312" s="250"/>
      <c r="F3312" s="250"/>
      <c r="G3312" s="471"/>
      <c r="H3312" s="250"/>
      <c r="I3312" s="471"/>
    </row>
    <row r="3313" spans="1:9" ht="12.75">
      <c r="A3313" s="717"/>
      <c r="B3313" s="718"/>
      <c r="C3313" s="250"/>
      <c r="D3313" s="250"/>
      <c r="E3313" s="250"/>
      <c r="F3313" s="250"/>
      <c r="G3313" s="471"/>
      <c r="H3313" s="250"/>
      <c r="I3313" s="471"/>
    </row>
    <row r="3314" spans="1:9" ht="12.75">
      <c r="A3314" s="717"/>
      <c r="B3314" s="718"/>
      <c r="C3314" s="250"/>
      <c r="D3314" s="250"/>
      <c r="E3314" s="250"/>
      <c r="F3314" s="250"/>
      <c r="G3314" s="471"/>
      <c r="H3314" s="250"/>
      <c r="I3314" s="471"/>
    </row>
    <row r="3315" spans="1:9" ht="12.75">
      <c r="A3315" s="717"/>
      <c r="B3315" s="718"/>
      <c r="C3315" s="250"/>
      <c r="D3315" s="250"/>
      <c r="E3315" s="250"/>
      <c r="F3315" s="250"/>
      <c r="G3315" s="471"/>
      <c r="H3315" s="250"/>
      <c r="I3315" s="471"/>
    </row>
    <row r="3316" spans="1:9" ht="12.75">
      <c r="A3316" s="717"/>
      <c r="B3316" s="718"/>
      <c r="C3316" s="250"/>
      <c r="D3316" s="250"/>
      <c r="E3316" s="250"/>
      <c r="F3316" s="250"/>
      <c r="G3316" s="471"/>
      <c r="H3316" s="250"/>
      <c r="I3316" s="471"/>
    </row>
    <row r="3317" spans="1:9" ht="12.75">
      <c r="A3317" s="717"/>
      <c r="B3317" s="718"/>
      <c r="C3317" s="250"/>
      <c r="D3317" s="250"/>
      <c r="E3317" s="250"/>
      <c r="F3317" s="250"/>
      <c r="G3317" s="471"/>
      <c r="H3317" s="250"/>
      <c r="I3317" s="471"/>
    </row>
    <row r="3318" spans="1:9" ht="12.75">
      <c r="A3318" s="717"/>
      <c r="B3318" s="718"/>
      <c r="C3318" s="250"/>
      <c r="D3318" s="250"/>
      <c r="E3318" s="250"/>
      <c r="F3318" s="250"/>
      <c r="G3318" s="471"/>
      <c r="H3318" s="250"/>
      <c r="I3318" s="471"/>
    </row>
    <row r="3319" spans="1:9" ht="12.75">
      <c r="A3319" s="717"/>
      <c r="B3319" s="718"/>
      <c r="C3319" s="250"/>
      <c r="D3319" s="250"/>
      <c r="E3319" s="250"/>
      <c r="F3319" s="250"/>
      <c r="G3319" s="471"/>
      <c r="H3319" s="250"/>
      <c r="I3319" s="471"/>
    </row>
    <row r="3320" spans="1:9" ht="12.75">
      <c r="A3320" s="717"/>
      <c r="B3320" s="718"/>
      <c r="C3320" s="250"/>
      <c r="D3320" s="250"/>
      <c r="E3320" s="250"/>
      <c r="F3320" s="250"/>
      <c r="G3320" s="471"/>
      <c r="H3320" s="250"/>
      <c r="I3320" s="471"/>
    </row>
    <row r="3321" spans="1:9" ht="12.75">
      <c r="A3321" s="717"/>
      <c r="B3321" s="718"/>
      <c r="C3321" s="250"/>
      <c r="D3321" s="250"/>
      <c r="E3321" s="250"/>
      <c r="F3321" s="250"/>
      <c r="G3321" s="471"/>
      <c r="H3321" s="250"/>
      <c r="I3321" s="471"/>
    </row>
    <row r="3322" spans="1:9" ht="12.75">
      <c r="A3322" s="717"/>
      <c r="B3322" s="718"/>
      <c r="C3322" s="250"/>
      <c r="D3322" s="250"/>
      <c r="E3322" s="250"/>
      <c r="F3322" s="250"/>
      <c r="G3322" s="471"/>
      <c r="H3322" s="250"/>
      <c r="I3322" s="471"/>
    </row>
    <row r="3323" spans="1:9" ht="12.75">
      <c r="A3323" s="717"/>
      <c r="B3323" s="718"/>
      <c r="C3323" s="250"/>
      <c r="D3323" s="250"/>
      <c r="E3323" s="250"/>
      <c r="F3323" s="250"/>
      <c r="G3323" s="471"/>
      <c r="H3323" s="250"/>
      <c r="I3323" s="471"/>
    </row>
    <row r="3324" spans="1:9" ht="12.75">
      <c r="A3324" s="717"/>
      <c r="B3324" s="718"/>
      <c r="C3324" s="250"/>
      <c r="D3324" s="250"/>
      <c r="E3324" s="250"/>
      <c r="F3324" s="250"/>
      <c r="G3324" s="471"/>
      <c r="H3324" s="250"/>
      <c r="I3324" s="471"/>
    </row>
    <row r="3325" spans="1:9" ht="12.75">
      <c r="A3325" s="717"/>
      <c r="B3325" s="718"/>
      <c r="C3325" s="250"/>
      <c r="D3325" s="250"/>
      <c r="E3325" s="250"/>
      <c r="F3325" s="250"/>
      <c r="G3325" s="471"/>
      <c r="H3325" s="250"/>
      <c r="I3325" s="471"/>
    </row>
    <row r="3326" spans="1:9" ht="12.75">
      <c r="A3326" s="717"/>
      <c r="B3326" s="718"/>
      <c r="C3326" s="250"/>
      <c r="D3326" s="250"/>
      <c r="E3326" s="250"/>
      <c r="F3326" s="250"/>
      <c r="G3326" s="471"/>
      <c r="H3326" s="250"/>
      <c r="I3326" s="471"/>
    </row>
    <row r="3327" spans="1:9" ht="12.75">
      <c r="A3327" s="717"/>
      <c r="B3327" s="718"/>
      <c r="C3327" s="250"/>
      <c r="D3327" s="250"/>
      <c r="E3327" s="250"/>
      <c r="F3327" s="250"/>
      <c r="G3327" s="471"/>
      <c r="H3327" s="250"/>
      <c r="I3327" s="471"/>
    </row>
    <row r="3328" spans="1:9" ht="12.75">
      <c r="A3328" s="717"/>
      <c r="B3328" s="718"/>
      <c r="C3328" s="250"/>
      <c r="D3328" s="250"/>
      <c r="E3328" s="250"/>
      <c r="F3328" s="250"/>
      <c r="G3328" s="471"/>
      <c r="H3328" s="250"/>
      <c r="I3328" s="471"/>
    </row>
    <row r="3329" spans="1:9" ht="12.75">
      <c r="A3329" s="717"/>
      <c r="B3329" s="718"/>
      <c r="C3329" s="250"/>
      <c r="D3329" s="250"/>
      <c r="E3329" s="250"/>
      <c r="F3329" s="250"/>
      <c r="G3329" s="471"/>
      <c r="H3329" s="250"/>
      <c r="I3329" s="471"/>
    </row>
    <row r="3330" spans="1:9" ht="12.75">
      <c r="A3330" s="717"/>
      <c r="B3330" s="718"/>
      <c r="C3330" s="250"/>
      <c r="D3330" s="250"/>
      <c r="E3330" s="250"/>
      <c r="F3330" s="250"/>
      <c r="G3330" s="471"/>
      <c r="H3330" s="250"/>
      <c r="I3330" s="471"/>
    </row>
    <row r="3331" spans="1:9" ht="12.75">
      <c r="A3331" s="717"/>
      <c r="B3331" s="718"/>
      <c r="C3331" s="250"/>
      <c r="D3331" s="250"/>
      <c r="E3331" s="250"/>
      <c r="F3331" s="250"/>
      <c r="G3331" s="471"/>
      <c r="H3331" s="250"/>
      <c r="I3331" s="471"/>
    </row>
    <row r="3332" spans="1:9" ht="12.75">
      <c r="A3332" s="717"/>
      <c r="B3332" s="718"/>
      <c r="C3332" s="250"/>
      <c r="D3332" s="250"/>
      <c r="E3332" s="250"/>
      <c r="F3332" s="250"/>
      <c r="G3332" s="471"/>
      <c r="H3332" s="250"/>
      <c r="I3332" s="471"/>
    </row>
    <row r="3333" spans="1:9" ht="12.75">
      <c r="A3333" s="717"/>
      <c r="B3333" s="718"/>
      <c r="C3333" s="250"/>
      <c r="D3333" s="250"/>
      <c r="E3333" s="250"/>
      <c r="F3333" s="250"/>
      <c r="G3333" s="471"/>
      <c r="H3333" s="250"/>
      <c r="I3333" s="471"/>
    </row>
    <row r="3334" spans="1:9" ht="12.75">
      <c r="A3334" s="717"/>
      <c r="B3334" s="718"/>
      <c r="C3334" s="250"/>
      <c r="D3334" s="250"/>
      <c r="E3334" s="250"/>
      <c r="F3334" s="250"/>
      <c r="G3334" s="471"/>
      <c r="H3334" s="250"/>
      <c r="I3334" s="471"/>
    </row>
    <row r="3335" spans="1:9" ht="12.75">
      <c r="A3335" s="717"/>
      <c r="B3335" s="718"/>
      <c r="C3335" s="250"/>
      <c r="D3335" s="250"/>
      <c r="E3335" s="250"/>
      <c r="F3335" s="250"/>
      <c r="G3335" s="471"/>
      <c r="H3335" s="250"/>
      <c r="I3335" s="471"/>
    </row>
    <row r="3336" spans="1:9" ht="12.75">
      <c r="A3336" s="717"/>
      <c r="B3336" s="718"/>
      <c r="C3336" s="250"/>
      <c r="D3336" s="250"/>
      <c r="E3336" s="250"/>
      <c r="F3336" s="250"/>
      <c r="G3336" s="471"/>
      <c r="H3336" s="250"/>
      <c r="I3336" s="471"/>
    </row>
    <row r="3337" spans="1:9" ht="12.75">
      <c r="A3337" s="717"/>
      <c r="B3337" s="718"/>
      <c r="C3337" s="250"/>
      <c r="D3337" s="250"/>
      <c r="E3337" s="250"/>
      <c r="F3337" s="250"/>
      <c r="G3337" s="471"/>
      <c r="H3337" s="250"/>
      <c r="I3337" s="471"/>
    </row>
    <row r="3338" spans="1:9" ht="12.75">
      <c r="A3338" s="717"/>
      <c r="B3338" s="718"/>
      <c r="C3338" s="250"/>
      <c r="D3338" s="250"/>
      <c r="E3338" s="250"/>
      <c r="F3338" s="250"/>
      <c r="G3338" s="471"/>
      <c r="H3338" s="250"/>
      <c r="I3338" s="471"/>
    </row>
    <row r="3339" spans="1:9" ht="12.75">
      <c r="A3339" s="717"/>
      <c r="B3339" s="718"/>
      <c r="C3339" s="250"/>
      <c r="D3339" s="250"/>
      <c r="E3339" s="250"/>
      <c r="F3339" s="250"/>
      <c r="G3339" s="471"/>
      <c r="H3339" s="250"/>
      <c r="I3339" s="471"/>
    </row>
    <row r="3340" spans="1:9" ht="12.75">
      <c r="A3340" s="717"/>
      <c r="B3340" s="718"/>
      <c r="C3340" s="250"/>
      <c r="D3340" s="250"/>
      <c r="E3340" s="250"/>
      <c r="F3340" s="250"/>
      <c r="G3340" s="471"/>
      <c r="H3340" s="250"/>
      <c r="I3340" s="471"/>
    </row>
    <row r="3341" spans="1:9" ht="12.75">
      <c r="A3341" s="717"/>
      <c r="B3341" s="718"/>
      <c r="C3341" s="250"/>
      <c r="D3341" s="250"/>
      <c r="E3341" s="250"/>
      <c r="F3341" s="250"/>
      <c r="G3341" s="471"/>
      <c r="H3341" s="250"/>
      <c r="I3341" s="471"/>
    </row>
    <row r="3342" spans="1:9" ht="12.75">
      <c r="A3342" s="717"/>
      <c r="B3342" s="718"/>
      <c r="C3342" s="250"/>
      <c r="D3342" s="250"/>
      <c r="E3342" s="250"/>
      <c r="F3342" s="250"/>
      <c r="G3342" s="471"/>
      <c r="H3342" s="250"/>
      <c r="I3342" s="471"/>
    </row>
    <row r="3343" spans="1:9" ht="12.75">
      <c r="A3343" s="717"/>
      <c r="B3343" s="718"/>
      <c r="C3343" s="250"/>
      <c r="D3343" s="250"/>
      <c r="E3343" s="250"/>
      <c r="F3343" s="250"/>
      <c r="G3343" s="471"/>
      <c r="H3343" s="250"/>
      <c r="I3343" s="471"/>
    </row>
    <row r="3344" spans="1:9" ht="12.75">
      <c r="A3344" s="717"/>
      <c r="B3344" s="718"/>
      <c r="C3344" s="250"/>
      <c r="D3344" s="250"/>
      <c r="E3344" s="250"/>
      <c r="F3344" s="250"/>
      <c r="G3344" s="471"/>
      <c r="H3344" s="250"/>
      <c r="I3344" s="471"/>
    </row>
    <row r="3345" spans="1:9" ht="12.75">
      <c r="A3345" s="717"/>
      <c r="B3345" s="718"/>
      <c r="C3345" s="250"/>
      <c r="D3345" s="250"/>
      <c r="E3345" s="250"/>
      <c r="F3345" s="250"/>
      <c r="G3345" s="471"/>
      <c r="H3345" s="250"/>
      <c r="I3345" s="471"/>
    </row>
    <row r="3346" spans="1:9" ht="12.75">
      <c r="A3346" s="717"/>
      <c r="B3346" s="718"/>
      <c r="C3346" s="250"/>
      <c r="D3346" s="250"/>
      <c r="E3346" s="250"/>
      <c r="F3346" s="250"/>
      <c r="G3346" s="471"/>
      <c r="H3346" s="250"/>
      <c r="I3346" s="471"/>
    </row>
    <row r="3347" spans="1:9" ht="12.75">
      <c r="A3347" s="717"/>
      <c r="B3347" s="718"/>
      <c r="C3347" s="250"/>
      <c r="D3347" s="250"/>
      <c r="E3347" s="250"/>
      <c r="F3347" s="250"/>
      <c r="G3347" s="471"/>
      <c r="H3347" s="250"/>
      <c r="I3347" s="471"/>
    </row>
    <row r="3348" spans="1:9" ht="12.75">
      <c r="A3348" s="717"/>
      <c r="B3348" s="718"/>
      <c r="C3348" s="250"/>
      <c r="D3348" s="250"/>
      <c r="E3348" s="250"/>
      <c r="F3348" s="250"/>
      <c r="G3348" s="471"/>
      <c r="H3348" s="250"/>
      <c r="I3348" s="471"/>
    </row>
    <row r="3349" spans="1:9" ht="12.75">
      <c r="A3349" s="717"/>
      <c r="B3349" s="718"/>
      <c r="C3349" s="250"/>
      <c r="D3349" s="250"/>
      <c r="E3349" s="250"/>
      <c r="F3349" s="250"/>
      <c r="G3349" s="471"/>
      <c r="H3349" s="250"/>
      <c r="I3349" s="471"/>
    </row>
    <row r="3350" spans="1:9" ht="12.75">
      <c r="A3350" s="717"/>
      <c r="B3350" s="718"/>
      <c r="C3350" s="250"/>
      <c r="D3350" s="250"/>
      <c r="E3350" s="250"/>
      <c r="F3350" s="250"/>
      <c r="G3350" s="471"/>
      <c r="H3350" s="250"/>
      <c r="I3350" s="471"/>
    </row>
    <row r="3351" spans="1:9" ht="12.75">
      <c r="A3351" s="717"/>
      <c r="B3351" s="718"/>
      <c r="C3351" s="250"/>
      <c r="D3351" s="250"/>
      <c r="E3351" s="250"/>
      <c r="F3351" s="250"/>
      <c r="G3351" s="471"/>
      <c r="H3351" s="250"/>
      <c r="I3351" s="471"/>
    </row>
    <row r="3352" spans="1:9" ht="12.75">
      <c r="A3352" s="717"/>
      <c r="B3352" s="718"/>
      <c r="C3352" s="250"/>
      <c r="D3352" s="250"/>
      <c r="E3352" s="250"/>
      <c r="F3352" s="250"/>
      <c r="G3352" s="471"/>
      <c r="H3352" s="250"/>
      <c r="I3352" s="471"/>
    </row>
    <row r="3353" spans="1:9" ht="12.75">
      <c r="A3353" s="717"/>
      <c r="B3353" s="718"/>
      <c r="C3353" s="250"/>
      <c r="D3353" s="250"/>
      <c r="E3353" s="250"/>
      <c r="F3353" s="250"/>
      <c r="G3353" s="471"/>
      <c r="H3353" s="250"/>
      <c r="I3353" s="471"/>
    </row>
    <row r="3354" spans="1:9" ht="12.75">
      <c r="A3354" s="717"/>
      <c r="B3354" s="718"/>
      <c r="C3354" s="250"/>
      <c r="D3354" s="250"/>
      <c r="E3354" s="250"/>
      <c r="F3354" s="250"/>
      <c r="G3354" s="471"/>
      <c r="H3354" s="250"/>
      <c r="I3354" s="471"/>
    </row>
    <row r="3355" spans="1:9" ht="12.75">
      <c r="A3355" s="717"/>
      <c r="B3355" s="718"/>
      <c r="C3355" s="250"/>
      <c r="D3355" s="250"/>
      <c r="E3355" s="250"/>
      <c r="F3355" s="250"/>
      <c r="G3355" s="471"/>
      <c r="H3355" s="250"/>
      <c r="I3355" s="471"/>
    </row>
    <row r="3356" spans="1:9" ht="12.75">
      <c r="A3356" s="717"/>
      <c r="B3356" s="718"/>
      <c r="C3356" s="250"/>
      <c r="D3356" s="250"/>
      <c r="E3356" s="250"/>
      <c r="F3356" s="250"/>
      <c r="G3356" s="471"/>
      <c r="H3356" s="250"/>
      <c r="I3356" s="471"/>
    </row>
    <row r="3357" spans="1:9" ht="12.75">
      <c r="A3357" s="717"/>
      <c r="B3357" s="718"/>
      <c r="C3357" s="250"/>
      <c r="D3357" s="250"/>
      <c r="E3357" s="250"/>
      <c r="F3357" s="250"/>
      <c r="G3357" s="471"/>
      <c r="H3357" s="250"/>
      <c r="I3357" s="471"/>
    </row>
    <row r="3358" spans="1:9" ht="12.75">
      <c r="A3358" s="717"/>
      <c r="B3358" s="718"/>
      <c r="C3358" s="250"/>
      <c r="D3358" s="250"/>
      <c r="E3358" s="250"/>
      <c r="F3358" s="250"/>
      <c r="G3358" s="471"/>
      <c r="H3358" s="250"/>
      <c r="I3358" s="471"/>
    </row>
    <row r="3359" spans="1:9" ht="12.75">
      <c r="A3359" s="717"/>
      <c r="B3359" s="718"/>
      <c r="C3359" s="250"/>
      <c r="D3359" s="250"/>
      <c r="E3359" s="250"/>
      <c r="F3359" s="250"/>
      <c r="G3359" s="471"/>
      <c r="H3359" s="250"/>
      <c r="I3359" s="471"/>
    </row>
    <row r="3360" spans="1:9" ht="12.75">
      <c r="A3360" s="717"/>
      <c r="B3360" s="718"/>
      <c r="C3360" s="250"/>
      <c r="D3360" s="250"/>
      <c r="E3360" s="250"/>
      <c r="F3360" s="250"/>
      <c r="G3360" s="471"/>
      <c r="H3360" s="250"/>
      <c r="I3360" s="471"/>
    </row>
    <row r="3361" spans="1:9" ht="12.75">
      <c r="A3361" s="717"/>
      <c r="B3361" s="718"/>
      <c r="C3361" s="250"/>
      <c r="D3361" s="250"/>
      <c r="E3361" s="250"/>
      <c r="F3361" s="250"/>
      <c r="G3361" s="471"/>
      <c r="H3361" s="250"/>
      <c r="I3361" s="471"/>
    </row>
    <row r="3362" spans="1:9" ht="12.75">
      <c r="A3362" s="717"/>
      <c r="B3362" s="718"/>
      <c r="C3362" s="250"/>
      <c r="D3362" s="250"/>
      <c r="E3362" s="250"/>
      <c r="F3362" s="250"/>
      <c r="G3362" s="471"/>
      <c r="H3362" s="250"/>
      <c r="I3362" s="471"/>
    </row>
    <row r="3363" spans="1:9" ht="12.75">
      <c r="A3363" s="717"/>
      <c r="B3363" s="718"/>
      <c r="C3363" s="250"/>
      <c r="D3363" s="250"/>
      <c r="E3363" s="250"/>
      <c r="F3363" s="250"/>
      <c r="G3363" s="471"/>
      <c r="H3363" s="250"/>
      <c r="I3363" s="471"/>
    </row>
    <row r="3364" spans="1:9" ht="12.75">
      <c r="A3364" s="717"/>
      <c r="B3364" s="718"/>
      <c r="C3364" s="250"/>
      <c r="D3364" s="250"/>
      <c r="E3364" s="250"/>
      <c r="F3364" s="250"/>
      <c r="G3364" s="471"/>
      <c r="H3364" s="250"/>
      <c r="I3364" s="471"/>
    </row>
    <row r="3365" spans="1:9" ht="12.75">
      <c r="A3365" s="717"/>
      <c r="B3365" s="718"/>
      <c r="C3365" s="250"/>
      <c r="D3365" s="250"/>
      <c r="E3365" s="250"/>
      <c r="F3365" s="250"/>
      <c r="G3365" s="471"/>
      <c r="H3365" s="250"/>
      <c r="I3365" s="471"/>
    </row>
    <row r="3366" spans="1:9" ht="12.75">
      <c r="A3366" s="717"/>
      <c r="B3366" s="718"/>
      <c r="C3366" s="250"/>
      <c r="D3366" s="250"/>
      <c r="E3366" s="250"/>
      <c r="F3366" s="250"/>
      <c r="G3366" s="471"/>
      <c r="H3366" s="250"/>
      <c r="I3366" s="471"/>
    </row>
    <row r="3367" spans="1:9" ht="12.75">
      <c r="A3367" s="717"/>
      <c r="B3367" s="718"/>
      <c r="C3367" s="250"/>
      <c r="D3367" s="250"/>
      <c r="E3367" s="250"/>
      <c r="F3367" s="250"/>
      <c r="G3367" s="471"/>
      <c r="H3367" s="250"/>
      <c r="I3367" s="471"/>
    </row>
    <row r="3368" spans="1:9" ht="12.75">
      <c r="A3368" s="717"/>
      <c r="B3368" s="718"/>
      <c r="C3368" s="250"/>
      <c r="D3368" s="250"/>
      <c r="E3368" s="250"/>
      <c r="F3368" s="250"/>
      <c r="G3368" s="471"/>
      <c r="H3368" s="250"/>
      <c r="I3368" s="471"/>
    </row>
    <row r="3369" spans="1:9" ht="12.75">
      <c r="A3369" s="717"/>
      <c r="B3369" s="718"/>
      <c r="C3369" s="250"/>
      <c r="D3369" s="250"/>
      <c r="E3369" s="250"/>
      <c r="F3369" s="250"/>
      <c r="G3369" s="471"/>
      <c r="H3369" s="250"/>
      <c r="I3369" s="471"/>
    </row>
    <row r="3370" spans="1:9" ht="12.75">
      <c r="A3370" s="717"/>
      <c r="B3370" s="718"/>
      <c r="C3370" s="250"/>
      <c r="D3370" s="250"/>
      <c r="E3370" s="250"/>
      <c r="F3370" s="250"/>
      <c r="G3370" s="471"/>
      <c r="H3370" s="250"/>
      <c r="I3370" s="471"/>
    </row>
    <row r="3371" spans="1:9" ht="12.75">
      <c r="A3371" s="717"/>
      <c r="B3371" s="718"/>
      <c r="C3371" s="250"/>
      <c r="D3371" s="250"/>
      <c r="E3371" s="250"/>
      <c r="F3371" s="250"/>
      <c r="G3371" s="471"/>
      <c r="H3371" s="250"/>
      <c r="I3371" s="471"/>
    </row>
    <row r="3372" spans="1:9" ht="12.75">
      <c r="A3372" s="717"/>
      <c r="B3372" s="718"/>
      <c r="C3372" s="250"/>
      <c r="D3372" s="250"/>
      <c r="E3372" s="250"/>
      <c r="F3372" s="250"/>
      <c r="G3372" s="471"/>
      <c r="H3372" s="250"/>
      <c r="I3372" s="471"/>
    </row>
    <row r="3373" spans="1:9" ht="12.75">
      <c r="A3373" s="717"/>
      <c r="B3373" s="718"/>
      <c r="C3373" s="250"/>
      <c r="D3373" s="250"/>
      <c r="E3373" s="250"/>
      <c r="F3373" s="250"/>
      <c r="G3373" s="471"/>
      <c r="H3373" s="250"/>
      <c r="I3373" s="471"/>
    </row>
    <row r="3374" spans="1:9" ht="12.75">
      <c r="A3374" s="717"/>
      <c r="B3374" s="718"/>
      <c r="C3374" s="250"/>
      <c r="D3374" s="250"/>
      <c r="E3374" s="250"/>
      <c r="F3374" s="250"/>
      <c r="G3374" s="471"/>
      <c r="H3374" s="250"/>
      <c r="I3374" s="471"/>
    </row>
    <row r="3375" spans="1:9" ht="12.75">
      <c r="A3375" s="717"/>
      <c r="B3375" s="718"/>
      <c r="C3375" s="250"/>
      <c r="D3375" s="250"/>
      <c r="E3375" s="250"/>
      <c r="F3375" s="250"/>
      <c r="G3375" s="471"/>
      <c r="H3375" s="250"/>
      <c r="I3375" s="471"/>
    </row>
    <row r="3376" spans="1:9" ht="12.75">
      <c r="A3376" s="717"/>
      <c r="B3376" s="718"/>
      <c r="C3376" s="250"/>
      <c r="D3376" s="250"/>
      <c r="E3376" s="250"/>
      <c r="F3376" s="250"/>
      <c r="G3376" s="471"/>
      <c r="H3376" s="250"/>
      <c r="I3376" s="471"/>
    </row>
    <row r="3377" spans="1:9" ht="12.75">
      <c r="A3377" s="717"/>
      <c r="B3377" s="718"/>
      <c r="C3377" s="250"/>
      <c r="D3377" s="250"/>
      <c r="E3377" s="250"/>
      <c r="F3377" s="250"/>
      <c r="G3377" s="471"/>
      <c r="H3377" s="250"/>
      <c r="I3377" s="471"/>
    </row>
    <row r="3378" spans="1:9" ht="12.75">
      <c r="A3378" s="717"/>
      <c r="B3378" s="718"/>
      <c r="C3378" s="250"/>
      <c r="D3378" s="250"/>
      <c r="E3378" s="250"/>
      <c r="F3378" s="250"/>
      <c r="G3378" s="471"/>
      <c r="H3378" s="250"/>
      <c r="I3378" s="471"/>
    </row>
    <row r="3379" spans="1:9" ht="12.75">
      <c r="A3379" s="717"/>
      <c r="B3379" s="718"/>
      <c r="C3379" s="250"/>
      <c r="D3379" s="250"/>
      <c r="E3379" s="250"/>
      <c r="F3379" s="250"/>
      <c r="G3379" s="471"/>
      <c r="H3379" s="250"/>
      <c r="I3379" s="471"/>
    </row>
    <row r="3380" spans="1:9" ht="12.75">
      <c r="A3380" s="717"/>
      <c r="B3380" s="718"/>
      <c r="C3380" s="250"/>
      <c r="D3380" s="250"/>
      <c r="E3380" s="250"/>
      <c r="F3380" s="250"/>
      <c r="G3380" s="471"/>
      <c r="H3380" s="250"/>
      <c r="I3380" s="471"/>
    </row>
    <row r="3381" spans="1:9" ht="12.75">
      <c r="A3381" s="717"/>
      <c r="B3381" s="718"/>
      <c r="C3381" s="250"/>
      <c r="D3381" s="250"/>
      <c r="E3381" s="250"/>
      <c r="F3381" s="250"/>
      <c r="G3381" s="471"/>
      <c r="H3381" s="250"/>
      <c r="I3381" s="471"/>
    </row>
    <row r="3382" spans="1:9" ht="12.75">
      <c r="A3382" s="717"/>
      <c r="B3382" s="718"/>
      <c r="C3382" s="250"/>
      <c r="D3382" s="250"/>
      <c r="E3382" s="250"/>
      <c r="F3382" s="250"/>
      <c r="G3382" s="471"/>
      <c r="H3382" s="250"/>
      <c r="I3382" s="471"/>
    </row>
    <row r="3383" spans="1:9" ht="12.75">
      <c r="A3383" s="717"/>
      <c r="B3383" s="718"/>
      <c r="C3383" s="250"/>
      <c r="D3383" s="250"/>
      <c r="E3383" s="250"/>
      <c r="F3383" s="250"/>
      <c r="G3383" s="471"/>
      <c r="H3383" s="250"/>
      <c r="I3383" s="471"/>
    </row>
    <row r="3384" spans="1:9" ht="12.75">
      <c r="A3384" s="717"/>
      <c r="B3384" s="718"/>
      <c r="C3384" s="250"/>
      <c r="D3384" s="250"/>
      <c r="E3384" s="250"/>
      <c r="F3384" s="250"/>
      <c r="G3384" s="471"/>
      <c r="H3384" s="250"/>
      <c r="I3384" s="471"/>
    </row>
    <row r="3385" spans="1:9" ht="12.75">
      <c r="A3385" s="717"/>
      <c r="B3385" s="718"/>
      <c r="C3385" s="250"/>
      <c r="D3385" s="250"/>
      <c r="E3385" s="250"/>
      <c r="F3385" s="250"/>
      <c r="G3385" s="471"/>
      <c r="H3385" s="250"/>
      <c r="I3385" s="471"/>
    </row>
    <row r="3386" spans="1:9" ht="12.75">
      <c r="A3386" s="717"/>
      <c r="B3386" s="718"/>
      <c r="C3386" s="250"/>
      <c r="D3386" s="250"/>
      <c r="E3386" s="250"/>
      <c r="F3386" s="250"/>
      <c r="G3386" s="471"/>
      <c r="H3386" s="250"/>
      <c r="I3386" s="471"/>
    </row>
    <row r="3387" spans="1:9" ht="12.75">
      <c r="A3387" s="717"/>
      <c r="B3387" s="718"/>
      <c r="C3387" s="250"/>
      <c r="D3387" s="250"/>
      <c r="E3387" s="250"/>
      <c r="F3387" s="250"/>
      <c r="G3387" s="471"/>
      <c r="H3387" s="250"/>
      <c r="I3387" s="471"/>
    </row>
    <row r="3388" spans="1:9" ht="12.75">
      <c r="A3388" s="717"/>
      <c r="B3388" s="718"/>
      <c r="C3388" s="250"/>
      <c r="D3388" s="250"/>
      <c r="E3388" s="250"/>
      <c r="F3388" s="250"/>
      <c r="G3388" s="471"/>
      <c r="H3388" s="250"/>
      <c r="I3388" s="471"/>
    </row>
    <row r="3389" spans="1:9" ht="12.75">
      <c r="A3389" s="717"/>
      <c r="B3389" s="718"/>
      <c r="C3389" s="250"/>
      <c r="D3389" s="250"/>
      <c r="E3389" s="250"/>
      <c r="F3389" s="250"/>
      <c r="G3389" s="471"/>
      <c r="H3389" s="250"/>
      <c r="I3389" s="471"/>
    </row>
    <row r="3390" spans="1:9" ht="12.75">
      <c r="A3390" s="717"/>
      <c r="B3390" s="718"/>
      <c r="C3390" s="250"/>
      <c r="D3390" s="250"/>
      <c r="E3390" s="250"/>
      <c r="F3390" s="250"/>
      <c r="G3390" s="471"/>
      <c r="H3390" s="250"/>
      <c r="I3390" s="471"/>
    </row>
    <row r="3391" spans="1:9" ht="12.75">
      <c r="A3391" s="717"/>
      <c r="B3391" s="718"/>
      <c r="C3391" s="250"/>
      <c r="D3391" s="250"/>
      <c r="E3391" s="250"/>
      <c r="F3391" s="250"/>
      <c r="G3391" s="471"/>
      <c r="H3391" s="250"/>
      <c r="I3391" s="471"/>
    </row>
    <row r="3392" spans="1:9" ht="12.75">
      <c r="A3392" s="717"/>
      <c r="B3392" s="718"/>
      <c r="C3392" s="250"/>
      <c r="D3392" s="250"/>
      <c r="E3392" s="250"/>
      <c r="F3392" s="250"/>
      <c r="G3392" s="471"/>
      <c r="H3392" s="250"/>
      <c r="I3392" s="471"/>
    </row>
    <row r="3393" spans="1:9" ht="12.75">
      <c r="A3393" s="717"/>
      <c r="B3393" s="718"/>
      <c r="C3393" s="250"/>
      <c r="D3393" s="250"/>
      <c r="E3393" s="250"/>
      <c r="F3393" s="250"/>
      <c r="G3393" s="471"/>
      <c r="H3393" s="250"/>
      <c r="I3393" s="471"/>
    </row>
    <row r="3394" spans="1:9" ht="12.75">
      <c r="A3394" s="717"/>
      <c r="B3394" s="718"/>
      <c r="C3394" s="250"/>
      <c r="D3394" s="250"/>
      <c r="E3394" s="250"/>
      <c r="F3394" s="250"/>
      <c r="G3394" s="471"/>
      <c r="H3394" s="250"/>
      <c r="I3394" s="471"/>
    </row>
    <row r="3395" spans="1:9" ht="12.75">
      <c r="A3395" s="717"/>
      <c r="B3395" s="718"/>
      <c r="C3395" s="250"/>
      <c r="D3395" s="250"/>
      <c r="E3395" s="250"/>
      <c r="F3395" s="250"/>
      <c r="G3395" s="471"/>
      <c r="H3395" s="250"/>
      <c r="I3395" s="471"/>
    </row>
    <row r="3396" spans="1:9" ht="12.75">
      <c r="A3396" s="717"/>
      <c r="B3396" s="718"/>
      <c r="C3396" s="250"/>
      <c r="D3396" s="250"/>
      <c r="E3396" s="250"/>
      <c r="F3396" s="250"/>
      <c r="G3396" s="471"/>
      <c r="H3396" s="250"/>
      <c r="I3396" s="471"/>
    </row>
    <row r="3397" spans="1:9" ht="12.75">
      <c r="A3397" s="717"/>
      <c r="B3397" s="718"/>
      <c r="C3397" s="250"/>
      <c r="D3397" s="250"/>
      <c r="E3397" s="250"/>
      <c r="F3397" s="250"/>
      <c r="G3397" s="471"/>
      <c r="H3397" s="250"/>
      <c r="I3397" s="471"/>
    </row>
    <row r="3398" spans="1:9" ht="12.75">
      <c r="A3398" s="717"/>
      <c r="B3398" s="718"/>
      <c r="C3398" s="250"/>
      <c r="D3398" s="250"/>
      <c r="E3398" s="250"/>
      <c r="F3398" s="250"/>
      <c r="G3398" s="471"/>
      <c r="H3398" s="250"/>
      <c r="I3398" s="471"/>
    </row>
    <row r="3399" spans="1:9" ht="12.75">
      <c r="A3399" s="717"/>
      <c r="B3399" s="718"/>
      <c r="C3399" s="250"/>
      <c r="D3399" s="250"/>
      <c r="E3399" s="250"/>
      <c r="F3399" s="250"/>
      <c r="G3399" s="471"/>
      <c r="H3399" s="250"/>
      <c r="I3399" s="471"/>
    </row>
    <row r="3400" spans="1:9" ht="12.75">
      <c r="A3400" s="717"/>
      <c r="B3400" s="718"/>
      <c r="C3400" s="250"/>
      <c r="D3400" s="250"/>
      <c r="E3400" s="250"/>
      <c r="F3400" s="250"/>
      <c r="G3400" s="471"/>
      <c r="H3400" s="250"/>
      <c r="I3400" s="471"/>
    </row>
    <row r="3401" spans="1:9" ht="12.75">
      <c r="A3401" s="717"/>
      <c r="B3401" s="718"/>
      <c r="C3401" s="250"/>
      <c r="D3401" s="250"/>
      <c r="E3401" s="250"/>
      <c r="F3401" s="250"/>
      <c r="G3401" s="471"/>
      <c r="H3401" s="250"/>
      <c r="I3401" s="471"/>
    </row>
    <row r="3402" spans="1:9" ht="12.75">
      <c r="A3402" s="717"/>
      <c r="B3402" s="718"/>
      <c r="C3402" s="250"/>
      <c r="D3402" s="250"/>
      <c r="E3402" s="250"/>
      <c r="F3402" s="250"/>
      <c r="G3402" s="471"/>
      <c r="H3402" s="250"/>
      <c r="I3402" s="471"/>
    </row>
    <row r="3403" spans="1:9" ht="12.75">
      <c r="A3403" s="717"/>
      <c r="B3403" s="718"/>
      <c r="C3403" s="250"/>
      <c r="D3403" s="250"/>
      <c r="E3403" s="250"/>
      <c r="F3403" s="250"/>
      <c r="G3403" s="471"/>
      <c r="H3403" s="250"/>
      <c r="I3403" s="471"/>
    </row>
    <row r="3404" spans="1:9" ht="12.75">
      <c r="A3404" s="717"/>
      <c r="B3404" s="718"/>
      <c r="C3404" s="250"/>
      <c r="D3404" s="250"/>
      <c r="E3404" s="250"/>
      <c r="F3404" s="250"/>
      <c r="G3404" s="471"/>
      <c r="H3404" s="250"/>
      <c r="I3404" s="471"/>
    </row>
    <row r="3405" spans="1:9" ht="12.75">
      <c r="A3405" s="717"/>
      <c r="B3405" s="718"/>
      <c r="C3405" s="250"/>
      <c r="D3405" s="250"/>
      <c r="E3405" s="250"/>
      <c r="F3405" s="250"/>
      <c r="G3405" s="471"/>
      <c r="H3405" s="250"/>
      <c r="I3405" s="471"/>
    </row>
    <row r="3406" spans="1:9" ht="12.75">
      <c r="A3406" s="717"/>
      <c r="B3406" s="718"/>
      <c r="C3406" s="250"/>
      <c r="D3406" s="250"/>
      <c r="E3406" s="250"/>
      <c r="F3406" s="250"/>
      <c r="G3406" s="471"/>
      <c r="H3406" s="250"/>
      <c r="I3406" s="471"/>
    </row>
    <row r="3407" spans="1:9" ht="12.75">
      <c r="A3407" s="717"/>
      <c r="B3407" s="718"/>
      <c r="C3407" s="250"/>
      <c r="D3407" s="250"/>
      <c r="E3407" s="250"/>
      <c r="F3407" s="250"/>
      <c r="G3407" s="471"/>
      <c r="H3407" s="250"/>
      <c r="I3407" s="471"/>
    </row>
    <row r="3408" spans="1:9" ht="12.75">
      <c r="A3408" s="717"/>
      <c r="B3408" s="718"/>
      <c r="C3408" s="250"/>
      <c r="D3408" s="250"/>
      <c r="E3408" s="250"/>
      <c r="F3408" s="250"/>
      <c r="G3408" s="471"/>
      <c r="H3408" s="250"/>
      <c r="I3408" s="471"/>
    </row>
    <row r="3409" spans="1:9" ht="12.75">
      <c r="A3409" s="717"/>
      <c r="B3409" s="718"/>
      <c r="C3409" s="250"/>
      <c r="D3409" s="250"/>
      <c r="E3409" s="250"/>
      <c r="F3409" s="250"/>
      <c r="G3409" s="471"/>
      <c r="H3409" s="250"/>
      <c r="I3409" s="471"/>
    </row>
    <row r="3410" spans="1:9" ht="12.75">
      <c r="A3410" s="717"/>
      <c r="B3410" s="718"/>
      <c r="C3410" s="250"/>
      <c r="D3410" s="250"/>
      <c r="E3410" s="250"/>
      <c r="F3410" s="250"/>
      <c r="G3410" s="471"/>
      <c r="H3410" s="250"/>
      <c r="I3410" s="471"/>
    </row>
    <row r="3411" spans="1:9" ht="12.75">
      <c r="A3411" s="717"/>
      <c r="B3411" s="718"/>
      <c r="C3411" s="250"/>
      <c r="D3411" s="250"/>
      <c r="E3411" s="250"/>
      <c r="F3411" s="250"/>
      <c r="G3411" s="471"/>
      <c r="H3411" s="250"/>
      <c r="I3411" s="471"/>
    </row>
    <row r="3412" spans="1:9" ht="12.75">
      <c r="A3412" s="717"/>
      <c r="B3412" s="718"/>
      <c r="C3412" s="250"/>
      <c r="D3412" s="250"/>
      <c r="E3412" s="250"/>
      <c r="F3412" s="250"/>
      <c r="G3412" s="471"/>
      <c r="H3412" s="250"/>
      <c r="I3412" s="471"/>
    </row>
    <row r="3413" spans="1:9" ht="12.75">
      <c r="A3413" s="717"/>
      <c r="B3413" s="718"/>
      <c r="C3413" s="250"/>
      <c r="D3413" s="250"/>
      <c r="E3413" s="250"/>
      <c r="F3413" s="250"/>
      <c r="G3413" s="471"/>
      <c r="H3413" s="250"/>
      <c r="I3413" s="471"/>
    </row>
    <row r="3414" spans="1:9" ht="12.75">
      <c r="A3414" s="717"/>
      <c r="B3414" s="718"/>
      <c r="C3414" s="250"/>
      <c r="D3414" s="250"/>
      <c r="E3414" s="250"/>
      <c r="F3414" s="250"/>
      <c r="G3414" s="471"/>
      <c r="H3414" s="250"/>
      <c r="I3414" s="471"/>
    </row>
    <row r="3415" spans="1:9" ht="12.75">
      <c r="A3415" s="717"/>
      <c r="B3415" s="718"/>
      <c r="C3415" s="250"/>
      <c r="D3415" s="250"/>
      <c r="E3415" s="250"/>
      <c r="F3415" s="250"/>
      <c r="G3415" s="471"/>
      <c r="H3415" s="250"/>
      <c r="I3415" s="471"/>
    </row>
    <row r="3416" spans="1:9" ht="12.75">
      <c r="A3416" s="717"/>
      <c r="B3416" s="718"/>
      <c r="C3416" s="250"/>
      <c r="D3416" s="250"/>
      <c r="E3416" s="250"/>
      <c r="F3416" s="250"/>
      <c r="G3416" s="471"/>
      <c r="H3416" s="250"/>
      <c r="I3416" s="471"/>
    </row>
    <row r="3417" spans="1:9" ht="12.75">
      <c r="A3417" s="717"/>
      <c r="B3417" s="718"/>
      <c r="C3417" s="250"/>
      <c r="D3417" s="250"/>
      <c r="E3417" s="250"/>
      <c r="F3417" s="250"/>
      <c r="G3417" s="471"/>
      <c r="H3417" s="250"/>
      <c r="I3417" s="471"/>
    </row>
    <row r="3418" spans="1:9" ht="12.75">
      <c r="A3418" s="717"/>
      <c r="B3418" s="718"/>
      <c r="C3418" s="250"/>
      <c r="D3418" s="250"/>
      <c r="E3418" s="250"/>
      <c r="F3418" s="250"/>
      <c r="G3418" s="471"/>
      <c r="H3418" s="250"/>
      <c r="I3418" s="471"/>
    </row>
    <row r="3419" spans="1:9" ht="12.75">
      <c r="A3419" s="717"/>
      <c r="B3419" s="718"/>
      <c r="C3419" s="250"/>
      <c r="D3419" s="250"/>
      <c r="E3419" s="250"/>
      <c r="F3419" s="250"/>
      <c r="G3419" s="471"/>
      <c r="H3419" s="250"/>
      <c r="I3419" s="471"/>
    </row>
    <row r="3420" spans="1:9" ht="12.75">
      <c r="A3420" s="717"/>
      <c r="B3420" s="718"/>
      <c r="C3420" s="250"/>
      <c r="D3420" s="250"/>
      <c r="E3420" s="250"/>
      <c r="F3420" s="250"/>
      <c r="G3420" s="471"/>
      <c r="H3420" s="250"/>
      <c r="I3420" s="471"/>
    </row>
    <row r="3421" spans="1:9" ht="12.75">
      <c r="A3421" s="717"/>
      <c r="B3421" s="718"/>
      <c r="C3421" s="250"/>
      <c r="D3421" s="250"/>
      <c r="E3421" s="250"/>
      <c r="F3421" s="250"/>
      <c r="G3421" s="471"/>
      <c r="H3421" s="250"/>
      <c r="I3421" s="471"/>
    </row>
    <row r="3422" spans="1:9" ht="12.75">
      <c r="A3422" s="717"/>
      <c r="B3422" s="718"/>
      <c r="C3422" s="250"/>
      <c r="D3422" s="250"/>
      <c r="E3422" s="250"/>
      <c r="F3422" s="250"/>
      <c r="G3422" s="471"/>
      <c r="H3422" s="250"/>
      <c r="I3422" s="471"/>
    </row>
    <row r="3423" spans="1:9" ht="12.75">
      <c r="A3423" s="717"/>
      <c r="B3423" s="718"/>
      <c r="C3423" s="250"/>
      <c r="D3423" s="250"/>
      <c r="E3423" s="250"/>
      <c r="F3423" s="250"/>
      <c r="G3423" s="471"/>
      <c r="H3423" s="250"/>
      <c r="I3423" s="471"/>
    </row>
    <row r="3424" spans="1:9" ht="12.75">
      <c r="A3424" s="717"/>
      <c r="B3424" s="718"/>
      <c r="C3424" s="250"/>
      <c r="D3424" s="250"/>
      <c r="E3424" s="250"/>
      <c r="F3424" s="250"/>
      <c r="G3424" s="471"/>
      <c r="H3424" s="250"/>
      <c r="I3424" s="471"/>
    </row>
    <row r="3425" spans="1:9" ht="12.75">
      <c r="A3425" s="717"/>
      <c r="B3425" s="718"/>
      <c r="C3425" s="250"/>
      <c r="D3425" s="250"/>
      <c r="E3425" s="250"/>
      <c r="F3425" s="250"/>
      <c r="G3425" s="471"/>
      <c r="H3425" s="250"/>
      <c r="I3425" s="471"/>
    </row>
    <row r="3426" spans="1:9" ht="12.75">
      <c r="A3426" s="717"/>
      <c r="B3426" s="718"/>
      <c r="C3426" s="250"/>
      <c r="D3426" s="250"/>
      <c r="E3426" s="250"/>
      <c r="F3426" s="250"/>
      <c r="G3426" s="471"/>
      <c r="H3426" s="250"/>
      <c r="I3426" s="471"/>
    </row>
    <row r="3427" spans="1:9" ht="12.75">
      <c r="A3427" s="717"/>
      <c r="B3427" s="718"/>
      <c r="C3427" s="250"/>
      <c r="D3427" s="250"/>
      <c r="E3427" s="250"/>
      <c r="F3427" s="250"/>
      <c r="G3427" s="471"/>
      <c r="H3427" s="250"/>
      <c r="I3427" s="471"/>
    </row>
    <row r="3428" spans="1:9" ht="12.75">
      <c r="A3428" s="717"/>
      <c r="B3428" s="718"/>
      <c r="C3428" s="250"/>
      <c r="D3428" s="250"/>
      <c r="E3428" s="250"/>
      <c r="F3428" s="250"/>
      <c r="G3428" s="471"/>
      <c r="H3428" s="250"/>
      <c r="I3428" s="471"/>
    </row>
    <row r="3429" spans="1:9" ht="12.75">
      <c r="A3429" s="717"/>
      <c r="B3429" s="718"/>
      <c r="C3429" s="250"/>
      <c r="D3429" s="250"/>
      <c r="E3429" s="250"/>
      <c r="F3429" s="250"/>
      <c r="G3429" s="471"/>
      <c r="H3429" s="250"/>
      <c r="I3429" s="471"/>
    </row>
    <row r="3430" spans="1:9" ht="12.75">
      <c r="A3430" s="717"/>
      <c r="B3430" s="718"/>
      <c r="C3430" s="250"/>
      <c r="D3430" s="250"/>
      <c r="E3430" s="250"/>
      <c r="F3430" s="250"/>
      <c r="G3430" s="471"/>
      <c r="H3430" s="250"/>
      <c r="I3430" s="471"/>
    </row>
    <row r="3431" spans="1:9" ht="12.75">
      <c r="A3431" s="717"/>
      <c r="B3431" s="718"/>
      <c r="C3431" s="250"/>
      <c r="D3431" s="250"/>
      <c r="E3431" s="250"/>
      <c r="F3431" s="250"/>
      <c r="G3431" s="471"/>
      <c r="H3431" s="250"/>
      <c r="I3431" s="471"/>
    </row>
    <row r="3432" spans="1:9" ht="12.75">
      <c r="A3432" s="717"/>
      <c r="B3432" s="718"/>
      <c r="C3432" s="250"/>
      <c r="D3432" s="250"/>
      <c r="E3432" s="250"/>
      <c r="F3432" s="250"/>
      <c r="G3432" s="471"/>
      <c r="H3432" s="250"/>
      <c r="I3432" s="471"/>
    </row>
    <row r="3433" spans="1:9" ht="12.75">
      <c r="A3433" s="717"/>
      <c r="B3433" s="718"/>
      <c r="C3433" s="250"/>
      <c r="D3433" s="250"/>
      <c r="E3433" s="250"/>
      <c r="F3433" s="250"/>
      <c r="G3433" s="471"/>
      <c r="H3433" s="250"/>
      <c r="I3433" s="471"/>
    </row>
    <row r="3434" spans="1:9" ht="12.75">
      <c r="A3434" s="717"/>
      <c r="B3434" s="718"/>
      <c r="C3434" s="250"/>
      <c r="D3434" s="250"/>
      <c r="E3434" s="250"/>
      <c r="F3434" s="250"/>
      <c r="G3434" s="471"/>
      <c r="H3434" s="250"/>
      <c r="I3434" s="471"/>
    </row>
    <row r="3435" spans="1:9" ht="12.75">
      <c r="A3435" s="717"/>
      <c r="B3435" s="718"/>
      <c r="C3435" s="250"/>
      <c r="D3435" s="250"/>
      <c r="E3435" s="250"/>
      <c r="F3435" s="250"/>
      <c r="G3435" s="471"/>
      <c r="H3435" s="250"/>
      <c r="I3435" s="471"/>
    </row>
    <row r="3436" spans="1:9" ht="12.75">
      <c r="A3436" s="717"/>
      <c r="B3436" s="718"/>
      <c r="C3436" s="250"/>
      <c r="D3436" s="250"/>
      <c r="E3436" s="250"/>
      <c r="F3436" s="250"/>
      <c r="G3436" s="471"/>
      <c r="H3436" s="250"/>
      <c r="I3436" s="471"/>
    </row>
    <row r="3437" spans="1:9" ht="12.75">
      <c r="A3437" s="717"/>
      <c r="B3437" s="718"/>
      <c r="C3437" s="250"/>
      <c r="D3437" s="250"/>
      <c r="E3437" s="250"/>
      <c r="F3437" s="250"/>
      <c r="G3437" s="471"/>
      <c r="H3437" s="250"/>
      <c r="I3437" s="471"/>
    </row>
    <row r="3438" spans="1:9" ht="12.75">
      <c r="A3438" s="717"/>
      <c r="B3438" s="718"/>
      <c r="C3438" s="250"/>
      <c r="D3438" s="250"/>
      <c r="E3438" s="250"/>
      <c r="F3438" s="250"/>
      <c r="G3438" s="471"/>
      <c r="H3438" s="250"/>
      <c r="I3438" s="471"/>
    </row>
    <row r="3439" spans="1:9" ht="12.75">
      <c r="A3439" s="717"/>
      <c r="B3439" s="718"/>
      <c r="C3439" s="250"/>
      <c r="D3439" s="250"/>
      <c r="E3439" s="250"/>
      <c r="F3439" s="250"/>
      <c r="G3439" s="471"/>
      <c r="H3439" s="250"/>
      <c r="I3439" s="471"/>
    </row>
    <row r="3440" spans="1:9" ht="12.75">
      <c r="A3440" s="717"/>
      <c r="B3440" s="718"/>
      <c r="C3440" s="250"/>
      <c r="D3440" s="250"/>
      <c r="E3440" s="250"/>
      <c r="F3440" s="250"/>
      <c r="G3440" s="471"/>
      <c r="H3440" s="250"/>
      <c r="I3440" s="471"/>
    </row>
    <row r="3441" spans="1:9" ht="12.75">
      <c r="A3441" s="717"/>
      <c r="B3441" s="718"/>
      <c r="C3441" s="250"/>
      <c r="D3441" s="250"/>
      <c r="E3441" s="250"/>
      <c r="F3441" s="250"/>
      <c r="G3441" s="471"/>
      <c r="H3441" s="250"/>
      <c r="I3441" s="471"/>
    </row>
    <row r="3442" spans="1:9" ht="12.75">
      <c r="A3442" s="717"/>
      <c r="B3442" s="718"/>
      <c r="C3442" s="250"/>
      <c r="D3442" s="250"/>
      <c r="E3442" s="250"/>
      <c r="F3442" s="250"/>
      <c r="G3442" s="471"/>
      <c r="H3442" s="250"/>
      <c r="I3442" s="471"/>
    </row>
    <row r="3443" spans="1:9" ht="12.75">
      <c r="A3443" s="717"/>
      <c r="B3443" s="718"/>
      <c r="C3443" s="250"/>
      <c r="D3443" s="250"/>
      <c r="E3443" s="250"/>
      <c r="F3443" s="250"/>
      <c r="G3443" s="471"/>
      <c r="H3443" s="250"/>
      <c r="I3443" s="471"/>
    </row>
    <row r="3444" spans="1:9" ht="12.75">
      <c r="A3444" s="717"/>
      <c r="B3444" s="718"/>
      <c r="C3444" s="250"/>
      <c r="D3444" s="250"/>
      <c r="E3444" s="250"/>
      <c r="F3444" s="250"/>
      <c r="G3444" s="471"/>
      <c r="H3444" s="250"/>
      <c r="I3444" s="471"/>
    </row>
    <row r="3445" spans="1:9" ht="12.75">
      <c r="A3445" s="717"/>
      <c r="B3445" s="718"/>
      <c r="C3445" s="250"/>
      <c r="D3445" s="250"/>
      <c r="E3445" s="250"/>
      <c r="F3445" s="250"/>
      <c r="G3445" s="471"/>
      <c r="H3445" s="250"/>
      <c r="I3445" s="471"/>
    </row>
    <row r="3446" spans="1:9" ht="12.75">
      <c r="A3446" s="717"/>
      <c r="B3446" s="718"/>
      <c r="C3446" s="250"/>
      <c r="D3446" s="250"/>
      <c r="E3446" s="250"/>
      <c r="F3446" s="250"/>
      <c r="G3446" s="471"/>
      <c r="H3446" s="250"/>
      <c r="I3446" s="471"/>
    </row>
    <row r="3447" spans="1:9" ht="12.75">
      <c r="A3447" s="717"/>
      <c r="B3447" s="718"/>
      <c r="C3447" s="250"/>
      <c r="D3447" s="250"/>
      <c r="E3447" s="250"/>
      <c r="F3447" s="250"/>
      <c r="G3447" s="471"/>
      <c r="H3447" s="250"/>
      <c r="I3447" s="471"/>
    </row>
    <row r="3448" spans="1:9" ht="12.75">
      <c r="A3448" s="717"/>
      <c r="B3448" s="718"/>
      <c r="C3448" s="250"/>
      <c r="D3448" s="250"/>
      <c r="E3448" s="250"/>
      <c r="F3448" s="250"/>
      <c r="G3448" s="471"/>
      <c r="H3448" s="250"/>
      <c r="I3448" s="471"/>
    </row>
    <row r="3449" spans="1:9" ht="12.75">
      <c r="A3449" s="717"/>
      <c r="B3449" s="718"/>
      <c r="C3449" s="250"/>
      <c r="D3449" s="250"/>
      <c r="E3449" s="250"/>
      <c r="F3449" s="250"/>
      <c r="G3449" s="471"/>
      <c r="H3449" s="250"/>
      <c r="I3449" s="471"/>
    </row>
    <row r="3450" spans="1:9" ht="12.75">
      <c r="A3450" s="717"/>
      <c r="B3450" s="718"/>
      <c r="C3450" s="250"/>
      <c r="D3450" s="250"/>
      <c r="E3450" s="250"/>
      <c r="F3450" s="250"/>
      <c r="G3450" s="471"/>
      <c r="H3450" s="250"/>
      <c r="I3450" s="471"/>
    </row>
    <row r="3451" spans="1:9" ht="12.75">
      <c r="A3451" s="717"/>
      <c r="B3451" s="718"/>
      <c r="C3451" s="250"/>
      <c r="D3451" s="250"/>
      <c r="E3451" s="250"/>
      <c r="F3451" s="250"/>
      <c r="G3451" s="471"/>
      <c r="H3451" s="250"/>
      <c r="I3451" s="471"/>
    </row>
    <row r="3452" spans="1:9" ht="12.75">
      <c r="A3452" s="717"/>
      <c r="B3452" s="718"/>
      <c r="C3452" s="250"/>
      <c r="D3452" s="250"/>
      <c r="E3452" s="250"/>
      <c r="F3452" s="250"/>
      <c r="G3452" s="471"/>
      <c r="H3452" s="250"/>
      <c r="I3452" s="471"/>
    </row>
    <row r="3453" spans="1:9" ht="12.75">
      <c r="A3453" s="717"/>
      <c r="B3453" s="718"/>
      <c r="C3453" s="250"/>
      <c r="D3453" s="250"/>
      <c r="E3453" s="250"/>
      <c r="F3453" s="250"/>
      <c r="G3453" s="471"/>
      <c r="H3453" s="250"/>
      <c r="I3453" s="471"/>
    </row>
    <row r="3454" spans="1:9" ht="12.75">
      <c r="A3454" s="717"/>
      <c r="B3454" s="718"/>
      <c r="C3454" s="250"/>
      <c r="D3454" s="250"/>
      <c r="E3454" s="250"/>
      <c r="F3454" s="250"/>
      <c r="G3454" s="471"/>
      <c r="H3454" s="250"/>
      <c r="I3454" s="471"/>
    </row>
    <row r="3455" spans="1:9" ht="12.75">
      <c r="A3455" s="717"/>
      <c r="B3455" s="718"/>
      <c r="C3455" s="250"/>
      <c r="D3455" s="250"/>
      <c r="E3455" s="250"/>
      <c r="F3455" s="250"/>
      <c r="G3455" s="471"/>
      <c r="H3455" s="250"/>
      <c r="I3455" s="471"/>
    </row>
    <row r="3456" spans="1:9" ht="12.75">
      <c r="A3456" s="717"/>
      <c r="B3456" s="718"/>
      <c r="C3456" s="250"/>
      <c r="D3456" s="250"/>
      <c r="E3456" s="250"/>
      <c r="F3456" s="250"/>
      <c r="G3456" s="471"/>
      <c r="H3456" s="250"/>
      <c r="I3456" s="471"/>
    </row>
    <row r="3457" spans="1:9" ht="12.75">
      <c r="A3457" s="717"/>
      <c r="B3457" s="718"/>
      <c r="C3457" s="250"/>
      <c r="D3457" s="250"/>
      <c r="E3457" s="250"/>
      <c r="F3457" s="250"/>
      <c r="G3457" s="471"/>
      <c r="H3457" s="250"/>
      <c r="I3457" s="471"/>
    </row>
    <row r="3458" spans="1:9" ht="12.75">
      <c r="A3458" s="717"/>
      <c r="B3458" s="718"/>
      <c r="C3458" s="250"/>
      <c r="D3458" s="250"/>
      <c r="E3458" s="250"/>
      <c r="F3458" s="250"/>
      <c r="G3458" s="471"/>
      <c r="H3458" s="250"/>
      <c r="I3458" s="471"/>
    </row>
    <row r="3459" spans="1:9" ht="12.75">
      <c r="A3459" s="717"/>
      <c r="B3459" s="718"/>
      <c r="C3459" s="250"/>
      <c r="D3459" s="250"/>
      <c r="E3459" s="250"/>
      <c r="F3459" s="250"/>
      <c r="G3459" s="471"/>
      <c r="H3459" s="250"/>
      <c r="I3459" s="471"/>
    </row>
    <row r="3460" spans="1:9" ht="12.75">
      <c r="A3460" s="717"/>
      <c r="B3460" s="718"/>
      <c r="C3460" s="250"/>
      <c r="D3460" s="250"/>
      <c r="E3460" s="250"/>
      <c r="F3460" s="250"/>
      <c r="G3460" s="471"/>
      <c r="H3460" s="250"/>
      <c r="I3460" s="471"/>
    </row>
    <row r="3461" spans="1:9" ht="12.75">
      <c r="A3461" s="717"/>
      <c r="B3461" s="718"/>
      <c r="C3461" s="250"/>
      <c r="D3461" s="250"/>
      <c r="E3461" s="250"/>
      <c r="F3461" s="250"/>
      <c r="G3461" s="471"/>
      <c r="H3461" s="250"/>
      <c r="I3461" s="471"/>
    </row>
    <row r="3462" spans="1:9" ht="12.75">
      <c r="A3462" s="717"/>
      <c r="B3462" s="718"/>
      <c r="C3462" s="250"/>
      <c r="D3462" s="250"/>
      <c r="E3462" s="250"/>
      <c r="F3462" s="250"/>
      <c r="G3462" s="471"/>
      <c r="H3462" s="250"/>
      <c r="I3462" s="471"/>
    </row>
    <row r="3463" spans="1:9" ht="12.75">
      <c r="A3463" s="717"/>
      <c r="B3463" s="718"/>
      <c r="C3463" s="250"/>
      <c r="D3463" s="250"/>
      <c r="E3463" s="250"/>
      <c r="F3463" s="250"/>
      <c r="G3463" s="471"/>
      <c r="H3463" s="250"/>
      <c r="I3463" s="471"/>
    </row>
    <row r="3464" spans="1:9" ht="12.75">
      <c r="A3464" s="717"/>
      <c r="B3464" s="718"/>
      <c r="C3464" s="250"/>
      <c r="D3464" s="250"/>
      <c r="E3464" s="250"/>
      <c r="F3464" s="250"/>
      <c r="G3464" s="471"/>
      <c r="H3464" s="250"/>
      <c r="I3464" s="471"/>
    </row>
    <row r="3465" spans="1:9" ht="12.75">
      <c r="A3465" s="717"/>
      <c r="B3465" s="718"/>
      <c r="C3465" s="250"/>
      <c r="D3465" s="250"/>
      <c r="E3465" s="250"/>
      <c r="F3465" s="250"/>
      <c r="G3465" s="471"/>
      <c r="H3465" s="250"/>
      <c r="I3465" s="471"/>
    </row>
    <row r="3466" spans="1:9" ht="12.75">
      <c r="A3466" s="717"/>
      <c r="B3466" s="718"/>
      <c r="C3466" s="250"/>
      <c r="D3466" s="250"/>
      <c r="E3466" s="250"/>
      <c r="F3466" s="250"/>
      <c r="G3466" s="471"/>
      <c r="H3466" s="250"/>
      <c r="I3466" s="471"/>
    </row>
    <row r="3467" spans="1:9" ht="12.75">
      <c r="A3467" s="717"/>
      <c r="B3467" s="718"/>
      <c r="C3467" s="250"/>
      <c r="D3467" s="250"/>
      <c r="E3467" s="250"/>
      <c r="F3467" s="250"/>
      <c r="G3467" s="471"/>
      <c r="H3467" s="250"/>
      <c r="I3467" s="471"/>
    </row>
    <row r="3468" spans="1:9" ht="12.75">
      <c r="A3468" s="717"/>
      <c r="B3468" s="718"/>
      <c r="C3468" s="250"/>
      <c r="D3468" s="250"/>
      <c r="E3468" s="250"/>
      <c r="F3468" s="250"/>
      <c r="G3468" s="471"/>
      <c r="H3468" s="250"/>
      <c r="I3468" s="471"/>
    </row>
    <row r="3469" spans="1:9" ht="12.75">
      <c r="A3469" s="717"/>
      <c r="B3469" s="718"/>
      <c r="C3469" s="250"/>
      <c r="D3469" s="250"/>
      <c r="E3469" s="250"/>
      <c r="F3469" s="250"/>
      <c r="G3469" s="471"/>
      <c r="H3469" s="250"/>
      <c r="I3469" s="471"/>
    </row>
    <row r="3470" spans="1:9" ht="12.75">
      <c r="A3470" s="717"/>
      <c r="B3470" s="718"/>
      <c r="C3470" s="250"/>
      <c r="D3470" s="250"/>
      <c r="E3470" s="250"/>
      <c r="F3470" s="250"/>
      <c r="G3470" s="471"/>
      <c r="H3470" s="250"/>
      <c r="I3470" s="471"/>
    </row>
    <row r="3471" spans="1:9" ht="12.75">
      <c r="A3471" s="717"/>
      <c r="B3471" s="718"/>
      <c r="C3471" s="250"/>
      <c r="D3471" s="250"/>
      <c r="E3471" s="250"/>
      <c r="F3471" s="250"/>
      <c r="G3471" s="471"/>
      <c r="H3471" s="250"/>
      <c r="I3471" s="471"/>
    </row>
    <row r="3472" spans="1:9" ht="12.75">
      <c r="A3472" s="717"/>
      <c r="B3472" s="718"/>
      <c r="C3472" s="250"/>
      <c r="D3472" s="250"/>
      <c r="E3472" s="250"/>
      <c r="F3472" s="250"/>
      <c r="G3472" s="471"/>
      <c r="H3472" s="250"/>
      <c r="I3472" s="471"/>
    </row>
    <row r="3473" spans="1:9" ht="12.75">
      <c r="A3473" s="717"/>
      <c r="B3473" s="718"/>
      <c r="C3473" s="250"/>
      <c r="D3473" s="250"/>
      <c r="E3473" s="250"/>
      <c r="F3473" s="250"/>
      <c r="G3473" s="471"/>
      <c r="H3473" s="250"/>
      <c r="I3473" s="471"/>
    </row>
    <row r="3474" spans="1:9" ht="12.75">
      <c r="A3474" s="717"/>
      <c r="B3474" s="718"/>
      <c r="C3474" s="250"/>
      <c r="D3474" s="250"/>
      <c r="E3474" s="250"/>
      <c r="F3474" s="250"/>
      <c r="G3474" s="471"/>
      <c r="H3474" s="250"/>
      <c r="I3474" s="471"/>
    </row>
    <row r="3475" spans="1:9" ht="12.75">
      <c r="A3475" s="717"/>
      <c r="B3475" s="718"/>
      <c r="C3475" s="250"/>
      <c r="D3475" s="250"/>
      <c r="E3475" s="250"/>
      <c r="F3475" s="250"/>
      <c r="G3475" s="471"/>
      <c r="H3475" s="250"/>
      <c r="I3475" s="471"/>
    </row>
    <row r="3476" spans="1:9" ht="12.75">
      <c r="A3476" s="717"/>
      <c r="B3476" s="718"/>
      <c r="C3476" s="250"/>
      <c r="D3476" s="250"/>
      <c r="E3476" s="250"/>
      <c r="F3476" s="250"/>
      <c r="G3476" s="471"/>
      <c r="H3476" s="250"/>
      <c r="I3476" s="471"/>
    </row>
    <row r="3477" spans="1:9" ht="12.75">
      <c r="A3477" s="717"/>
      <c r="B3477" s="718"/>
      <c r="C3477" s="250"/>
      <c r="D3477" s="250"/>
      <c r="E3477" s="250"/>
      <c r="F3477" s="250"/>
      <c r="G3477" s="471"/>
      <c r="H3477" s="250"/>
      <c r="I3477" s="471"/>
    </row>
    <row r="3478" spans="1:9" ht="12.75">
      <c r="A3478" s="717"/>
      <c r="B3478" s="718"/>
      <c r="C3478" s="250"/>
      <c r="D3478" s="250"/>
      <c r="E3478" s="250"/>
      <c r="F3478" s="250"/>
      <c r="G3478" s="471"/>
      <c r="H3478" s="250"/>
      <c r="I3478" s="471"/>
    </row>
    <row r="3479" spans="1:9" ht="12.75">
      <c r="A3479" s="717"/>
      <c r="B3479" s="718"/>
      <c r="C3479" s="250"/>
      <c r="D3479" s="250"/>
      <c r="E3479" s="250"/>
      <c r="F3479" s="250"/>
      <c r="G3479" s="471"/>
      <c r="H3479" s="250"/>
      <c r="I3479" s="471"/>
    </row>
    <row r="3480" spans="1:9" ht="12.75">
      <c r="A3480" s="717"/>
      <c r="B3480" s="718"/>
      <c r="C3480" s="250"/>
      <c r="D3480" s="250"/>
      <c r="E3480" s="250"/>
      <c r="F3480" s="250"/>
      <c r="G3480" s="471"/>
      <c r="H3480" s="250"/>
      <c r="I3480" s="471"/>
    </row>
    <row r="3481" spans="1:9" ht="12.75">
      <c r="A3481" s="717"/>
      <c r="B3481" s="718"/>
      <c r="C3481" s="250"/>
      <c r="D3481" s="250"/>
      <c r="E3481" s="250"/>
      <c r="F3481" s="250"/>
      <c r="G3481" s="471"/>
      <c r="H3481" s="250"/>
      <c r="I3481" s="471"/>
    </row>
    <row r="3482" spans="1:9" ht="12.75">
      <c r="A3482" s="717"/>
      <c r="B3482" s="718"/>
      <c r="C3482" s="250"/>
      <c r="D3482" s="250"/>
      <c r="E3482" s="250"/>
      <c r="F3482" s="250"/>
      <c r="G3482" s="471"/>
      <c r="H3482" s="250"/>
      <c r="I3482" s="471"/>
    </row>
    <row r="3483" spans="1:9" ht="12.75">
      <c r="A3483" s="717"/>
      <c r="B3483" s="718"/>
      <c r="C3483" s="250"/>
      <c r="D3483" s="250"/>
      <c r="E3483" s="250"/>
      <c r="F3483" s="250"/>
      <c r="G3483" s="471"/>
      <c r="H3483" s="250"/>
      <c r="I3483" s="471"/>
    </row>
    <row r="3484" spans="1:9" ht="12.75">
      <c r="A3484" s="717"/>
      <c r="B3484" s="718"/>
      <c r="C3484" s="250"/>
      <c r="D3484" s="250"/>
      <c r="E3484" s="250"/>
      <c r="F3484" s="250"/>
      <c r="G3484" s="471"/>
      <c r="H3484" s="250"/>
      <c r="I3484" s="471"/>
    </row>
    <row r="3485" spans="1:9" ht="12.75">
      <c r="A3485" s="717"/>
      <c r="B3485" s="718"/>
      <c r="C3485" s="250"/>
      <c r="D3485" s="250"/>
      <c r="E3485" s="250"/>
      <c r="F3485" s="250"/>
      <c r="G3485" s="471"/>
      <c r="H3485" s="250"/>
      <c r="I3485" s="471"/>
    </row>
    <row r="3486" spans="1:9" ht="12.75">
      <c r="A3486" s="717"/>
      <c r="B3486" s="718"/>
      <c r="C3486" s="250"/>
      <c r="D3486" s="250"/>
      <c r="E3486" s="250"/>
      <c r="F3486" s="250"/>
      <c r="G3486" s="471"/>
      <c r="H3486" s="250"/>
      <c r="I3486" s="471"/>
    </row>
    <row r="3487" spans="1:9" ht="12.75">
      <c r="A3487" s="717"/>
      <c r="B3487" s="718"/>
      <c r="C3487" s="250"/>
      <c r="D3487" s="250"/>
      <c r="E3487" s="250"/>
      <c r="F3487" s="250"/>
      <c r="G3487" s="471"/>
      <c r="H3487" s="250"/>
      <c r="I3487" s="471"/>
    </row>
    <row r="3488" spans="1:9" ht="12.75">
      <c r="A3488" s="717"/>
      <c r="B3488" s="718"/>
      <c r="C3488" s="250"/>
      <c r="D3488" s="250"/>
      <c r="E3488" s="250"/>
      <c r="F3488" s="250"/>
      <c r="G3488" s="471"/>
      <c r="H3488" s="250"/>
      <c r="I3488" s="471"/>
    </row>
    <row r="3489" spans="1:9" ht="12.75">
      <c r="A3489" s="717"/>
      <c r="B3489" s="718"/>
      <c r="C3489" s="250"/>
      <c r="D3489" s="250"/>
      <c r="E3489" s="250"/>
      <c r="F3489" s="250"/>
      <c r="G3489" s="471"/>
      <c r="H3489" s="250"/>
      <c r="I3489" s="471"/>
    </row>
    <row r="3490" spans="1:9" ht="12.75">
      <c r="A3490" s="717"/>
      <c r="B3490" s="718"/>
      <c r="C3490" s="250"/>
      <c r="D3490" s="250"/>
      <c r="E3490" s="250"/>
      <c r="F3490" s="250"/>
      <c r="G3490" s="471"/>
      <c r="H3490" s="250"/>
      <c r="I3490" s="471"/>
    </row>
    <row r="3491" spans="1:9" ht="12.75">
      <c r="A3491" s="717"/>
      <c r="B3491" s="718"/>
      <c r="C3491" s="250"/>
      <c r="D3491" s="250"/>
      <c r="E3491" s="250"/>
      <c r="F3491" s="250"/>
      <c r="G3491" s="471"/>
      <c r="H3491" s="250"/>
      <c r="I3491" s="471"/>
    </row>
    <row r="3492" spans="1:9" ht="12.75">
      <c r="A3492" s="717"/>
      <c r="B3492" s="718"/>
      <c r="C3492" s="250"/>
      <c r="D3492" s="250"/>
      <c r="E3492" s="250"/>
      <c r="F3492" s="250"/>
      <c r="G3492" s="471"/>
      <c r="H3492" s="250"/>
      <c r="I3492" s="471"/>
    </row>
    <row r="3493" spans="1:9" ht="12.75">
      <c r="A3493" s="717"/>
      <c r="B3493" s="718"/>
      <c r="C3493" s="250"/>
      <c r="D3493" s="250"/>
      <c r="E3493" s="250"/>
      <c r="F3493" s="250"/>
      <c r="G3493" s="471"/>
      <c r="H3493" s="250"/>
      <c r="I3493" s="471"/>
    </row>
    <row r="3494" spans="1:9" ht="12.75">
      <c r="A3494" s="717"/>
      <c r="B3494" s="718"/>
      <c r="C3494" s="250"/>
      <c r="D3494" s="250"/>
      <c r="E3494" s="250"/>
      <c r="F3494" s="250"/>
      <c r="G3494" s="471"/>
      <c r="H3494" s="250"/>
      <c r="I3494" s="471"/>
    </row>
    <row r="3495" spans="1:9" ht="12.75">
      <c r="A3495" s="717"/>
      <c r="B3495" s="718"/>
      <c r="C3495" s="250"/>
      <c r="D3495" s="250"/>
      <c r="E3495" s="250"/>
      <c r="F3495" s="250"/>
      <c r="G3495" s="471"/>
      <c r="H3495" s="250"/>
      <c r="I3495" s="471"/>
    </row>
    <row r="3496" spans="1:9" ht="12.75">
      <c r="A3496" s="717"/>
      <c r="B3496" s="718"/>
      <c r="C3496" s="250"/>
      <c r="D3496" s="250"/>
      <c r="E3496" s="250"/>
      <c r="F3496" s="250"/>
      <c r="G3496" s="471"/>
      <c r="H3496" s="250"/>
      <c r="I3496" s="471"/>
    </row>
    <row r="3497" spans="1:9" ht="12.75">
      <c r="A3497" s="717"/>
      <c r="B3497" s="718"/>
      <c r="C3497" s="250"/>
      <c r="D3497" s="250"/>
      <c r="E3497" s="250"/>
      <c r="F3497" s="250"/>
      <c r="G3497" s="471"/>
      <c r="H3497" s="250"/>
      <c r="I3497" s="471"/>
    </row>
    <row r="3498" spans="1:9" ht="12.75">
      <c r="A3498" s="717"/>
      <c r="B3498" s="718"/>
      <c r="C3498" s="250"/>
      <c r="D3498" s="250"/>
      <c r="E3498" s="250"/>
      <c r="F3498" s="250"/>
      <c r="G3498" s="471"/>
      <c r="H3498" s="250"/>
      <c r="I3498" s="471"/>
    </row>
    <row r="3499" spans="1:9" ht="12.75">
      <c r="A3499" s="717"/>
      <c r="B3499" s="718"/>
      <c r="C3499" s="250"/>
      <c r="D3499" s="250"/>
      <c r="E3499" s="250"/>
      <c r="F3499" s="250"/>
      <c r="G3499" s="471"/>
      <c r="H3499" s="250"/>
      <c r="I3499" s="471"/>
    </row>
    <row r="3500" spans="1:9" ht="12.75">
      <c r="A3500" s="717"/>
      <c r="B3500" s="718"/>
      <c r="C3500" s="250"/>
      <c r="D3500" s="250"/>
      <c r="E3500" s="250"/>
      <c r="F3500" s="250"/>
      <c r="G3500" s="471"/>
      <c r="H3500" s="250"/>
      <c r="I3500" s="471"/>
    </row>
    <row r="3501" spans="1:9" ht="12.75">
      <c r="A3501" s="717"/>
      <c r="B3501" s="718"/>
      <c r="C3501" s="250"/>
      <c r="D3501" s="250"/>
      <c r="E3501" s="250"/>
      <c r="F3501" s="250"/>
      <c r="G3501" s="471"/>
      <c r="H3501" s="250"/>
      <c r="I3501" s="471"/>
    </row>
    <row r="3502" spans="1:9" ht="12.75">
      <c r="A3502" s="717"/>
      <c r="B3502" s="718"/>
      <c r="C3502" s="250"/>
      <c r="D3502" s="250"/>
      <c r="E3502" s="250"/>
      <c r="F3502" s="250"/>
      <c r="G3502" s="471"/>
      <c r="H3502" s="250"/>
      <c r="I3502" s="471"/>
    </row>
    <row r="3503" spans="1:9" ht="12.75">
      <c r="A3503" s="717"/>
      <c r="B3503" s="718"/>
      <c r="C3503" s="250"/>
      <c r="D3503" s="250"/>
      <c r="E3503" s="250"/>
      <c r="F3503" s="250"/>
      <c r="G3503" s="471"/>
      <c r="H3503" s="250"/>
      <c r="I3503" s="471"/>
    </row>
    <row r="3504" spans="1:9" ht="12.75">
      <c r="A3504" s="717"/>
      <c r="B3504" s="718"/>
      <c r="C3504" s="250"/>
      <c r="D3504" s="250"/>
      <c r="E3504" s="250"/>
      <c r="F3504" s="250"/>
      <c r="G3504" s="471"/>
      <c r="H3504" s="250"/>
      <c r="I3504" s="471"/>
    </row>
    <row r="3505" spans="1:9" ht="12.75">
      <c r="A3505" s="717"/>
      <c r="B3505" s="718"/>
      <c r="C3505" s="250"/>
      <c r="D3505" s="250"/>
      <c r="E3505" s="250"/>
      <c r="F3505" s="250"/>
      <c r="G3505" s="471"/>
      <c r="H3505" s="250"/>
      <c r="I3505" s="471"/>
    </row>
    <row r="3506" spans="1:9" ht="12.75">
      <c r="A3506" s="717"/>
      <c r="B3506" s="718"/>
      <c r="C3506" s="250"/>
      <c r="D3506" s="250"/>
      <c r="E3506" s="250"/>
      <c r="F3506" s="250"/>
      <c r="G3506" s="471"/>
      <c r="H3506" s="250"/>
      <c r="I3506" s="471"/>
    </row>
    <row r="3507" spans="1:9" ht="12.75">
      <c r="A3507" s="717"/>
      <c r="B3507" s="718"/>
      <c r="C3507" s="250"/>
      <c r="D3507" s="250"/>
      <c r="E3507" s="250"/>
      <c r="F3507" s="250"/>
      <c r="G3507" s="471"/>
      <c r="H3507" s="250"/>
      <c r="I3507" s="471"/>
    </row>
    <row r="3508" spans="1:9" ht="12.75">
      <c r="A3508" s="717"/>
      <c r="B3508" s="718"/>
      <c r="C3508" s="250"/>
      <c r="D3508" s="250"/>
      <c r="E3508" s="250"/>
      <c r="F3508" s="250"/>
      <c r="G3508" s="471"/>
      <c r="H3508" s="250"/>
      <c r="I3508" s="471"/>
    </row>
    <row r="3509" spans="1:9" ht="12.75">
      <c r="A3509" s="717"/>
      <c r="B3509" s="718"/>
      <c r="C3509" s="250"/>
      <c r="D3509" s="250"/>
      <c r="E3509" s="250"/>
      <c r="F3509" s="250"/>
      <c r="G3509" s="471"/>
      <c r="H3509" s="250"/>
      <c r="I3509" s="471"/>
    </row>
    <row r="3510" spans="1:9" ht="12.75">
      <c r="A3510" s="717"/>
      <c r="B3510" s="718"/>
      <c r="C3510" s="250"/>
      <c r="D3510" s="250"/>
      <c r="E3510" s="250"/>
      <c r="F3510" s="250"/>
      <c r="G3510" s="471"/>
      <c r="H3510" s="250"/>
      <c r="I3510" s="471"/>
    </row>
    <row r="3511" spans="1:9" ht="12.75">
      <c r="A3511" s="717"/>
      <c r="B3511" s="718"/>
      <c r="C3511" s="250"/>
      <c r="D3511" s="250"/>
      <c r="E3511" s="250"/>
      <c r="F3511" s="250"/>
      <c r="G3511" s="471"/>
      <c r="H3511" s="250"/>
      <c r="I3511" s="471"/>
    </row>
    <row r="3512" spans="1:9" ht="12.75">
      <c r="A3512" s="717"/>
      <c r="B3512" s="718"/>
      <c r="C3512" s="250"/>
      <c r="D3512" s="250"/>
      <c r="E3512" s="250"/>
      <c r="F3512" s="250"/>
      <c r="G3512" s="471"/>
      <c r="H3512" s="250"/>
      <c r="I3512" s="471"/>
    </row>
    <row r="3513" spans="1:9" ht="12.75">
      <c r="A3513" s="717"/>
      <c r="B3513" s="718"/>
      <c r="C3513" s="250"/>
      <c r="D3513" s="250"/>
      <c r="E3513" s="250"/>
      <c r="F3513" s="250"/>
      <c r="G3513" s="471"/>
      <c r="H3513" s="250"/>
      <c r="I3513" s="471"/>
    </row>
    <row r="3514" spans="1:9" ht="12.75">
      <c r="A3514" s="717"/>
      <c r="B3514" s="718"/>
      <c r="C3514" s="250"/>
      <c r="D3514" s="250"/>
      <c r="E3514" s="250"/>
      <c r="F3514" s="250"/>
      <c r="G3514" s="471"/>
      <c r="H3514" s="250"/>
      <c r="I3514" s="471"/>
    </row>
    <row r="3515" spans="1:9" ht="12.75">
      <c r="A3515" s="717"/>
      <c r="B3515" s="718"/>
      <c r="C3515" s="250"/>
      <c r="D3515" s="250"/>
      <c r="E3515" s="250"/>
      <c r="F3515" s="250"/>
      <c r="G3515" s="471"/>
      <c r="H3515" s="250"/>
      <c r="I3515" s="471"/>
    </row>
    <row r="3516" spans="1:9" ht="12.75">
      <c r="A3516" s="717"/>
      <c r="B3516" s="718"/>
      <c r="C3516" s="250"/>
      <c r="D3516" s="250"/>
      <c r="E3516" s="250"/>
      <c r="F3516" s="250"/>
      <c r="G3516" s="471"/>
      <c r="H3516" s="250"/>
      <c r="I3516" s="471"/>
    </row>
    <row r="3517" spans="1:9" ht="12.75">
      <c r="A3517" s="717"/>
      <c r="B3517" s="718"/>
      <c r="C3517" s="250"/>
      <c r="D3517" s="250"/>
      <c r="E3517" s="250"/>
      <c r="F3517" s="250"/>
      <c r="G3517" s="471"/>
      <c r="H3517" s="250"/>
      <c r="I3517" s="471"/>
    </row>
    <row r="3518" spans="1:9" ht="12.75">
      <c r="A3518" s="717"/>
      <c r="B3518" s="718"/>
      <c r="C3518" s="250"/>
      <c r="D3518" s="250"/>
      <c r="E3518" s="250"/>
      <c r="F3518" s="250"/>
      <c r="G3518" s="471"/>
      <c r="H3518" s="250"/>
      <c r="I3518" s="471"/>
    </row>
    <row r="3519" spans="1:9" ht="12.75">
      <c r="A3519" s="717"/>
      <c r="B3519" s="718"/>
      <c r="C3519" s="250"/>
      <c r="D3519" s="250"/>
      <c r="E3519" s="250"/>
      <c r="F3519" s="250"/>
      <c r="G3519" s="471"/>
      <c r="H3519" s="250"/>
      <c r="I3519" s="471"/>
    </row>
    <row r="3520" spans="1:9" ht="12.75">
      <c r="A3520" s="717"/>
      <c r="B3520" s="718"/>
      <c r="C3520" s="250"/>
      <c r="D3520" s="250"/>
      <c r="E3520" s="250"/>
      <c r="F3520" s="250"/>
      <c r="G3520" s="471"/>
      <c r="H3520" s="250"/>
      <c r="I3520" s="471"/>
    </row>
    <row r="3521" spans="1:9" ht="12.75">
      <c r="A3521" s="717"/>
      <c r="B3521" s="718"/>
      <c r="C3521" s="250"/>
      <c r="D3521" s="250"/>
      <c r="E3521" s="250"/>
      <c r="F3521" s="250"/>
      <c r="G3521" s="471"/>
      <c r="H3521" s="250"/>
      <c r="I3521" s="471"/>
    </row>
    <row r="3522" spans="1:9" ht="12.75">
      <c r="A3522" s="717"/>
      <c r="B3522" s="718"/>
      <c r="C3522" s="250"/>
      <c r="D3522" s="250"/>
      <c r="E3522" s="250"/>
      <c r="F3522" s="250"/>
      <c r="G3522" s="471"/>
      <c r="H3522" s="250"/>
      <c r="I3522" s="471"/>
    </row>
    <row r="3523" spans="1:9" ht="12.75">
      <c r="A3523" s="717"/>
      <c r="B3523" s="718"/>
      <c r="C3523" s="250"/>
      <c r="D3523" s="250"/>
      <c r="E3523" s="250"/>
      <c r="F3523" s="250"/>
      <c r="G3523" s="471"/>
      <c r="H3523" s="250"/>
      <c r="I3523" s="471"/>
    </row>
    <row r="3524" spans="1:9" ht="12.75">
      <c r="A3524" s="717"/>
      <c r="B3524" s="718"/>
      <c r="C3524" s="250"/>
      <c r="D3524" s="250"/>
      <c r="E3524" s="250"/>
      <c r="F3524" s="250"/>
      <c r="G3524" s="471"/>
      <c r="H3524" s="250"/>
      <c r="I3524" s="471"/>
    </row>
    <row r="3525" spans="1:9" ht="12.75">
      <c r="A3525" s="717"/>
      <c r="B3525" s="718"/>
      <c r="C3525" s="250"/>
      <c r="D3525" s="250"/>
      <c r="E3525" s="250"/>
      <c r="F3525" s="250"/>
      <c r="G3525" s="471"/>
      <c r="H3525" s="250"/>
      <c r="I3525" s="471"/>
    </row>
    <row r="3526" spans="1:9" ht="12.75">
      <c r="A3526" s="717"/>
      <c r="B3526" s="718"/>
      <c r="C3526" s="250"/>
      <c r="D3526" s="250"/>
      <c r="E3526" s="250"/>
      <c r="F3526" s="250"/>
      <c r="G3526" s="471"/>
      <c r="H3526" s="250"/>
      <c r="I3526" s="471"/>
    </row>
    <row r="3527" spans="1:9" ht="12.75">
      <c r="A3527" s="717"/>
      <c r="B3527" s="718"/>
      <c r="C3527" s="250"/>
      <c r="D3527" s="250"/>
      <c r="E3527" s="250"/>
      <c r="F3527" s="250"/>
      <c r="G3527" s="471"/>
      <c r="H3527" s="250"/>
      <c r="I3527" s="471"/>
    </row>
    <row r="3528" spans="1:9" ht="12.75">
      <c r="A3528" s="717"/>
      <c r="B3528" s="718"/>
      <c r="C3528" s="250"/>
      <c r="D3528" s="250"/>
      <c r="E3528" s="250"/>
      <c r="F3528" s="250"/>
      <c r="G3528" s="471"/>
      <c r="H3528" s="250"/>
      <c r="I3528" s="471"/>
    </row>
    <row r="3529" spans="1:9" ht="12.75">
      <c r="A3529" s="717"/>
      <c r="B3529" s="718"/>
      <c r="C3529" s="250"/>
      <c r="D3529" s="250"/>
      <c r="E3529" s="250"/>
      <c r="F3529" s="250"/>
      <c r="G3529" s="471"/>
      <c r="H3529" s="250"/>
      <c r="I3529" s="471"/>
    </row>
    <row r="3530" spans="1:9" ht="12.75">
      <c r="A3530" s="717"/>
      <c r="B3530" s="718"/>
      <c r="C3530" s="250"/>
      <c r="D3530" s="250"/>
      <c r="E3530" s="250"/>
      <c r="F3530" s="250"/>
      <c r="G3530" s="471"/>
      <c r="H3530" s="250"/>
      <c r="I3530" s="471"/>
    </row>
    <row r="3531" spans="1:9" ht="12.75">
      <c r="A3531" s="717"/>
      <c r="B3531" s="718"/>
      <c r="C3531" s="250"/>
      <c r="D3531" s="250"/>
      <c r="E3531" s="250"/>
      <c r="F3531" s="250"/>
      <c r="G3531" s="471"/>
      <c r="H3531" s="250"/>
      <c r="I3531" s="471"/>
    </row>
    <row r="3532" spans="1:9" ht="12.75">
      <c r="A3532" s="717"/>
      <c r="B3532" s="718"/>
      <c r="C3532" s="250"/>
      <c r="D3532" s="250"/>
      <c r="E3532" s="250"/>
      <c r="F3532" s="250"/>
      <c r="G3532" s="471"/>
      <c r="H3532" s="250"/>
      <c r="I3532" s="471"/>
    </row>
    <row r="3533" spans="1:9" ht="12.75">
      <c r="A3533" s="717"/>
      <c r="B3533" s="718"/>
      <c r="C3533" s="250"/>
      <c r="D3533" s="250"/>
      <c r="E3533" s="250"/>
      <c r="F3533" s="250"/>
      <c r="G3533" s="471"/>
      <c r="H3533" s="250"/>
      <c r="I3533" s="471"/>
    </row>
    <row r="3534" spans="1:9" ht="12.75">
      <c r="A3534" s="717"/>
      <c r="B3534" s="718"/>
      <c r="C3534" s="250"/>
      <c r="D3534" s="250"/>
      <c r="E3534" s="250"/>
      <c r="F3534" s="250"/>
      <c r="G3534" s="471"/>
      <c r="H3534" s="250"/>
      <c r="I3534" s="471"/>
    </row>
    <row r="3535" spans="1:9" ht="12.75">
      <c r="A3535" s="717"/>
      <c r="B3535" s="718"/>
      <c r="C3535" s="250"/>
      <c r="D3535" s="250"/>
      <c r="E3535" s="250"/>
      <c r="F3535" s="250"/>
      <c r="G3535" s="471"/>
      <c r="H3535" s="250"/>
      <c r="I3535" s="471"/>
    </row>
    <row r="3536" spans="1:9" ht="12.75">
      <c r="A3536" s="717"/>
      <c r="B3536" s="718"/>
      <c r="C3536" s="250"/>
      <c r="D3536" s="250"/>
      <c r="E3536" s="250"/>
      <c r="F3536" s="250"/>
      <c r="G3536" s="471"/>
      <c r="H3536" s="250"/>
      <c r="I3536" s="471"/>
    </row>
    <row r="3537" spans="1:9" ht="12.75">
      <c r="A3537" s="717"/>
      <c r="B3537" s="718"/>
      <c r="C3537" s="250"/>
      <c r="D3537" s="250"/>
      <c r="E3537" s="250"/>
      <c r="F3537" s="250"/>
      <c r="G3537" s="471"/>
      <c r="H3537" s="250"/>
      <c r="I3537" s="471"/>
    </row>
    <row r="3538" spans="1:9" ht="12.75">
      <c r="A3538" s="717"/>
      <c r="B3538" s="718"/>
      <c r="C3538" s="250"/>
      <c r="D3538" s="250"/>
      <c r="E3538" s="250"/>
      <c r="F3538" s="250"/>
      <c r="G3538" s="471"/>
      <c r="H3538" s="250"/>
      <c r="I3538" s="471"/>
    </row>
    <row r="3539" spans="1:9" ht="12.75">
      <c r="A3539" s="717"/>
      <c r="B3539" s="718"/>
      <c r="C3539" s="250"/>
      <c r="D3539" s="250"/>
      <c r="E3539" s="250"/>
      <c r="F3539" s="250"/>
      <c r="G3539" s="471"/>
      <c r="H3539" s="250"/>
      <c r="I3539" s="471"/>
    </row>
    <row r="3540" spans="1:9" ht="12.75">
      <c r="A3540" s="717"/>
      <c r="B3540" s="718"/>
      <c r="C3540" s="250"/>
      <c r="D3540" s="250"/>
      <c r="E3540" s="250"/>
      <c r="F3540" s="250"/>
      <c r="G3540" s="471"/>
      <c r="H3540" s="250"/>
      <c r="I3540" s="471"/>
    </row>
    <row r="3541" spans="1:9" ht="12.75">
      <c r="A3541" s="717"/>
      <c r="B3541" s="718"/>
      <c r="C3541" s="250"/>
      <c r="D3541" s="250"/>
      <c r="E3541" s="250"/>
      <c r="F3541" s="250"/>
      <c r="G3541" s="471"/>
      <c r="H3541" s="250"/>
      <c r="I3541" s="471"/>
    </row>
    <row r="3542" spans="1:9" ht="12.75">
      <c r="A3542" s="717"/>
      <c r="B3542" s="718"/>
      <c r="C3542" s="250"/>
      <c r="D3542" s="250"/>
      <c r="E3542" s="250"/>
      <c r="F3542" s="250"/>
      <c r="G3542" s="471"/>
      <c r="H3542" s="250"/>
      <c r="I3542" s="471"/>
    </row>
    <row r="3543" spans="1:9" ht="12.75">
      <c r="A3543" s="717"/>
      <c r="B3543" s="718"/>
      <c r="C3543" s="250"/>
      <c r="D3543" s="250"/>
      <c r="E3543" s="250"/>
      <c r="F3543" s="250"/>
      <c r="G3543" s="471"/>
      <c r="H3543" s="250"/>
      <c r="I3543" s="471"/>
    </row>
    <row r="3544" spans="1:9" ht="12.75">
      <c r="A3544" s="717"/>
      <c r="B3544" s="718"/>
      <c r="C3544" s="250"/>
      <c r="D3544" s="250"/>
      <c r="E3544" s="250"/>
      <c r="F3544" s="250"/>
      <c r="G3544" s="471"/>
      <c r="H3544" s="250"/>
      <c r="I3544" s="471"/>
    </row>
    <row r="3545" spans="1:9" ht="12.75">
      <c r="A3545" s="717"/>
      <c r="B3545" s="718"/>
      <c r="C3545" s="250"/>
      <c r="D3545" s="250"/>
      <c r="E3545" s="250"/>
      <c r="F3545" s="250"/>
      <c r="G3545" s="471"/>
      <c r="H3545" s="250"/>
      <c r="I3545" s="471"/>
    </row>
    <row r="3546" spans="1:9" ht="12.75">
      <c r="A3546" s="717"/>
      <c r="B3546" s="718"/>
      <c r="C3546" s="250"/>
      <c r="D3546" s="250"/>
      <c r="E3546" s="250"/>
      <c r="F3546" s="250"/>
      <c r="G3546" s="471"/>
      <c r="H3546" s="250"/>
      <c r="I3546" s="471"/>
    </row>
    <row r="3547" spans="1:9" ht="12.75">
      <c r="A3547" s="717"/>
      <c r="B3547" s="718"/>
      <c r="C3547" s="250"/>
      <c r="D3547" s="250"/>
      <c r="E3547" s="250"/>
      <c r="F3547" s="250"/>
      <c r="G3547" s="471"/>
      <c r="H3547" s="250"/>
      <c r="I3547" s="471"/>
    </row>
    <row r="3548" spans="1:9" ht="12.75">
      <c r="A3548" s="717"/>
      <c r="B3548" s="718"/>
      <c r="C3548" s="250"/>
      <c r="D3548" s="250"/>
      <c r="E3548" s="250"/>
      <c r="F3548" s="250"/>
      <c r="G3548" s="471"/>
      <c r="H3548" s="250"/>
      <c r="I3548" s="471"/>
    </row>
    <row r="3549" spans="1:9" ht="12.75">
      <c r="A3549" s="717"/>
      <c r="B3549" s="718"/>
      <c r="C3549" s="250"/>
      <c r="D3549" s="250"/>
      <c r="E3549" s="250"/>
      <c r="F3549" s="250"/>
      <c r="G3549" s="471"/>
      <c r="H3549" s="250"/>
      <c r="I3549" s="471"/>
    </row>
    <row r="3550" spans="1:9" ht="12.75">
      <c r="A3550" s="717"/>
      <c r="B3550" s="718"/>
      <c r="C3550" s="250"/>
      <c r="D3550" s="250"/>
      <c r="E3550" s="250"/>
      <c r="F3550" s="250"/>
      <c r="G3550" s="471"/>
      <c r="H3550" s="250"/>
      <c r="I3550" s="471"/>
    </row>
    <row r="3551" spans="1:9" ht="12.75">
      <c r="A3551" s="717"/>
      <c r="B3551" s="718"/>
      <c r="C3551" s="250"/>
      <c r="D3551" s="250"/>
      <c r="E3551" s="250"/>
      <c r="F3551" s="250"/>
      <c r="G3551" s="471"/>
      <c r="H3551" s="250"/>
      <c r="I3551" s="471"/>
    </row>
    <row r="3552" spans="1:9" ht="12.75">
      <c r="A3552" s="717"/>
      <c r="B3552" s="718"/>
      <c r="C3552" s="250"/>
      <c r="D3552" s="250"/>
      <c r="E3552" s="250"/>
      <c r="F3552" s="250"/>
      <c r="G3552" s="471"/>
      <c r="H3552" s="250"/>
      <c r="I3552" s="471"/>
    </row>
    <row r="3553" spans="1:9" ht="12.75">
      <c r="A3553" s="717"/>
      <c r="B3553" s="718"/>
      <c r="C3553" s="250"/>
      <c r="D3553" s="250"/>
      <c r="E3553" s="250"/>
      <c r="F3553" s="250"/>
      <c r="G3553" s="471"/>
      <c r="H3553" s="250"/>
      <c r="I3553" s="471"/>
    </row>
    <row r="3554" spans="1:9" ht="12.75">
      <c r="A3554" s="717"/>
      <c r="B3554" s="718"/>
      <c r="C3554" s="250"/>
      <c r="D3554" s="250"/>
      <c r="E3554" s="250"/>
      <c r="F3554" s="250"/>
      <c r="G3554" s="471"/>
      <c r="H3554" s="250"/>
      <c r="I3554" s="471"/>
    </row>
    <row r="3555" spans="1:9" ht="12.75">
      <c r="A3555" s="717"/>
      <c r="B3555" s="718"/>
      <c r="C3555" s="250"/>
      <c r="D3555" s="250"/>
      <c r="E3555" s="250"/>
      <c r="F3555" s="250"/>
      <c r="G3555" s="471"/>
      <c r="H3555" s="250"/>
      <c r="I3555" s="471"/>
    </row>
    <row r="3556" spans="1:9" ht="12.75">
      <c r="A3556" s="717"/>
      <c r="B3556" s="718"/>
      <c r="C3556" s="250"/>
      <c r="D3556" s="250"/>
      <c r="E3556" s="250"/>
      <c r="F3556" s="250"/>
      <c r="G3556" s="471"/>
      <c r="H3556" s="250"/>
      <c r="I3556" s="471"/>
    </row>
    <row r="3557" spans="1:9" ht="12.75">
      <c r="A3557" s="717"/>
      <c r="B3557" s="718"/>
      <c r="C3557" s="250"/>
      <c r="D3557" s="250"/>
      <c r="E3557" s="250"/>
      <c r="F3557" s="250"/>
      <c r="G3557" s="471"/>
      <c r="H3557" s="250"/>
      <c r="I3557" s="471"/>
    </row>
    <row r="3558" spans="1:9" ht="12.75">
      <c r="A3558" s="717"/>
      <c r="B3558" s="718"/>
      <c r="C3558" s="250"/>
      <c r="D3558" s="250"/>
      <c r="E3558" s="250"/>
      <c r="F3558" s="250"/>
      <c r="G3558" s="471"/>
      <c r="H3558" s="250"/>
      <c r="I3558" s="471"/>
    </row>
    <row r="3559" spans="1:9" ht="12.75">
      <c r="A3559" s="717"/>
      <c r="B3559" s="718"/>
      <c r="C3559" s="250"/>
      <c r="D3559" s="250"/>
      <c r="E3559" s="250"/>
      <c r="F3559" s="250"/>
      <c r="G3559" s="471"/>
      <c r="H3559" s="250"/>
      <c r="I3559" s="471"/>
    </row>
    <row r="3560" spans="1:9" ht="12.75">
      <c r="A3560" s="717"/>
      <c r="B3560" s="718"/>
      <c r="C3560" s="250"/>
      <c r="D3560" s="250"/>
      <c r="E3560" s="250"/>
      <c r="F3560" s="250"/>
      <c r="G3560" s="471"/>
      <c r="H3560" s="250"/>
      <c r="I3560" s="471"/>
    </row>
    <row r="3561" spans="1:9" ht="12.75">
      <c r="A3561" s="717"/>
      <c r="B3561" s="718"/>
      <c r="C3561" s="250"/>
      <c r="D3561" s="250"/>
      <c r="E3561" s="250"/>
      <c r="F3561" s="250"/>
      <c r="G3561" s="471"/>
      <c r="H3561" s="250"/>
      <c r="I3561" s="471"/>
    </row>
    <row r="3562" spans="1:9" ht="12.75">
      <c r="A3562" s="717"/>
      <c r="B3562" s="718"/>
      <c r="C3562" s="250"/>
      <c r="D3562" s="250"/>
      <c r="E3562" s="250"/>
      <c r="F3562" s="250"/>
      <c r="G3562" s="471"/>
      <c r="H3562" s="250"/>
      <c r="I3562" s="471"/>
    </row>
    <row r="3563" spans="1:9" ht="12.75">
      <c r="A3563" s="717"/>
      <c r="B3563" s="718"/>
      <c r="C3563" s="250"/>
      <c r="D3563" s="250"/>
      <c r="E3563" s="250"/>
      <c r="F3563" s="250"/>
      <c r="G3563" s="471"/>
      <c r="H3563" s="250"/>
      <c r="I3563" s="471"/>
    </row>
    <row r="3564" spans="1:9" ht="12.75">
      <c r="A3564" s="717"/>
      <c r="B3564" s="718"/>
      <c r="C3564" s="250"/>
      <c r="D3564" s="250"/>
      <c r="E3564" s="250"/>
      <c r="F3564" s="250"/>
      <c r="G3564" s="471"/>
      <c r="H3564" s="250"/>
      <c r="I3564" s="471"/>
    </row>
    <row r="3565" spans="1:9" ht="12.75">
      <c r="A3565" s="717"/>
      <c r="B3565" s="718"/>
      <c r="C3565" s="250"/>
      <c r="D3565" s="250"/>
      <c r="E3565" s="250"/>
      <c r="F3565" s="250"/>
      <c r="G3565" s="471"/>
      <c r="H3565" s="250"/>
      <c r="I3565" s="471"/>
    </row>
    <row r="3566" spans="1:9" ht="12.75">
      <c r="A3566" s="717"/>
      <c r="B3566" s="718"/>
      <c r="C3566" s="250"/>
      <c r="D3566" s="250"/>
      <c r="E3566" s="250"/>
      <c r="F3566" s="250"/>
      <c r="G3566" s="471"/>
      <c r="H3566" s="250"/>
      <c r="I3566" s="471"/>
    </row>
  </sheetData>
  <printOptions horizontalCentered="1"/>
  <pageMargins left="0.2362204724409449" right="0.2362204724409449" top="0.45" bottom="0.33" header="0.29" footer="0.28"/>
  <pageSetup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5"/>
  <sheetViews>
    <sheetView workbookViewId="0" topLeftCell="A22">
      <selection activeCell="A35" sqref="A35"/>
    </sheetView>
  </sheetViews>
  <sheetFormatPr defaultColWidth="9.00390625" defaultRowHeight="12.75"/>
  <cols>
    <col min="1" max="1" width="4.125" style="1" customWidth="1"/>
    <col min="2" max="2" width="29.625" style="1" customWidth="1"/>
    <col min="3" max="3" width="13.00390625" style="1" customWidth="1"/>
    <col min="4" max="4" width="13.25390625" style="1" customWidth="1"/>
    <col min="5" max="5" width="9.625" style="1" customWidth="1"/>
    <col min="6" max="6" width="11.875" style="1" hidden="1" customWidth="1"/>
    <col min="7" max="7" width="8.875" style="1" customWidth="1"/>
    <col min="8" max="8" width="10.875" style="1" customWidth="1"/>
    <col min="9" max="9" width="9.625" style="1" customWidth="1"/>
    <col min="10" max="10" width="11.125" style="1" customWidth="1"/>
    <col min="11" max="11" width="9.75390625" style="1" customWidth="1"/>
    <col min="12" max="12" width="9.00390625" style="1" customWidth="1"/>
    <col min="13" max="13" width="8.375" style="1" customWidth="1"/>
    <col min="14" max="14" width="9.875" style="1" customWidth="1"/>
    <col min="15" max="16384" width="10.00390625" style="1" customWidth="1"/>
  </cols>
  <sheetData>
    <row r="1" spans="11:13" ht="11.25" customHeight="1">
      <c r="K1" s="88"/>
      <c r="L1" s="68" t="s">
        <v>524</v>
      </c>
      <c r="M1" s="720"/>
    </row>
    <row r="2" spans="11:13" ht="11.25" customHeight="1">
      <c r="K2" s="4"/>
      <c r="L2" s="249" t="s">
        <v>20</v>
      </c>
      <c r="M2" s="720"/>
    </row>
    <row r="3" spans="11:244" ht="11.25" customHeight="1">
      <c r="K3" s="4"/>
      <c r="L3" s="4" t="s">
        <v>21</v>
      </c>
      <c r="M3" s="72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721" t="s">
        <v>525</v>
      </c>
      <c r="K4" s="4"/>
      <c r="L4" s="4"/>
      <c r="M4" s="720"/>
      <c r="N4" s="1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722" t="s">
        <v>526</v>
      </c>
      <c r="B5" s="723"/>
      <c r="C5" s="723"/>
      <c r="D5" s="724"/>
      <c r="E5" s="725"/>
      <c r="F5" s="725"/>
      <c r="G5" s="725"/>
      <c r="H5" s="725"/>
      <c r="I5" s="725"/>
      <c r="J5" s="725"/>
      <c r="K5" s="724"/>
      <c r="L5" s="724"/>
      <c r="M5" s="724"/>
      <c r="N5" s="16" t="s">
        <v>236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257" t="s">
        <v>810</v>
      </c>
      <c r="B6" s="723"/>
      <c r="C6" s="723"/>
      <c r="D6" s="724"/>
      <c r="E6" s="725"/>
      <c r="F6" s="725"/>
      <c r="G6" s="725"/>
      <c r="H6" s="725"/>
      <c r="I6" s="725"/>
      <c r="J6" s="725"/>
      <c r="K6" s="724"/>
      <c r="L6" s="724"/>
      <c r="M6" s="724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22" customFormat="1" ht="18" customHeight="1" thickBot="1" thickTop="1">
      <c r="A7" s="2567" t="s">
        <v>237</v>
      </c>
      <c r="B7" s="2554" t="s">
        <v>238</v>
      </c>
      <c r="C7" s="2557" t="s">
        <v>527</v>
      </c>
      <c r="D7" s="726" t="s">
        <v>301</v>
      </c>
      <c r="E7" s="726"/>
      <c r="F7" s="727"/>
      <c r="G7" s="727"/>
      <c r="H7" s="727"/>
      <c r="I7" s="728"/>
      <c r="J7" s="729" t="s">
        <v>302</v>
      </c>
      <c r="K7" s="727"/>
      <c r="L7" s="727"/>
      <c r="M7" s="727"/>
      <c r="N7" s="730"/>
    </row>
    <row r="8" spans="1:14" s="22" customFormat="1" ht="12.75" customHeight="1" thickTop="1">
      <c r="A8" s="2581"/>
      <c r="B8" s="2555"/>
      <c r="C8" s="2558"/>
      <c r="D8" s="2573" t="s">
        <v>241</v>
      </c>
      <c r="E8" s="2575" t="s">
        <v>242</v>
      </c>
      <c r="F8" s="731"/>
      <c r="G8" s="732" t="s">
        <v>243</v>
      </c>
      <c r="H8" s="2575" t="s">
        <v>244</v>
      </c>
      <c r="I8" s="2565" t="s">
        <v>245</v>
      </c>
      <c r="J8" s="2573" t="s">
        <v>241</v>
      </c>
      <c r="K8" s="2575" t="s">
        <v>242</v>
      </c>
      <c r="L8" s="733" t="s">
        <v>243</v>
      </c>
      <c r="M8" s="2575" t="s">
        <v>244</v>
      </c>
      <c r="N8" s="2565" t="s">
        <v>245</v>
      </c>
    </row>
    <row r="9" spans="1:14" s="22" customFormat="1" ht="42.75" customHeight="1" thickBot="1">
      <c r="A9" s="2582"/>
      <c r="B9" s="2556"/>
      <c r="C9" s="2553"/>
      <c r="D9" s="2574"/>
      <c r="E9" s="2576"/>
      <c r="F9" s="734" t="s">
        <v>246</v>
      </c>
      <c r="G9" s="30" t="s">
        <v>246</v>
      </c>
      <c r="H9" s="2572"/>
      <c r="I9" s="2566"/>
      <c r="J9" s="2574"/>
      <c r="K9" s="2576"/>
      <c r="L9" s="735" t="s">
        <v>246</v>
      </c>
      <c r="M9" s="2572"/>
      <c r="N9" s="2566"/>
    </row>
    <row r="10" spans="1:14" s="31" customFormat="1" ht="11.25" customHeight="1" thickBot="1" thickTop="1">
      <c r="A10" s="736">
        <v>1</v>
      </c>
      <c r="B10" s="737">
        <v>2</v>
      </c>
      <c r="C10" s="738">
        <v>3</v>
      </c>
      <c r="D10" s="737">
        <v>4</v>
      </c>
      <c r="E10" s="739">
        <v>5</v>
      </c>
      <c r="F10" s="740">
        <v>6</v>
      </c>
      <c r="G10" s="741">
        <v>6</v>
      </c>
      <c r="H10" s="742">
        <v>7</v>
      </c>
      <c r="I10" s="743">
        <v>8</v>
      </c>
      <c r="J10" s="737">
        <v>9</v>
      </c>
      <c r="K10" s="739">
        <v>10</v>
      </c>
      <c r="L10" s="744">
        <v>11</v>
      </c>
      <c r="M10" s="737">
        <v>12</v>
      </c>
      <c r="N10" s="745">
        <v>13</v>
      </c>
    </row>
    <row r="11" spans="1:14" s="46" customFormat="1" ht="17.25" customHeight="1" thickTop="1">
      <c r="A11" s="746" t="s">
        <v>247</v>
      </c>
      <c r="B11" s="747" t="s">
        <v>248</v>
      </c>
      <c r="C11" s="2340">
        <f>D11+J11</f>
        <v>5135.54</v>
      </c>
      <c r="D11" s="2341">
        <f aca="true" t="shared" si="0" ref="D11:D17">E11+H11+I11</f>
        <v>5135.54</v>
      </c>
      <c r="E11" s="2342">
        <v>3000</v>
      </c>
      <c r="F11" s="2343"/>
      <c r="G11" s="2344"/>
      <c r="H11" s="2345">
        <v>2135.54</v>
      </c>
      <c r="I11" s="2346"/>
      <c r="J11" s="749"/>
      <c r="K11" s="750"/>
      <c r="L11" s="755"/>
      <c r="M11" s="756"/>
      <c r="N11" s="754"/>
    </row>
    <row r="12" spans="1:14" s="46" customFormat="1" ht="12.75" customHeight="1">
      <c r="A12" s="746">
        <v>500</v>
      </c>
      <c r="B12" s="747" t="s">
        <v>249</v>
      </c>
      <c r="C12" s="748">
        <f aca="true" t="shared" si="1" ref="C12:C31">D12+J12</f>
        <v>194000</v>
      </c>
      <c r="D12" s="749">
        <f t="shared" si="0"/>
        <v>194000</v>
      </c>
      <c r="E12" s="750">
        <v>194000</v>
      </c>
      <c r="F12" s="751"/>
      <c r="G12" s="752"/>
      <c r="H12" s="753"/>
      <c r="I12" s="754"/>
      <c r="J12" s="749"/>
      <c r="K12" s="750"/>
      <c r="L12" s="755"/>
      <c r="M12" s="756"/>
      <c r="N12" s="754"/>
    </row>
    <row r="13" spans="1:14" s="46" customFormat="1" ht="15" customHeight="1">
      <c r="A13" s="746" t="s">
        <v>250</v>
      </c>
      <c r="B13" s="747" t="s">
        <v>251</v>
      </c>
      <c r="C13" s="748">
        <f t="shared" si="1"/>
        <v>56278504</v>
      </c>
      <c r="D13" s="749">
        <f t="shared" si="0"/>
        <v>28646504</v>
      </c>
      <c r="E13" s="750">
        <v>28646504</v>
      </c>
      <c r="F13" s="757"/>
      <c r="G13" s="752"/>
      <c r="H13" s="753"/>
      <c r="I13" s="754"/>
      <c r="J13" s="749">
        <f aca="true" t="shared" si="2" ref="J13:J30">K13+M13+N13</f>
        <v>27632000</v>
      </c>
      <c r="K13" s="750">
        <v>27632000</v>
      </c>
      <c r="L13" s="755"/>
      <c r="M13" s="756"/>
      <c r="N13" s="754"/>
    </row>
    <row r="14" spans="1:244" ht="15" customHeight="1">
      <c r="A14" s="746" t="s">
        <v>252</v>
      </c>
      <c r="B14" s="747" t="s">
        <v>253</v>
      </c>
      <c r="C14" s="748">
        <f t="shared" si="1"/>
        <v>64000</v>
      </c>
      <c r="D14" s="749">
        <f t="shared" si="0"/>
        <v>64000</v>
      </c>
      <c r="E14" s="750">
        <v>64000</v>
      </c>
      <c r="F14" s="757"/>
      <c r="G14" s="752"/>
      <c r="H14" s="753"/>
      <c r="I14" s="754"/>
      <c r="J14" s="749"/>
      <c r="K14" s="750"/>
      <c r="L14" s="755"/>
      <c r="M14" s="756"/>
      <c r="N14" s="75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14" s="46" customFormat="1" ht="17.25" customHeight="1">
      <c r="A15" s="746" t="s">
        <v>254</v>
      </c>
      <c r="B15" s="747" t="s">
        <v>255</v>
      </c>
      <c r="C15" s="748">
        <f t="shared" si="1"/>
        <v>24700970</v>
      </c>
      <c r="D15" s="749">
        <f t="shared" si="0"/>
        <v>24657470</v>
      </c>
      <c r="E15" s="750">
        <v>24657470</v>
      </c>
      <c r="F15" s="757"/>
      <c r="G15" s="752"/>
      <c r="H15" s="753"/>
      <c r="I15" s="754"/>
      <c r="J15" s="749">
        <f t="shared" si="2"/>
        <v>43500</v>
      </c>
      <c r="K15" s="750"/>
      <c r="L15" s="755"/>
      <c r="M15" s="756">
        <v>43500</v>
      </c>
      <c r="N15" s="754"/>
    </row>
    <row r="16" spans="1:14" s="46" customFormat="1" ht="18" customHeight="1">
      <c r="A16" s="746" t="s">
        <v>256</v>
      </c>
      <c r="B16" s="747" t="s">
        <v>257</v>
      </c>
      <c r="C16" s="748">
        <f>D16+J16</f>
        <v>3804400</v>
      </c>
      <c r="D16" s="749">
        <f t="shared" si="0"/>
        <v>3166300</v>
      </c>
      <c r="E16" s="750">
        <v>3149700</v>
      </c>
      <c r="F16" s="757"/>
      <c r="G16" s="752"/>
      <c r="H16" s="753"/>
      <c r="I16" s="754">
        <v>16600</v>
      </c>
      <c r="J16" s="749">
        <f t="shared" si="2"/>
        <v>638100</v>
      </c>
      <c r="K16" s="750">
        <v>200000</v>
      </c>
      <c r="L16" s="755"/>
      <c r="M16" s="756">
        <v>438100</v>
      </c>
      <c r="N16" s="754"/>
    </row>
    <row r="17" spans="1:14" s="46" customFormat="1" ht="17.25" customHeight="1">
      <c r="A17" s="746" t="s">
        <v>258</v>
      </c>
      <c r="B17" s="747" t="s">
        <v>259</v>
      </c>
      <c r="C17" s="748">
        <f>D17+J17</f>
        <v>36423635</v>
      </c>
      <c r="D17" s="749">
        <f t="shared" si="0"/>
        <v>31170355</v>
      </c>
      <c r="E17" s="750">
        <v>30412455</v>
      </c>
      <c r="F17" s="757"/>
      <c r="G17" s="752"/>
      <c r="H17" s="753">
        <v>757900</v>
      </c>
      <c r="I17" s="754"/>
      <c r="J17" s="749">
        <f t="shared" si="2"/>
        <v>5253280</v>
      </c>
      <c r="K17" s="750">
        <v>4972580</v>
      </c>
      <c r="L17" s="755">
        <v>1977180</v>
      </c>
      <c r="M17" s="756">
        <v>275200</v>
      </c>
      <c r="N17" s="754">
        <v>5500</v>
      </c>
    </row>
    <row r="18" spans="1:14" s="46" customFormat="1" ht="35.25" customHeight="1">
      <c r="A18" s="746" t="s">
        <v>260</v>
      </c>
      <c r="B18" s="758" t="s">
        <v>261</v>
      </c>
      <c r="C18" s="748">
        <f>D18+J18</f>
        <v>133927</v>
      </c>
      <c r="D18" s="749">
        <f>E18+H18+I18</f>
        <v>133927</v>
      </c>
      <c r="E18" s="750"/>
      <c r="F18" s="757"/>
      <c r="G18" s="752"/>
      <c r="H18" s="753">
        <f>78217+55710</f>
        <v>133927</v>
      </c>
      <c r="I18" s="754"/>
      <c r="J18" s="749"/>
      <c r="K18" s="750"/>
      <c r="L18" s="755"/>
      <c r="M18" s="756"/>
      <c r="N18" s="754"/>
    </row>
    <row r="19" spans="1:14" s="46" customFormat="1" ht="24" customHeight="1">
      <c r="A19" s="759" t="s">
        <v>262</v>
      </c>
      <c r="B19" s="760" t="s">
        <v>263</v>
      </c>
      <c r="C19" s="761">
        <f t="shared" si="1"/>
        <v>9062956</v>
      </c>
      <c r="D19" s="749">
        <f aca="true" t="shared" si="3" ref="D19:D31">E19+H19+I19</f>
        <v>189500</v>
      </c>
      <c r="E19" s="762">
        <v>179500</v>
      </c>
      <c r="F19" s="763"/>
      <c r="G19" s="65"/>
      <c r="H19" s="764">
        <v>10000</v>
      </c>
      <c r="I19" s="765"/>
      <c r="J19" s="749">
        <f t="shared" si="2"/>
        <v>8873456</v>
      </c>
      <c r="K19" s="762">
        <v>855000</v>
      </c>
      <c r="L19" s="766"/>
      <c r="M19" s="767">
        <v>7967320</v>
      </c>
      <c r="N19" s="765">
        <v>51136</v>
      </c>
    </row>
    <row r="20" spans="1:14" s="46" customFormat="1" ht="53.25" customHeight="1">
      <c r="A20" s="746" t="s">
        <v>264</v>
      </c>
      <c r="B20" s="768" t="s">
        <v>265</v>
      </c>
      <c r="C20" s="769">
        <f t="shared" si="1"/>
        <v>624700</v>
      </c>
      <c r="D20" s="749">
        <f t="shared" si="3"/>
        <v>624700</v>
      </c>
      <c r="E20" s="750">
        <v>624700</v>
      </c>
      <c r="F20" s="757"/>
      <c r="G20" s="752"/>
      <c r="H20" s="753"/>
      <c r="I20" s="754"/>
      <c r="J20" s="749"/>
      <c r="K20" s="750"/>
      <c r="L20" s="755"/>
      <c r="M20" s="756"/>
      <c r="N20" s="754"/>
    </row>
    <row r="21" spans="1:14" s="46" customFormat="1" ht="17.25" customHeight="1">
      <c r="A21" s="746" t="s">
        <v>266</v>
      </c>
      <c r="B21" s="747" t="s">
        <v>267</v>
      </c>
      <c r="C21" s="748">
        <f t="shared" si="1"/>
        <v>3200000</v>
      </c>
      <c r="D21" s="749">
        <f t="shared" si="3"/>
        <v>3200000</v>
      </c>
      <c r="E21" s="750">
        <v>3200000</v>
      </c>
      <c r="F21" s="757"/>
      <c r="G21" s="752"/>
      <c r="H21" s="753"/>
      <c r="I21" s="754"/>
      <c r="J21" s="749"/>
      <c r="K21" s="750"/>
      <c r="L21" s="755"/>
      <c r="M21" s="756"/>
      <c r="N21" s="754"/>
    </row>
    <row r="22" spans="1:14" s="46" customFormat="1" ht="17.25" customHeight="1">
      <c r="A22" s="746" t="s">
        <v>268</v>
      </c>
      <c r="B22" s="747" t="s">
        <v>269</v>
      </c>
      <c r="C22" s="748">
        <f>D22+J22</f>
        <v>7937164</v>
      </c>
      <c r="D22" s="749">
        <f t="shared" si="3"/>
        <v>3538718</v>
      </c>
      <c r="E22" s="750">
        <f>4048718-10000-500000</f>
        <v>3538718</v>
      </c>
      <c r="F22" s="757"/>
      <c r="G22" s="752"/>
      <c r="H22" s="753"/>
      <c r="I22" s="754"/>
      <c r="J22" s="749">
        <f t="shared" si="2"/>
        <v>4398446</v>
      </c>
      <c r="K22" s="750">
        <v>4398446</v>
      </c>
      <c r="L22" s="755"/>
      <c r="M22" s="756"/>
      <c r="N22" s="754"/>
    </row>
    <row r="23" spans="1:14" s="46" customFormat="1" ht="15" customHeight="1">
      <c r="A23" s="746" t="s">
        <v>270</v>
      </c>
      <c r="B23" s="747" t="s">
        <v>271</v>
      </c>
      <c r="C23" s="748">
        <f t="shared" si="1"/>
        <v>136794906</v>
      </c>
      <c r="D23" s="749">
        <f t="shared" si="3"/>
        <v>80663749</v>
      </c>
      <c r="E23" s="750">
        <v>80663749</v>
      </c>
      <c r="F23" s="757"/>
      <c r="G23" s="752"/>
      <c r="H23" s="753"/>
      <c r="I23" s="754"/>
      <c r="J23" s="749">
        <f t="shared" si="2"/>
        <v>56131157</v>
      </c>
      <c r="K23" s="750">
        <v>56131157</v>
      </c>
      <c r="L23" s="755"/>
      <c r="M23" s="756"/>
      <c r="N23" s="754"/>
    </row>
    <row r="24" spans="1:14" s="46" customFormat="1" ht="16.5" customHeight="1">
      <c r="A24" s="746" t="s">
        <v>272</v>
      </c>
      <c r="B24" s="747" t="s">
        <v>273</v>
      </c>
      <c r="C24" s="748">
        <f t="shared" si="1"/>
        <v>523000</v>
      </c>
      <c r="D24" s="749">
        <f t="shared" si="3"/>
        <v>523000</v>
      </c>
      <c r="E24" s="750">
        <v>523000</v>
      </c>
      <c r="F24" s="757"/>
      <c r="G24" s="752"/>
      <c r="H24" s="753"/>
      <c r="I24" s="754"/>
      <c r="J24" s="749"/>
      <c r="K24" s="750"/>
      <c r="L24" s="755"/>
      <c r="M24" s="756"/>
      <c r="N24" s="754"/>
    </row>
    <row r="25" spans="1:14" s="46" customFormat="1" ht="18" customHeight="1">
      <c r="A25" s="746" t="s">
        <v>274</v>
      </c>
      <c r="B25" s="747" t="s">
        <v>275</v>
      </c>
      <c r="C25" s="748">
        <f t="shared" si="1"/>
        <v>4205631</v>
      </c>
      <c r="D25" s="749">
        <f t="shared" si="3"/>
        <v>4190631</v>
      </c>
      <c r="E25" s="750">
        <v>4190631</v>
      </c>
      <c r="F25" s="757"/>
      <c r="G25" s="752"/>
      <c r="H25" s="753"/>
      <c r="I25" s="754"/>
      <c r="J25" s="749">
        <f t="shared" si="2"/>
        <v>15000</v>
      </c>
      <c r="K25" s="750"/>
      <c r="L25" s="755"/>
      <c r="M25" s="756">
        <v>15000</v>
      </c>
      <c r="N25" s="754"/>
    </row>
    <row r="26" spans="1:14" s="46" customFormat="1" ht="15" customHeight="1">
      <c r="A26" s="746" t="s">
        <v>276</v>
      </c>
      <c r="B26" s="747" t="s">
        <v>277</v>
      </c>
      <c r="C26" s="748">
        <f t="shared" si="1"/>
        <v>47365878</v>
      </c>
      <c r="D26" s="749">
        <f t="shared" si="3"/>
        <v>41423340</v>
      </c>
      <c r="E26" s="750">
        <v>18789340</v>
      </c>
      <c r="F26" s="757"/>
      <c r="G26" s="752"/>
      <c r="H26" s="753">
        <v>22634000</v>
      </c>
      <c r="I26" s="754"/>
      <c r="J26" s="749">
        <f t="shared" si="2"/>
        <v>5942538</v>
      </c>
      <c r="K26" s="750">
        <v>5926038</v>
      </c>
      <c r="L26" s="755">
        <v>535500</v>
      </c>
      <c r="M26" s="756">
        <v>16500</v>
      </c>
      <c r="N26" s="754"/>
    </row>
    <row r="27" spans="1:14" s="46" customFormat="1" ht="25.5" customHeight="1">
      <c r="A27" s="746" t="s">
        <v>278</v>
      </c>
      <c r="B27" s="758" t="s">
        <v>279</v>
      </c>
      <c r="C27" s="748">
        <f t="shared" si="1"/>
        <v>5304129</v>
      </c>
      <c r="D27" s="749">
        <f t="shared" si="3"/>
        <v>4296910</v>
      </c>
      <c r="E27" s="750">
        <v>4296910</v>
      </c>
      <c r="F27" s="757"/>
      <c r="G27" s="752"/>
      <c r="H27" s="753"/>
      <c r="I27" s="754"/>
      <c r="J27" s="749">
        <f t="shared" si="2"/>
        <v>1007219</v>
      </c>
      <c r="K27" s="750">
        <v>891219</v>
      </c>
      <c r="L27" s="755">
        <v>95387</v>
      </c>
      <c r="M27" s="756">
        <v>116000</v>
      </c>
      <c r="N27" s="754"/>
    </row>
    <row r="28" spans="1:14" s="46" customFormat="1" ht="15" customHeight="1">
      <c r="A28" s="746" t="s">
        <v>280</v>
      </c>
      <c r="B28" s="758" t="s">
        <v>281</v>
      </c>
      <c r="C28" s="748">
        <f t="shared" si="1"/>
        <v>12456305</v>
      </c>
      <c r="D28" s="749">
        <f t="shared" si="3"/>
        <v>2227655</v>
      </c>
      <c r="E28" s="750">
        <v>2227655</v>
      </c>
      <c r="F28" s="757"/>
      <c r="G28" s="752"/>
      <c r="H28" s="753"/>
      <c r="I28" s="754"/>
      <c r="J28" s="749">
        <f t="shared" si="2"/>
        <v>10228650</v>
      </c>
      <c r="K28" s="750">
        <v>10228650</v>
      </c>
      <c r="L28" s="755"/>
      <c r="M28" s="756"/>
      <c r="N28" s="754"/>
    </row>
    <row r="29" spans="1:14" s="46" customFormat="1" ht="25.5" customHeight="1">
      <c r="A29" s="746" t="s">
        <v>282</v>
      </c>
      <c r="B29" s="758" t="s">
        <v>285</v>
      </c>
      <c r="C29" s="748">
        <f t="shared" si="1"/>
        <v>26904040</v>
      </c>
      <c r="D29" s="749">
        <f t="shared" si="3"/>
        <v>21527040</v>
      </c>
      <c r="E29" s="750">
        <f>21027040+500000</f>
        <v>21527040</v>
      </c>
      <c r="F29" s="757"/>
      <c r="G29" s="752"/>
      <c r="H29" s="753"/>
      <c r="I29" s="754"/>
      <c r="J29" s="749">
        <f t="shared" si="2"/>
        <v>5377000</v>
      </c>
      <c r="K29" s="750">
        <v>5377000</v>
      </c>
      <c r="L29" s="755"/>
      <c r="M29" s="756"/>
      <c r="N29" s="754"/>
    </row>
    <row r="30" spans="1:14" s="46" customFormat="1" ht="22.5" customHeight="1">
      <c r="A30" s="746" t="s">
        <v>286</v>
      </c>
      <c r="B30" s="758" t="s">
        <v>287</v>
      </c>
      <c r="C30" s="748">
        <f t="shared" si="1"/>
        <v>21251726</v>
      </c>
      <c r="D30" s="749">
        <f t="shared" si="3"/>
        <v>7709326</v>
      </c>
      <c r="E30" s="750">
        <v>7704326</v>
      </c>
      <c r="F30" s="757"/>
      <c r="G30" s="752"/>
      <c r="H30" s="753"/>
      <c r="I30" s="754">
        <v>5000</v>
      </c>
      <c r="J30" s="749">
        <f t="shared" si="2"/>
        <v>13542400</v>
      </c>
      <c r="K30" s="750">
        <f>13460400+14000</f>
        <v>13474400</v>
      </c>
      <c r="L30" s="755">
        <v>40000</v>
      </c>
      <c r="M30" s="756"/>
      <c r="N30" s="754">
        <v>68000</v>
      </c>
    </row>
    <row r="31" spans="1:14" s="46" customFormat="1" ht="16.5" customHeight="1" thickBot="1">
      <c r="A31" s="770" t="s">
        <v>288</v>
      </c>
      <c r="B31" s="758" t="s">
        <v>289</v>
      </c>
      <c r="C31" s="748">
        <f t="shared" si="1"/>
        <v>16085150</v>
      </c>
      <c r="D31" s="749">
        <f t="shared" si="3"/>
        <v>16085150</v>
      </c>
      <c r="E31" s="771">
        <v>16085150</v>
      </c>
      <c r="F31" s="757"/>
      <c r="G31" s="752"/>
      <c r="H31" s="753"/>
      <c r="I31" s="754"/>
      <c r="J31" s="749"/>
      <c r="K31" s="750"/>
      <c r="L31" s="755"/>
      <c r="M31" s="756"/>
      <c r="N31" s="754"/>
    </row>
    <row r="32" spans="1:14" s="60" customFormat="1" ht="18.75" customHeight="1" thickBot="1" thickTop="1">
      <c r="A32" s="772"/>
      <c r="B32" s="773" t="s">
        <v>241</v>
      </c>
      <c r="C32" s="2347">
        <f aca="true" t="shared" si="4" ref="C32:N32">SUM(C11:C31)</f>
        <v>413320156.53999996</v>
      </c>
      <c r="D32" s="2348">
        <f t="shared" si="4"/>
        <v>274237410.53999996</v>
      </c>
      <c r="E32" s="775">
        <f>SUM(E11:E31)</f>
        <v>250677848</v>
      </c>
      <c r="F32" s="776">
        <f t="shared" si="4"/>
        <v>0</v>
      </c>
      <c r="G32" s="777">
        <f t="shared" si="4"/>
        <v>0</v>
      </c>
      <c r="H32" s="2349">
        <f t="shared" si="4"/>
        <v>23537962.54</v>
      </c>
      <c r="I32" s="778">
        <f t="shared" si="4"/>
        <v>21600</v>
      </c>
      <c r="J32" s="774">
        <f t="shared" si="4"/>
        <v>139082746</v>
      </c>
      <c r="K32" s="775">
        <f t="shared" si="4"/>
        <v>130086490</v>
      </c>
      <c r="L32" s="779">
        <f>SUM(L11:L31)</f>
        <v>2648067</v>
      </c>
      <c r="M32" s="780">
        <f>SUM(M11:M31)</f>
        <v>8871620</v>
      </c>
      <c r="N32" s="778">
        <f t="shared" si="4"/>
        <v>124636</v>
      </c>
    </row>
    <row r="33" ht="15.75" thickTop="1">
      <c r="A33" s="87" t="s">
        <v>542</v>
      </c>
    </row>
    <row r="34" ht="15">
      <c r="A34" s="87" t="s">
        <v>296</v>
      </c>
    </row>
    <row r="35" ht="15">
      <c r="A35" s="87" t="s">
        <v>811</v>
      </c>
    </row>
  </sheetData>
  <mergeCells count="11">
    <mergeCell ref="J8:J9"/>
    <mergeCell ref="K8:K9"/>
    <mergeCell ref="M8:M9"/>
    <mergeCell ref="N8:N9"/>
    <mergeCell ref="E8:E9"/>
    <mergeCell ref="H8:H9"/>
    <mergeCell ref="I8:I9"/>
    <mergeCell ref="A7:A9"/>
    <mergeCell ref="B7:B9"/>
    <mergeCell ref="C7:C9"/>
    <mergeCell ref="D8:D9"/>
  </mergeCells>
  <printOptions horizontalCentered="1"/>
  <pageMargins left="0.2" right="0.2" top="0.19" bottom="0.16" header="0.3" footer="0.16"/>
  <pageSetup horizontalDpi="600" verticalDpi="600" orientation="landscape" paperSize="9" scale="90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9">
      <selection activeCell="A30" sqref="A30"/>
    </sheetView>
  </sheetViews>
  <sheetFormatPr defaultColWidth="9.00390625" defaultRowHeight="12.75"/>
  <cols>
    <col min="1" max="1" width="6.25390625" style="781" customWidth="1"/>
    <col min="2" max="2" width="38.75390625" style="782" customWidth="1"/>
    <col min="3" max="3" width="12.00390625" style="783" hidden="1" customWidth="1"/>
    <col min="4" max="4" width="5.25390625" style="783" customWidth="1"/>
    <col min="5" max="5" width="16.125" style="783" customWidth="1"/>
    <col min="6" max="6" width="17.375" style="783" customWidth="1"/>
    <col min="7" max="16384" width="9.125" style="785" customWidth="1"/>
  </cols>
  <sheetData>
    <row r="1" ht="12.75">
      <c r="E1" s="784" t="s">
        <v>528</v>
      </c>
    </row>
    <row r="2" ht="12.75">
      <c r="E2" s="249" t="s">
        <v>30</v>
      </c>
    </row>
    <row r="3" ht="12.75">
      <c r="E3" s="4" t="s">
        <v>31</v>
      </c>
    </row>
    <row r="4" ht="12.75">
      <c r="E4" s="102"/>
    </row>
    <row r="5" ht="13.5" customHeight="1">
      <c r="E5" s="786"/>
    </row>
    <row r="6" ht="3" customHeight="1"/>
    <row r="7" spans="1:6" ht="60" customHeight="1">
      <c r="A7" s="787" t="s">
        <v>529</v>
      </c>
      <c r="B7" s="788"/>
      <c r="C7" s="788"/>
      <c r="D7" s="788"/>
      <c r="E7" s="788"/>
      <c r="F7" s="788"/>
    </row>
    <row r="8" spans="1:6" ht="15.75" customHeight="1">
      <c r="A8" s="257" t="s">
        <v>810</v>
      </c>
      <c r="B8" s="788"/>
      <c r="C8" s="788"/>
      <c r="D8" s="788"/>
      <c r="E8" s="788"/>
      <c r="F8" s="788"/>
    </row>
    <row r="9" spans="1:6" ht="12" customHeight="1" thickBot="1">
      <c r="A9" s="720"/>
      <c r="F9" s="783" t="s">
        <v>236</v>
      </c>
    </row>
    <row r="10" spans="1:6" ht="38.25" customHeight="1" thickTop="1">
      <c r="A10" s="789" t="s">
        <v>530</v>
      </c>
      <c r="B10" s="790" t="s">
        <v>238</v>
      </c>
      <c r="C10" s="791" t="s">
        <v>531</v>
      </c>
      <c r="D10" s="792" t="s">
        <v>532</v>
      </c>
      <c r="E10" s="793" t="s">
        <v>239</v>
      </c>
      <c r="F10" s="794" t="s">
        <v>240</v>
      </c>
    </row>
    <row r="11" spans="1:6" s="800" customFormat="1" ht="12" thickBot="1">
      <c r="A11" s="795">
        <v>1</v>
      </c>
      <c r="B11" s="796">
        <v>2</v>
      </c>
      <c r="C11" s="797">
        <v>3</v>
      </c>
      <c r="D11" s="798">
        <v>3</v>
      </c>
      <c r="E11" s="797">
        <v>4</v>
      </c>
      <c r="F11" s="799">
        <v>5</v>
      </c>
    </row>
    <row r="12" spans="1:6" s="179" customFormat="1" ht="24" customHeight="1" thickBot="1" thickTop="1">
      <c r="A12" s="2350" t="s">
        <v>247</v>
      </c>
      <c r="B12" s="2351" t="s">
        <v>248</v>
      </c>
      <c r="C12" s="2352"/>
      <c r="D12" s="2353"/>
      <c r="E12" s="2354">
        <f>E13</f>
        <v>2135.54</v>
      </c>
      <c r="F12" s="2355">
        <f>F13</f>
        <v>2135.54</v>
      </c>
    </row>
    <row r="13" spans="1:6" s="854" customFormat="1" ht="23.25" customHeight="1" thickBot="1" thickTop="1">
      <c r="A13" s="836" t="s">
        <v>388</v>
      </c>
      <c r="B13" s="1923" t="s">
        <v>389</v>
      </c>
      <c r="C13" s="2356"/>
      <c r="D13" s="2357">
        <v>2010</v>
      </c>
      <c r="E13" s="2358">
        <v>2135.54</v>
      </c>
      <c r="F13" s="2359">
        <v>2135.54</v>
      </c>
    </row>
    <row r="14" spans="1:6" s="807" customFormat="1" ht="24.75" customHeight="1" thickBot="1" thickTop="1">
      <c r="A14" s="801" t="s">
        <v>258</v>
      </c>
      <c r="B14" s="802" t="s">
        <v>259</v>
      </c>
      <c r="C14" s="803">
        <f>C15</f>
        <v>715400</v>
      </c>
      <c r="D14" s="804"/>
      <c r="E14" s="805">
        <f>E15</f>
        <v>757900</v>
      </c>
      <c r="F14" s="806">
        <f>F15</f>
        <v>757900</v>
      </c>
    </row>
    <row r="15" spans="1:6" s="814" customFormat="1" ht="24" customHeight="1" thickBot="1" thickTop="1">
      <c r="A15" s="808" t="s">
        <v>533</v>
      </c>
      <c r="B15" s="809" t="s">
        <v>534</v>
      </c>
      <c r="C15" s="810">
        <v>715400</v>
      </c>
      <c r="D15" s="811">
        <v>2010</v>
      </c>
      <c r="E15" s="812">
        <v>757900</v>
      </c>
      <c r="F15" s="813">
        <v>757900</v>
      </c>
    </row>
    <row r="16" spans="1:6" s="807" customFormat="1" ht="49.5" customHeight="1" thickBot="1" thickTop="1">
      <c r="A16" s="801" t="s">
        <v>260</v>
      </c>
      <c r="B16" s="802" t="s">
        <v>261</v>
      </c>
      <c r="C16" s="803">
        <f>C17</f>
        <v>715400</v>
      </c>
      <c r="D16" s="804"/>
      <c r="E16" s="805">
        <f>SUM(E17:E18)</f>
        <v>133927</v>
      </c>
      <c r="F16" s="806">
        <f>SUM(F17:F18)</f>
        <v>133927</v>
      </c>
    </row>
    <row r="17" spans="1:6" s="814" customFormat="1" ht="33.75" customHeight="1" thickTop="1">
      <c r="A17" s="824" t="s">
        <v>429</v>
      </c>
      <c r="B17" s="825" t="s">
        <v>535</v>
      </c>
      <c r="C17" s="826">
        <v>715400</v>
      </c>
      <c r="D17" s="827">
        <v>2010</v>
      </c>
      <c r="E17" s="2001">
        <v>17577</v>
      </c>
      <c r="F17" s="2002">
        <v>17577</v>
      </c>
    </row>
    <row r="18" spans="1:6" s="814" customFormat="1" ht="27" customHeight="1" thickBot="1">
      <c r="A18" s="883" t="s">
        <v>774</v>
      </c>
      <c r="B18" s="2003" t="s">
        <v>772</v>
      </c>
      <c r="C18" s="2004"/>
      <c r="D18" s="2005">
        <v>2010</v>
      </c>
      <c r="E18" s="2006">
        <f>60640+55710</f>
        <v>116350</v>
      </c>
      <c r="F18" s="2007">
        <f>60640+55710</f>
        <v>116350</v>
      </c>
    </row>
    <row r="19" spans="1:6" s="807" customFormat="1" ht="35.25" customHeight="1" thickBot="1" thickTop="1">
      <c r="A19" s="801" t="s">
        <v>262</v>
      </c>
      <c r="B19" s="802" t="s">
        <v>263</v>
      </c>
      <c r="C19" s="822">
        <f>C20</f>
        <v>6000</v>
      </c>
      <c r="D19" s="823"/>
      <c r="E19" s="805">
        <f>E20</f>
        <v>10000</v>
      </c>
      <c r="F19" s="806">
        <f>F20</f>
        <v>10000</v>
      </c>
    </row>
    <row r="20" spans="1:6" s="814" customFormat="1" ht="18.75" customHeight="1" thickBot="1" thickTop="1">
      <c r="A20" s="808" t="s">
        <v>536</v>
      </c>
      <c r="B20" s="809" t="s">
        <v>437</v>
      </c>
      <c r="C20" s="810">
        <v>6000</v>
      </c>
      <c r="D20" s="811">
        <v>2010</v>
      </c>
      <c r="E20" s="812">
        <v>10000</v>
      </c>
      <c r="F20" s="813">
        <v>10000</v>
      </c>
    </row>
    <row r="21" spans="1:6" s="807" customFormat="1" ht="24" customHeight="1" thickBot="1" thickTop="1">
      <c r="A21" s="801" t="s">
        <v>276</v>
      </c>
      <c r="B21" s="802" t="s">
        <v>367</v>
      </c>
      <c r="C21" s="822">
        <f>SUM(C22:C26)</f>
        <v>20397891</v>
      </c>
      <c r="D21" s="823"/>
      <c r="E21" s="805">
        <f>SUM(E22:E26)</f>
        <v>22634000</v>
      </c>
      <c r="F21" s="806">
        <f>SUM(F22:F26)</f>
        <v>22634000</v>
      </c>
    </row>
    <row r="22" spans="1:6" s="830" customFormat="1" ht="17.25" customHeight="1" thickTop="1">
      <c r="A22" s="824" t="s">
        <v>537</v>
      </c>
      <c r="B22" s="825" t="s">
        <v>474</v>
      </c>
      <c r="C22" s="826">
        <v>450000</v>
      </c>
      <c r="D22" s="827">
        <v>2010</v>
      </c>
      <c r="E22" s="828">
        <v>701000</v>
      </c>
      <c r="F22" s="829">
        <v>701000</v>
      </c>
    </row>
    <row r="23" spans="1:6" s="830" customFormat="1" ht="43.5" customHeight="1">
      <c r="A23" s="831">
        <v>85212</v>
      </c>
      <c r="B23" s="832" t="s">
        <v>538</v>
      </c>
      <c r="C23" s="833">
        <v>18427000</v>
      </c>
      <c r="D23" s="821">
        <v>2010</v>
      </c>
      <c r="E23" s="834">
        <v>19925000</v>
      </c>
      <c r="F23" s="835">
        <v>19925000</v>
      </c>
    </row>
    <row r="24" spans="1:6" s="830" customFormat="1" ht="44.25" customHeight="1">
      <c r="A24" s="836" t="s">
        <v>539</v>
      </c>
      <c r="B24" s="837" t="s">
        <v>540</v>
      </c>
      <c r="C24" s="833">
        <v>197000</v>
      </c>
      <c r="D24" s="821">
        <v>2010</v>
      </c>
      <c r="E24" s="834">
        <v>192000</v>
      </c>
      <c r="F24" s="835">
        <v>192000</v>
      </c>
    </row>
    <row r="25" spans="1:6" s="814" customFormat="1" ht="29.25" customHeight="1">
      <c r="A25" s="836" t="s">
        <v>541</v>
      </c>
      <c r="B25" s="837" t="s">
        <v>478</v>
      </c>
      <c r="C25" s="833">
        <v>1323891</v>
      </c>
      <c r="D25" s="821">
        <v>2010</v>
      </c>
      <c r="E25" s="834">
        <v>1667000</v>
      </c>
      <c r="F25" s="835">
        <v>1667000</v>
      </c>
    </row>
    <row r="26" spans="1:6" s="844" customFormat="1" ht="29.25" customHeight="1" thickBot="1">
      <c r="A26" s="838">
        <v>85228</v>
      </c>
      <c r="B26" s="839" t="s">
        <v>485</v>
      </c>
      <c r="C26" s="840"/>
      <c r="D26" s="841">
        <v>2010</v>
      </c>
      <c r="E26" s="842">
        <v>149000</v>
      </c>
      <c r="F26" s="843">
        <v>149000</v>
      </c>
    </row>
    <row r="27" spans="1:6" s="851" customFormat="1" ht="19.5" customHeight="1" thickBot="1" thickTop="1">
      <c r="A27" s="845"/>
      <c r="B27" s="846" t="s">
        <v>241</v>
      </c>
      <c r="C27" s="847" t="e">
        <f>C14+C19+C21+#REF!+#REF!</f>
        <v>#REF!</v>
      </c>
      <c r="D27" s="848"/>
      <c r="E27" s="2360">
        <f>E12+E14+E16+E19+E21</f>
        <v>23537962.54</v>
      </c>
      <c r="F27" s="1861">
        <f>F12+F14+F16+F19+F21</f>
        <v>23537962.54</v>
      </c>
    </row>
    <row r="28" spans="1:6" s="854" customFormat="1" ht="13.5" thickTop="1">
      <c r="A28" s="87" t="s">
        <v>542</v>
      </c>
      <c r="B28" s="88"/>
      <c r="C28" s="852"/>
      <c r="D28" s="852"/>
      <c r="E28" s="853"/>
      <c r="F28" s="853"/>
    </row>
    <row r="29" spans="1:6" s="854" customFormat="1" ht="12.75">
      <c r="A29" s="87" t="s">
        <v>296</v>
      </c>
      <c r="B29" s="88"/>
      <c r="C29" s="852"/>
      <c r="D29" s="852"/>
      <c r="E29" s="853"/>
      <c r="F29" s="853"/>
    </row>
    <row r="30" spans="1:6" s="816" customFormat="1" ht="15">
      <c r="A30" s="87" t="s">
        <v>811</v>
      </c>
      <c r="B30" s="855"/>
      <c r="C30" s="856"/>
      <c r="D30" s="856"/>
      <c r="E30" s="857"/>
      <c r="F30" s="857"/>
    </row>
    <row r="31" spans="1:6" s="854" customFormat="1" ht="12.75">
      <c r="A31" s="859"/>
      <c r="B31" s="858"/>
      <c r="C31" s="852"/>
      <c r="D31" s="852"/>
      <c r="E31" s="853"/>
      <c r="F31" s="853"/>
    </row>
    <row r="32" spans="1:6" s="854" customFormat="1" ht="12.75">
      <c r="A32" s="859"/>
      <c r="B32" s="860"/>
      <c r="C32" s="852"/>
      <c r="D32" s="852"/>
      <c r="E32" s="853"/>
      <c r="F32" s="853"/>
    </row>
    <row r="33" spans="1:6" s="854" customFormat="1" ht="12.75">
      <c r="A33" s="859"/>
      <c r="B33" s="860"/>
      <c r="C33" s="852"/>
      <c r="D33" s="852"/>
      <c r="E33" s="853"/>
      <c r="F33" s="853"/>
    </row>
    <row r="34" spans="1:6" s="854" customFormat="1" ht="12.75">
      <c r="A34" s="859"/>
      <c r="B34" s="860"/>
      <c r="C34" s="852"/>
      <c r="D34" s="852"/>
      <c r="E34" s="853"/>
      <c r="F34" s="853"/>
    </row>
    <row r="35" spans="1:6" s="854" customFormat="1" ht="12.75">
      <c r="A35" s="859"/>
      <c r="B35" s="860"/>
      <c r="C35" s="852"/>
      <c r="D35" s="852"/>
      <c r="E35" s="853"/>
      <c r="F35" s="853"/>
    </row>
    <row r="36" spans="1:6" s="854" customFormat="1" ht="12.75">
      <c r="A36" s="859"/>
      <c r="B36" s="860"/>
      <c r="C36" s="852"/>
      <c r="D36" s="852"/>
      <c r="E36" s="853"/>
      <c r="F36" s="853"/>
    </row>
    <row r="37" spans="1:6" s="854" customFormat="1" ht="12.75">
      <c r="A37" s="859"/>
      <c r="B37" s="860"/>
      <c r="C37" s="852"/>
      <c r="D37" s="852"/>
      <c r="E37" s="853"/>
      <c r="F37" s="853"/>
    </row>
    <row r="38" spans="1:6" s="854" customFormat="1" ht="12.75">
      <c r="A38" s="859"/>
      <c r="B38" s="860"/>
      <c r="C38" s="852"/>
      <c r="D38" s="852"/>
      <c r="E38" s="853"/>
      <c r="F38" s="853"/>
    </row>
    <row r="39" spans="1:6" s="854" customFormat="1" ht="12.75">
      <c r="A39" s="859"/>
      <c r="B39" s="860"/>
      <c r="C39" s="852"/>
      <c r="D39" s="852"/>
      <c r="E39" s="853"/>
      <c r="F39" s="853"/>
    </row>
    <row r="40" spans="1:6" s="854" customFormat="1" ht="12.75">
      <c r="A40" s="859"/>
      <c r="B40" s="860"/>
      <c r="C40" s="852"/>
      <c r="D40" s="852"/>
      <c r="E40" s="853"/>
      <c r="F40" s="853"/>
    </row>
    <row r="41" spans="3:4" ht="12.75">
      <c r="C41" s="861"/>
      <c r="D41" s="861"/>
    </row>
    <row r="42" spans="3:4" ht="12.75">
      <c r="C42" s="861"/>
      <c r="D42" s="861"/>
    </row>
    <row r="43" spans="3:4" ht="12.75">
      <c r="C43" s="861"/>
      <c r="D43" s="861"/>
    </row>
    <row r="44" spans="3:4" ht="12.75">
      <c r="C44" s="861"/>
      <c r="D44" s="861"/>
    </row>
    <row r="45" spans="3:4" ht="12.75">
      <c r="C45" s="861"/>
      <c r="D45" s="861"/>
    </row>
    <row r="46" spans="3:4" ht="12.75">
      <c r="C46" s="861"/>
      <c r="D46" s="861"/>
    </row>
    <row r="47" spans="3:4" ht="12.75">
      <c r="C47" s="861"/>
      <c r="D47" s="861"/>
    </row>
    <row r="48" spans="3:4" ht="12.75">
      <c r="C48" s="861"/>
      <c r="D48" s="861"/>
    </row>
    <row r="49" spans="3:4" ht="12.75">
      <c r="C49" s="861"/>
      <c r="D49" s="861"/>
    </row>
    <row r="50" spans="3:4" ht="12.75">
      <c r="C50" s="861"/>
      <c r="D50" s="861"/>
    </row>
    <row r="51" spans="3:4" ht="12.75">
      <c r="C51" s="861"/>
      <c r="D51" s="861"/>
    </row>
    <row r="52" spans="3:4" ht="12.75">
      <c r="C52" s="861"/>
      <c r="D52" s="861"/>
    </row>
    <row r="53" spans="3:4" ht="12.75">
      <c r="C53" s="861"/>
      <c r="D53" s="861"/>
    </row>
    <row r="54" spans="3:4" ht="12.75">
      <c r="C54" s="861"/>
      <c r="D54" s="861"/>
    </row>
    <row r="55" spans="3:4" ht="12.75">
      <c r="C55" s="861"/>
      <c r="D55" s="861"/>
    </row>
    <row r="56" spans="3:4" ht="12.75">
      <c r="C56" s="861"/>
      <c r="D56" s="861"/>
    </row>
    <row r="57" spans="3:4" ht="12.75">
      <c r="C57" s="861"/>
      <c r="D57" s="861"/>
    </row>
    <row r="58" spans="3:4" ht="12.75">
      <c r="C58" s="861"/>
      <c r="D58" s="861"/>
    </row>
    <row r="59" spans="3:4" ht="12.75">
      <c r="C59" s="861"/>
      <c r="D59" s="861"/>
    </row>
    <row r="60" spans="3:4" ht="12.75">
      <c r="C60" s="861"/>
      <c r="D60" s="861"/>
    </row>
    <row r="61" spans="3:4" ht="12.75">
      <c r="C61" s="861"/>
      <c r="D61" s="861"/>
    </row>
    <row r="62" spans="3:4" ht="12.75">
      <c r="C62" s="861"/>
      <c r="D62" s="861"/>
    </row>
    <row r="63" spans="3:4" ht="12.75">
      <c r="C63" s="861"/>
      <c r="D63" s="861"/>
    </row>
    <row r="64" spans="3:4" ht="12.75">
      <c r="C64" s="861"/>
      <c r="D64" s="861"/>
    </row>
    <row r="65" spans="3:4" ht="12.75">
      <c r="C65" s="861"/>
      <c r="D65" s="861"/>
    </row>
    <row r="66" spans="3:4" ht="12.75">
      <c r="C66" s="861"/>
      <c r="D66" s="861"/>
    </row>
    <row r="67" spans="3:4" ht="12.75">
      <c r="C67" s="861"/>
      <c r="D67" s="861"/>
    </row>
    <row r="68" spans="3:4" ht="12.75">
      <c r="C68" s="861"/>
      <c r="D68" s="861"/>
    </row>
    <row r="69" spans="3:4" ht="12.75">
      <c r="C69" s="861"/>
      <c r="D69" s="861"/>
    </row>
    <row r="70" spans="3:4" ht="12.75">
      <c r="C70" s="861"/>
      <c r="D70" s="861"/>
    </row>
    <row r="71" spans="3:4" ht="12.75">
      <c r="C71" s="862"/>
      <c r="D71" s="862"/>
    </row>
    <row r="72" spans="3:4" ht="12.75">
      <c r="C72" s="862"/>
      <c r="D72" s="862"/>
    </row>
    <row r="73" spans="3:4" ht="12.75">
      <c r="C73" s="862"/>
      <c r="D73" s="862"/>
    </row>
    <row r="74" spans="3:4" ht="12.75">
      <c r="C74" s="862"/>
      <c r="D74" s="862"/>
    </row>
    <row r="75" spans="3:4" ht="12.75">
      <c r="C75" s="862"/>
      <c r="D75" s="862"/>
    </row>
    <row r="76" spans="3:4" ht="12.75">
      <c r="C76" s="862"/>
      <c r="D76" s="862"/>
    </row>
    <row r="77" spans="3:4" ht="12.75">
      <c r="C77" s="862"/>
      <c r="D77" s="862"/>
    </row>
    <row r="78" spans="3:4" ht="12.75">
      <c r="C78" s="862"/>
      <c r="D78" s="862"/>
    </row>
    <row r="79" spans="3:4" ht="12.75">
      <c r="C79" s="862"/>
      <c r="D79" s="862"/>
    </row>
    <row r="80" spans="3:4" ht="12.75">
      <c r="C80" s="862"/>
      <c r="D80" s="862"/>
    </row>
    <row r="81" spans="3:4" ht="12.75">
      <c r="C81" s="862"/>
      <c r="D81" s="862"/>
    </row>
    <row r="82" spans="3:4" ht="12.75">
      <c r="C82" s="862"/>
      <c r="D82" s="862"/>
    </row>
    <row r="83" spans="3:4" ht="12.75">
      <c r="C83" s="862"/>
      <c r="D83" s="862"/>
    </row>
    <row r="84" spans="3:4" ht="12.75">
      <c r="C84" s="862"/>
      <c r="D84" s="862"/>
    </row>
    <row r="85" spans="3:4" ht="12.75">
      <c r="C85" s="862"/>
      <c r="D85" s="862"/>
    </row>
    <row r="86" spans="3:4" ht="12.75">
      <c r="C86" s="862"/>
      <c r="D86" s="862"/>
    </row>
    <row r="87" spans="3:4" ht="12.75">
      <c r="C87" s="862"/>
      <c r="D87" s="862"/>
    </row>
    <row r="88" spans="3:4" ht="12.75">
      <c r="C88" s="862"/>
      <c r="D88" s="862"/>
    </row>
    <row r="89" spans="3:4" ht="12.75">
      <c r="C89" s="862"/>
      <c r="D89" s="862"/>
    </row>
    <row r="90" spans="3:4" ht="12.75">
      <c r="C90" s="862"/>
      <c r="D90" s="862"/>
    </row>
    <row r="91" spans="3:4" ht="12.75">
      <c r="C91" s="862"/>
      <c r="D91" s="862"/>
    </row>
    <row r="92" spans="3:4" ht="12.75">
      <c r="C92" s="862"/>
      <c r="D92" s="862"/>
    </row>
    <row r="93" spans="3:4" ht="12.75">
      <c r="C93" s="862"/>
      <c r="D93" s="862"/>
    </row>
    <row r="94" spans="3:4" ht="12.75">
      <c r="C94" s="862"/>
      <c r="D94" s="862"/>
    </row>
    <row r="95" spans="3:4" ht="12.75">
      <c r="C95" s="862"/>
      <c r="D95" s="86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8">
      <selection activeCell="A42" sqref="A42"/>
    </sheetView>
  </sheetViews>
  <sheetFormatPr defaultColWidth="9.00390625" defaultRowHeight="12.75"/>
  <cols>
    <col min="1" max="1" width="6.875" style="781" customWidth="1"/>
    <col min="2" max="2" width="37.875" style="782" customWidth="1"/>
    <col min="3" max="3" width="14.75390625" style="783" hidden="1" customWidth="1"/>
    <col min="4" max="4" width="4.875" style="863" customWidth="1"/>
    <col min="5" max="5" width="18.00390625" style="785" customWidth="1"/>
    <col min="6" max="6" width="17.625" style="785" customWidth="1"/>
    <col min="7" max="16384" width="9.125" style="785" customWidth="1"/>
  </cols>
  <sheetData>
    <row r="1" ht="12.75">
      <c r="E1" s="784" t="s">
        <v>543</v>
      </c>
    </row>
    <row r="2" ht="12.75">
      <c r="E2" s="249" t="s">
        <v>30</v>
      </c>
    </row>
    <row r="3" ht="12.75">
      <c r="E3" s="4" t="s">
        <v>32</v>
      </c>
    </row>
    <row r="4" ht="12.75">
      <c r="E4" s="102"/>
    </row>
    <row r="5" ht="12" customHeight="1">
      <c r="E5" s="786"/>
    </row>
    <row r="6" ht="3" customHeight="1"/>
    <row r="7" spans="1:6" ht="56.25" customHeight="1">
      <c r="A7" s="787" t="s">
        <v>544</v>
      </c>
      <c r="B7" s="788"/>
      <c r="C7" s="788"/>
      <c r="D7" s="864"/>
      <c r="E7" s="788"/>
      <c r="F7" s="788"/>
    </row>
    <row r="8" spans="1:6" ht="15.75" customHeight="1" thickBot="1">
      <c r="A8" s="257" t="s">
        <v>810</v>
      </c>
      <c r="E8" s="865"/>
      <c r="F8" s="781" t="s">
        <v>236</v>
      </c>
    </row>
    <row r="9" spans="1:6" ht="33" customHeight="1" thickTop="1">
      <c r="A9" s="789" t="s">
        <v>530</v>
      </c>
      <c r="B9" s="790" t="s">
        <v>238</v>
      </c>
      <c r="C9" s="791" t="s">
        <v>531</v>
      </c>
      <c r="D9" s="792" t="s">
        <v>532</v>
      </c>
      <c r="E9" s="793" t="s">
        <v>239</v>
      </c>
      <c r="F9" s="794" t="s">
        <v>240</v>
      </c>
    </row>
    <row r="10" spans="1:6" ht="13.5" customHeight="1" thickBot="1">
      <c r="A10" s="795">
        <v>1</v>
      </c>
      <c r="B10" s="796">
        <v>2</v>
      </c>
      <c r="C10" s="797">
        <v>3</v>
      </c>
      <c r="D10" s="798">
        <v>3</v>
      </c>
      <c r="E10" s="797">
        <v>4</v>
      </c>
      <c r="F10" s="799">
        <v>5</v>
      </c>
    </row>
    <row r="11" spans="1:6" s="807" customFormat="1" ht="27" customHeight="1" thickBot="1" thickTop="1">
      <c r="A11" s="801" t="s">
        <v>254</v>
      </c>
      <c r="B11" s="802" t="s">
        <v>406</v>
      </c>
      <c r="C11" s="803">
        <f>C12</f>
        <v>45000</v>
      </c>
      <c r="D11" s="866"/>
      <c r="E11" s="867">
        <f>E12</f>
        <v>43500</v>
      </c>
      <c r="F11" s="868">
        <f>F12</f>
        <v>43500</v>
      </c>
    </row>
    <row r="12" spans="1:6" s="814" customFormat="1" ht="21.75" customHeight="1" thickBot="1" thickTop="1">
      <c r="A12" s="808" t="s">
        <v>545</v>
      </c>
      <c r="B12" s="809" t="s">
        <v>412</v>
      </c>
      <c r="C12" s="869">
        <v>45000</v>
      </c>
      <c r="D12" s="870">
        <v>2110</v>
      </c>
      <c r="E12" s="871">
        <v>43500</v>
      </c>
      <c r="F12" s="872">
        <v>43500</v>
      </c>
    </row>
    <row r="13" spans="1:6" s="807" customFormat="1" ht="24.75" customHeight="1" thickBot="1" thickTop="1">
      <c r="A13" s="801" t="s">
        <v>256</v>
      </c>
      <c r="B13" s="802" t="s">
        <v>257</v>
      </c>
      <c r="C13" s="873">
        <f>C14+C15+C16</f>
        <v>253700</v>
      </c>
      <c r="D13" s="874"/>
      <c r="E13" s="867">
        <f>SUM(E14:E16)</f>
        <v>438100</v>
      </c>
      <c r="F13" s="868">
        <f>SUM(F14:F16)</f>
        <v>438100</v>
      </c>
    </row>
    <row r="14" spans="1:6" s="830" customFormat="1" ht="24.75" customHeight="1" thickTop="1">
      <c r="A14" s="824" t="s">
        <v>546</v>
      </c>
      <c r="B14" s="825" t="s">
        <v>547</v>
      </c>
      <c r="C14" s="828">
        <v>51000</v>
      </c>
      <c r="D14" s="875">
        <v>2110</v>
      </c>
      <c r="E14" s="876">
        <v>80000</v>
      </c>
      <c r="F14" s="877">
        <v>80000</v>
      </c>
    </row>
    <row r="15" spans="1:6" s="830" customFormat="1" ht="17.25" customHeight="1">
      <c r="A15" s="836" t="s">
        <v>548</v>
      </c>
      <c r="B15" s="837" t="s">
        <v>417</v>
      </c>
      <c r="C15" s="834">
        <v>20000</v>
      </c>
      <c r="D15" s="878">
        <v>2110</v>
      </c>
      <c r="E15" s="879">
        <v>20000</v>
      </c>
      <c r="F15" s="880">
        <v>20000</v>
      </c>
    </row>
    <row r="16" spans="1:6" s="814" customFormat="1" ht="17.25" customHeight="1">
      <c r="A16" s="836" t="s">
        <v>549</v>
      </c>
      <c r="B16" s="837" t="s">
        <v>418</v>
      </c>
      <c r="C16" s="834">
        <v>182700</v>
      </c>
      <c r="D16" s="881"/>
      <c r="E16" s="879">
        <f>SUM(E17:E18)</f>
        <v>338100</v>
      </c>
      <c r="F16" s="880">
        <f>SUM(F17:F18)</f>
        <v>338100</v>
      </c>
    </row>
    <row r="17" spans="1:6" s="814" customFormat="1" ht="13.5" customHeight="1">
      <c r="A17" s="836"/>
      <c r="B17" s="837"/>
      <c r="C17" s="882"/>
      <c r="D17" s="878">
        <v>2110</v>
      </c>
      <c r="E17" s="879">
        <v>330100</v>
      </c>
      <c r="F17" s="880">
        <v>330100</v>
      </c>
    </row>
    <row r="18" spans="1:6" s="814" customFormat="1" ht="12.75" customHeight="1" thickBot="1">
      <c r="A18" s="883"/>
      <c r="B18" s="884"/>
      <c r="C18" s="885"/>
      <c r="D18" s="886">
        <v>6410</v>
      </c>
      <c r="E18" s="887">
        <v>8000</v>
      </c>
      <c r="F18" s="888">
        <v>8000</v>
      </c>
    </row>
    <row r="19" spans="1:6" s="807" customFormat="1" ht="24" customHeight="1" thickBot="1" thickTop="1">
      <c r="A19" s="801" t="s">
        <v>258</v>
      </c>
      <c r="B19" s="802" t="s">
        <v>259</v>
      </c>
      <c r="C19" s="873">
        <f>C20+C21</f>
        <v>264914</v>
      </c>
      <c r="D19" s="874"/>
      <c r="E19" s="867">
        <f>SUM(E20:E21)</f>
        <v>275200</v>
      </c>
      <c r="F19" s="868">
        <f>SUM(F20:F21)</f>
        <v>275200</v>
      </c>
    </row>
    <row r="20" spans="1:6" s="814" customFormat="1" ht="19.5" customHeight="1" thickTop="1">
      <c r="A20" s="824" t="s">
        <v>533</v>
      </c>
      <c r="B20" s="825" t="s">
        <v>534</v>
      </c>
      <c r="C20" s="828">
        <v>229000</v>
      </c>
      <c r="D20" s="875">
        <v>2110</v>
      </c>
      <c r="E20" s="876">
        <v>241200</v>
      </c>
      <c r="F20" s="877">
        <v>241200</v>
      </c>
    </row>
    <row r="21" spans="1:6" s="814" customFormat="1" ht="18" customHeight="1" thickBot="1">
      <c r="A21" s="883" t="s">
        <v>550</v>
      </c>
      <c r="B21" s="884" t="s">
        <v>427</v>
      </c>
      <c r="C21" s="889">
        <v>35914</v>
      </c>
      <c r="D21" s="890">
        <v>2110</v>
      </c>
      <c r="E21" s="887">
        <v>34000</v>
      </c>
      <c r="F21" s="888">
        <v>34000</v>
      </c>
    </row>
    <row r="22" spans="1:6" s="814" customFormat="1" ht="21.75" customHeight="1" hidden="1">
      <c r="A22" s="891">
        <v>752</v>
      </c>
      <c r="B22" s="892" t="s">
        <v>432</v>
      </c>
      <c r="C22" s="893">
        <v>1000</v>
      </c>
      <c r="D22" s="894"/>
      <c r="E22" s="895"/>
      <c r="F22" s="896"/>
    </row>
    <row r="23" spans="1:6" s="814" customFormat="1" ht="21.75" customHeight="1" hidden="1">
      <c r="A23" s="819" t="s">
        <v>551</v>
      </c>
      <c r="B23" s="820" t="s">
        <v>433</v>
      </c>
      <c r="C23" s="897">
        <v>1000</v>
      </c>
      <c r="D23" s="878">
        <v>2110</v>
      </c>
      <c r="E23" s="898"/>
      <c r="F23" s="899"/>
    </row>
    <row r="24" spans="1:6" s="807" customFormat="1" ht="35.25" customHeight="1" thickBot="1" thickTop="1">
      <c r="A24" s="801" t="s">
        <v>262</v>
      </c>
      <c r="B24" s="802" t="s">
        <v>263</v>
      </c>
      <c r="C24" s="873">
        <f>SUM(C25:C26)</f>
        <v>5006000</v>
      </c>
      <c r="D24" s="874"/>
      <c r="E24" s="867">
        <f>SUM(E25:E26)</f>
        <v>7967320</v>
      </c>
      <c r="F24" s="868">
        <f>SUM(F25:F26)</f>
        <v>7967320</v>
      </c>
    </row>
    <row r="25" spans="1:6" s="830" customFormat="1" ht="24" customHeight="1" thickTop="1">
      <c r="A25" s="900" t="s">
        <v>552</v>
      </c>
      <c r="B25" s="901" t="s">
        <v>435</v>
      </c>
      <c r="C25" s="902">
        <v>4906000</v>
      </c>
      <c r="D25" s="903">
        <v>2110</v>
      </c>
      <c r="E25" s="904">
        <v>7917320</v>
      </c>
      <c r="F25" s="877">
        <v>7917320</v>
      </c>
    </row>
    <row r="26" spans="1:6" s="814" customFormat="1" ht="15" customHeight="1" thickBot="1">
      <c r="A26" s="817"/>
      <c r="B26" s="818"/>
      <c r="C26" s="905">
        <v>100000</v>
      </c>
      <c r="D26" s="886">
        <v>6410</v>
      </c>
      <c r="E26" s="906">
        <v>50000</v>
      </c>
      <c r="F26" s="907">
        <v>50000</v>
      </c>
    </row>
    <row r="27" spans="1:6" s="914" customFormat="1" ht="15" customHeight="1" hidden="1">
      <c r="A27" s="908" t="s">
        <v>536</v>
      </c>
      <c r="B27" s="909" t="s">
        <v>437</v>
      </c>
      <c r="C27" s="910"/>
      <c r="D27" s="911"/>
      <c r="E27" s="912"/>
      <c r="F27" s="913"/>
    </row>
    <row r="28" spans="1:6" s="914" customFormat="1" ht="60" customHeight="1" hidden="1">
      <c r="A28" s="915" t="s">
        <v>553</v>
      </c>
      <c r="B28" s="916" t="s">
        <v>554</v>
      </c>
      <c r="C28" s="917"/>
      <c r="D28" s="918"/>
      <c r="E28" s="898"/>
      <c r="F28" s="919"/>
    </row>
    <row r="29" spans="1:6" s="830" customFormat="1" ht="28.5" customHeight="1" hidden="1">
      <c r="A29" s="920" t="s">
        <v>555</v>
      </c>
      <c r="B29" s="921" t="s">
        <v>556</v>
      </c>
      <c r="C29" s="922"/>
      <c r="D29" s="878"/>
      <c r="E29" s="898"/>
      <c r="F29" s="899"/>
    </row>
    <row r="30" spans="1:6" s="807" customFormat="1" ht="24.75" customHeight="1" thickBot="1" thickTop="1">
      <c r="A30" s="801" t="s">
        <v>274</v>
      </c>
      <c r="B30" s="802" t="s">
        <v>275</v>
      </c>
      <c r="C30" s="873">
        <f>C31</f>
        <v>9000</v>
      </c>
      <c r="D30" s="874"/>
      <c r="E30" s="867">
        <f>E31</f>
        <v>15000</v>
      </c>
      <c r="F30" s="868">
        <f>F31</f>
        <v>15000</v>
      </c>
    </row>
    <row r="31" spans="1:6" s="814" customFormat="1" ht="57.75" customHeight="1" thickBot="1" thickTop="1">
      <c r="A31" s="923" t="s">
        <v>557</v>
      </c>
      <c r="B31" s="924" t="s">
        <v>558</v>
      </c>
      <c r="C31" s="925">
        <v>9000</v>
      </c>
      <c r="D31" s="886">
        <v>2110</v>
      </c>
      <c r="E31" s="926">
        <v>15000</v>
      </c>
      <c r="F31" s="927">
        <v>15000</v>
      </c>
    </row>
    <row r="32" spans="1:6" s="807" customFormat="1" ht="21" customHeight="1" thickBot="1" thickTop="1">
      <c r="A32" s="928" t="s">
        <v>276</v>
      </c>
      <c r="B32" s="802" t="s">
        <v>367</v>
      </c>
      <c r="C32" s="873">
        <f>C33</f>
        <v>25331</v>
      </c>
      <c r="D32" s="874"/>
      <c r="E32" s="867">
        <f>SUM(E33)</f>
        <v>16500</v>
      </c>
      <c r="F32" s="868">
        <f>SUM(F33)</f>
        <v>16500</v>
      </c>
    </row>
    <row r="33" spans="1:6" s="935" customFormat="1" ht="24" customHeight="1" thickBot="1" thickTop="1">
      <c r="A33" s="929">
        <v>85295</v>
      </c>
      <c r="B33" s="930" t="s">
        <v>389</v>
      </c>
      <c r="C33" s="931">
        <v>25331</v>
      </c>
      <c r="D33" s="932">
        <v>2110</v>
      </c>
      <c r="E33" s="933">
        <v>16500</v>
      </c>
      <c r="F33" s="934">
        <v>16500</v>
      </c>
    </row>
    <row r="34" spans="1:6" s="854" customFormat="1" ht="33" customHeight="1" thickBot="1" thickTop="1">
      <c r="A34" s="801" t="s">
        <v>278</v>
      </c>
      <c r="B34" s="802" t="s">
        <v>279</v>
      </c>
      <c r="C34" s="873">
        <f>C35</f>
        <v>106000</v>
      </c>
      <c r="D34" s="874"/>
      <c r="E34" s="867">
        <f>E35</f>
        <v>116000</v>
      </c>
      <c r="F34" s="868">
        <f>F35</f>
        <v>116000</v>
      </c>
    </row>
    <row r="35" spans="1:6" s="814" customFormat="1" ht="27.75" customHeight="1" thickBot="1" thickTop="1">
      <c r="A35" s="824" t="s">
        <v>560</v>
      </c>
      <c r="B35" s="825" t="s">
        <v>561</v>
      </c>
      <c r="C35" s="828">
        <v>106000</v>
      </c>
      <c r="D35" s="875">
        <v>2110</v>
      </c>
      <c r="E35" s="876">
        <v>116000</v>
      </c>
      <c r="F35" s="877">
        <v>116000</v>
      </c>
    </row>
    <row r="36" spans="1:6" s="914" customFormat="1" ht="21.75" customHeight="1" hidden="1">
      <c r="A36" s="936" t="s">
        <v>562</v>
      </c>
      <c r="B36" s="937" t="s">
        <v>563</v>
      </c>
      <c r="C36" s="938"/>
      <c r="D36" s="918"/>
      <c r="E36" s="939"/>
      <c r="F36" s="711"/>
    </row>
    <row r="37" spans="1:6" s="844" customFormat="1" ht="46.5" customHeight="1" hidden="1">
      <c r="A37" s="836" t="s">
        <v>564</v>
      </c>
      <c r="B37" s="837" t="s">
        <v>565</v>
      </c>
      <c r="C37" s="940"/>
      <c r="D37" s="918"/>
      <c r="E37" s="879"/>
      <c r="F37" s="711"/>
    </row>
    <row r="38" spans="1:6" s="830" customFormat="1" ht="15" customHeight="1" hidden="1">
      <c r="A38" s="831">
        <v>3110</v>
      </c>
      <c r="B38" s="832" t="s">
        <v>566</v>
      </c>
      <c r="C38" s="882"/>
      <c r="D38" s="878"/>
      <c r="E38" s="879"/>
      <c r="F38" s="880"/>
    </row>
    <row r="39" spans="1:6" s="851" customFormat="1" ht="20.25" customHeight="1" thickBot="1" thickTop="1">
      <c r="A39" s="845"/>
      <c r="B39" s="846" t="s">
        <v>241</v>
      </c>
      <c r="C39" s="941">
        <f>C11+C13+C19+C24+C30+C32+C34+C22</f>
        <v>5710945</v>
      </c>
      <c r="D39" s="942"/>
      <c r="E39" s="849">
        <f>E11+E13+E19+E24+E30+E32+E34</f>
        <v>8871620</v>
      </c>
      <c r="F39" s="943">
        <f>F11+F13+F19+F24+F30+F32+F34</f>
        <v>8871620</v>
      </c>
    </row>
    <row r="40" spans="1:6" s="854" customFormat="1" ht="13.5" thickTop="1">
      <c r="A40" s="87" t="s">
        <v>542</v>
      </c>
      <c r="B40" s="88"/>
      <c r="C40" s="852"/>
      <c r="D40" s="944"/>
      <c r="E40" s="945"/>
      <c r="F40" s="945"/>
    </row>
    <row r="41" spans="1:6" s="854" customFormat="1" ht="12.75">
      <c r="A41" s="87" t="s">
        <v>296</v>
      </c>
      <c r="B41" s="88"/>
      <c r="C41" s="852"/>
      <c r="D41" s="944"/>
      <c r="E41" s="945"/>
      <c r="F41" s="945"/>
    </row>
    <row r="42" spans="1:4" ht="12.75">
      <c r="A42" s="87" t="s">
        <v>811</v>
      </c>
      <c r="C42" s="946"/>
      <c r="D42" s="947"/>
    </row>
    <row r="43" spans="2:4" ht="12.75">
      <c r="B43" s="948"/>
      <c r="C43" s="946"/>
      <c r="D43" s="947"/>
    </row>
    <row r="44" spans="3:4" ht="14.25" customHeight="1">
      <c r="C44" s="946"/>
      <c r="D44" s="947"/>
    </row>
    <row r="45" spans="3:4" ht="13.5" customHeight="1">
      <c r="C45" s="946"/>
      <c r="D45" s="947"/>
    </row>
    <row r="46" spans="3:4" ht="16.5" customHeight="1">
      <c r="C46" s="946"/>
      <c r="D46" s="947"/>
    </row>
    <row r="47" spans="3:4" ht="18.75" customHeight="1">
      <c r="C47" s="946"/>
      <c r="D47" s="947"/>
    </row>
    <row r="48" spans="3:4" ht="12.75">
      <c r="C48" s="946"/>
      <c r="D48" s="947"/>
    </row>
    <row r="49" spans="3:4" ht="12.75">
      <c r="C49" s="946"/>
      <c r="D49" s="947"/>
    </row>
    <row r="50" spans="3:4" ht="16.5" customHeight="1">
      <c r="C50" s="946"/>
      <c r="D50" s="947"/>
    </row>
    <row r="51" spans="3:4" ht="12.75">
      <c r="C51" s="946"/>
      <c r="D51" s="947"/>
    </row>
    <row r="52" spans="3:4" ht="16.5" customHeight="1">
      <c r="C52" s="946"/>
      <c r="D52" s="947"/>
    </row>
    <row r="53" spans="3:4" ht="12.75">
      <c r="C53" s="946"/>
      <c r="D53" s="947"/>
    </row>
    <row r="54" spans="3:4" ht="15" customHeight="1">
      <c r="C54" s="946"/>
      <c r="D54" s="947"/>
    </row>
    <row r="55" spans="3:4" ht="16.5" customHeight="1">
      <c r="C55" s="946"/>
      <c r="D55" s="947"/>
    </row>
    <row r="56" spans="3:4" ht="12.75">
      <c r="C56" s="946"/>
      <c r="D56" s="947"/>
    </row>
    <row r="57" spans="3:4" ht="16.5" customHeight="1">
      <c r="C57" s="946"/>
      <c r="D57" s="947"/>
    </row>
    <row r="58" spans="3:4" ht="8.25" customHeight="1">
      <c r="C58" s="946"/>
      <c r="D58" s="947"/>
    </row>
    <row r="59" spans="3:4" ht="21.75" customHeight="1">
      <c r="C59" s="946"/>
      <c r="D59" s="947"/>
    </row>
    <row r="60" spans="1:4" s="854" customFormat="1" ht="12.75">
      <c r="A60" s="859"/>
      <c r="B60" s="860"/>
      <c r="C60" s="852"/>
      <c r="D60" s="944"/>
    </row>
    <row r="61" spans="1:4" s="854" customFormat="1" ht="12.75">
      <c r="A61" s="784"/>
      <c r="B61" s="860"/>
      <c r="C61" s="852"/>
      <c r="D61" s="944"/>
    </row>
    <row r="62" ht="12.75">
      <c r="C62" s="861"/>
    </row>
    <row r="63" ht="12.75">
      <c r="C63" s="861"/>
    </row>
    <row r="64" ht="12.75">
      <c r="C64" s="861"/>
    </row>
    <row r="65" ht="12.75">
      <c r="C65" s="861"/>
    </row>
    <row r="66" ht="12.75">
      <c r="C66" s="861"/>
    </row>
    <row r="67" ht="12.75">
      <c r="C67" s="861"/>
    </row>
    <row r="68" ht="12.75">
      <c r="C68" s="861"/>
    </row>
    <row r="69" ht="12.75">
      <c r="C69" s="861"/>
    </row>
    <row r="70" ht="12.75">
      <c r="C70" s="861"/>
    </row>
    <row r="71" ht="12.75">
      <c r="C71" s="861"/>
    </row>
  </sheetData>
  <printOptions horizontalCentered="1"/>
  <pageMargins left="0.7874015748031497" right="0.7874015748031497" top="0.984251968503937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22">
      <selection activeCell="A40" sqref="A40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949" hidden="1" customWidth="1"/>
  </cols>
  <sheetData>
    <row r="1" ht="13.5" customHeight="1">
      <c r="D1" s="784" t="s">
        <v>567</v>
      </c>
    </row>
    <row r="2" ht="11.25" customHeight="1">
      <c r="D2" s="249" t="s">
        <v>30</v>
      </c>
    </row>
    <row r="3" ht="12" customHeight="1">
      <c r="D3" s="4" t="s">
        <v>31</v>
      </c>
    </row>
    <row r="4" spans="1:6" ht="12.75" customHeight="1">
      <c r="A4" s="950"/>
      <c r="B4" s="951"/>
      <c r="C4" s="952"/>
      <c r="D4" s="102"/>
      <c r="E4" s="953"/>
      <c r="F4" s="954"/>
    </row>
    <row r="5" spans="1:6" ht="16.5">
      <c r="A5" s="958" t="s">
        <v>568</v>
      </c>
      <c r="B5" s="957"/>
      <c r="C5" s="957"/>
      <c r="D5" s="957"/>
      <c r="E5" s="957"/>
      <c r="F5" s="957"/>
    </row>
    <row r="6" spans="1:6" ht="16.5">
      <c r="A6" s="958" t="s">
        <v>569</v>
      </c>
      <c r="B6" s="957"/>
      <c r="C6" s="957"/>
      <c r="D6" s="957"/>
      <c r="E6" s="957"/>
      <c r="F6" s="957"/>
    </row>
    <row r="7" spans="1:6" ht="16.5">
      <c r="A7" s="956" t="s">
        <v>570</v>
      </c>
      <c r="B7" s="957"/>
      <c r="C7" s="957"/>
      <c r="D7" s="957"/>
      <c r="E7" s="957"/>
      <c r="F7" s="957"/>
    </row>
    <row r="8" spans="1:6" ht="16.5">
      <c r="A8" s="956" t="s">
        <v>571</v>
      </c>
      <c r="B8" s="957"/>
      <c r="C8" s="957"/>
      <c r="D8" s="957"/>
      <c r="E8" s="957"/>
      <c r="F8" s="959"/>
    </row>
    <row r="9" spans="1:5" ht="21" customHeight="1" thickBot="1">
      <c r="A9" s="257" t="s">
        <v>810</v>
      </c>
      <c r="B9" s="960"/>
      <c r="C9" s="961"/>
      <c r="D9" s="783"/>
      <c r="E9" s="781" t="s">
        <v>236</v>
      </c>
    </row>
    <row r="10" spans="1:6" s="964" customFormat="1" ht="26.25" customHeight="1" thickTop="1">
      <c r="A10" s="789" t="s">
        <v>530</v>
      </c>
      <c r="B10" s="790" t="s">
        <v>572</v>
      </c>
      <c r="C10" s="793" t="s">
        <v>532</v>
      </c>
      <c r="D10" s="962" t="s">
        <v>239</v>
      </c>
      <c r="E10" s="794" t="s">
        <v>240</v>
      </c>
      <c r="F10" s="963"/>
    </row>
    <row r="11" spans="1:6" s="964" customFormat="1" ht="12" customHeight="1" thickBot="1">
      <c r="A11" s="795">
        <v>1</v>
      </c>
      <c r="B11" s="796">
        <v>2</v>
      </c>
      <c r="C11" s="797">
        <v>3</v>
      </c>
      <c r="D11" s="798">
        <v>4</v>
      </c>
      <c r="E11" s="965">
        <v>5</v>
      </c>
      <c r="F11" s="963"/>
    </row>
    <row r="12" spans="1:6" s="968" customFormat="1" ht="23.25" customHeight="1" thickBot="1" thickTop="1">
      <c r="A12" s="801" t="s">
        <v>256</v>
      </c>
      <c r="B12" s="802" t="s">
        <v>257</v>
      </c>
      <c r="C12" s="874"/>
      <c r="D12" s="867">
        <f>D13</f>
        <v>16600</v>
      </c>
      <c r="E12" s="966">
        <f>E13</f>
        <v>16600</v>
      </c>
      <c r="F12" s="967"/>
    </row>
    <row r="13" spans="1:6" s="964" customFormat="1" ht="24" customHeight="1" thickBot="1" thickTop="1">
      <c r="A13" s="883" t="s">
        <v>573</v>
      </c>
      <c r="B13" s="884" t="s">
        <v>419</v>
      </c>
      <c r="C13" s="969">
        <v>2020</v>
      </c>
      <c r="D13" s="887">
        <v>16600</v>
      </c>
      <c r="E13" s="970">
        <v>16600</v>
      </c>
      <c r="F13" s="963"/>
    </row>
    <row r="14" spans="1:6" s="2013" customFormat="1" ht="29.25" customHeight="1" thickBot="1" thickTop="1">
      <c r="A14" s="2008" t="s">
        <v>286</v>
      </c>
      <c r="B14" s="802" t="s">
        <v>287</v>
      </c>
      <c r="C14" s="2009"/>
      <c r="D14" s="2010">
        <f>D15</f>
        <v>5000</v>
      </c>
      <c r="E14" s="2011">
        <f>E15</f>
        <v>5000</v>
      </c>
      <c r="F14" s="2012"/>
    </row>
    <row r="15" spans="1:6" s="964" customFormat="1" ht="24" customHeight="1" thickBot="1" thickTop="1">
      <c r="A15" s="2014" t="s">
        <v>791</v>
      </c>
      <c r="B15" s="2361" t="s">
        <v>508</v>
      </c>
      <c r="C15" s="890">
        <v>2020</v>
      </c>
      <c r="D15" s="887">
        <v>5000</v>
      </c>
      <c r="E15" s="970">
        <v>5000</v>
      </c>
      <c r="F15" s="963"/>
    </row>
    <row r="16" spans="1:6" s="964" customFormat="1" ht="21.75" customHeight="1" thickBot="1" thickTop="1">
      <c r="A16" s="845"/>
      <c r="B16" s="846" t="s">
        <v>241</v>
      </c>
      <c r="C16" s="971"/>
      <c r="D16" s="849">
        <f>D12+D14</f>
        <v>21600</v>
      </c>
      <c r="E16" s="943">
        <f>E12+E14</f>
        <v>21600</v>
      </c>
      <c r="F16" s="963"/>
    </row>
    <row r="17" spans="1:6" s="964" customFormat="1" ht="12" customHeight="1" thickTop="1">
      <c r="A17" s="972"/>
      <c r="B17" s="973"/>
      <c r="C17" s="974"/>
      <c r="D17" s="955"/>
      <c r="E17" s="955"/>
      <c r="F17" s="963"/>
    </row>
    <row r="18" spans="1:6" s="964" customFormat="1" ht="15" customHeight="1">
      <c r="A18" s="972"/>
      <c r="B18" s="973"/>
      <c r="C18" s="974"/>
      <c r="D18" s="955"/>
      <c r="E18" s="955"/>
      <c r="F18" s="963"/>
    </row>
    <row r="19" spans="1:6" s="964" customFormat="1" ht="12" customHeight="1">
      <c r="A19" s="972"/>
      <c r="B19" s="973"/>
      <c r="C19" s="974"/>
      <c r="D19" s="955"/>
      <c r="E19" s="955"/>
      <c r="F19" s="963"/>
    </row>
    <row r="20" spans="1:6" s="964" customFormat="1" ht="12" customHeight="1">
      <c r="A20" s="972"/>
      <c r="B20" s="973"/>
      <c r="C20" s="974"/>
      <c r="D20" s="784" t="s">
        <v>574</v>
      </c>
      <c r="E20" s="955"/>
      <c r="F20" s="963"/>
    </row>
    <row r="21" spans="1:6" s="964" customFormat="1" ht="12" customHeight="1">
      <c r="A21" s="972"/>
      <c r="B21" s="973"/>
      <c r="C21" s="974"/>
      <c r="D21" s="249" t="s">
        <v>30</v>
      </c>
      <c r="E21" s="955"/>
      <c r="F21" s="963"/>
    </row>
    <row r="22" spans="1:6" s="964" customFormat="1" ht="12" customHeight="1">
      <c r="A22" s="972"/>
      <c r="B22" s="973"/>
      <c r="C22" s="974"/>
      <c r="D22" s="4" t="s">
        <v>31</v>
      </c>
      <c r="E22" s="955"/>
      <c r="F22" s="963"/>
    </row>
    <row r="23" spans="1:6" s="964" customFormat="1" ht="12" customHeight="1">
      <c r="A23" s="972"/>
      <c r="B23" s="973"/>
      <c r="C23" s="974"/>
      <c r="D23" s="102"/>
      <c r="E23" s="955"/>
      <c r="F23" s="963"/>
    </row>
    <row r="24" spans="1:6" s="964" customFormat="1" ht="17.25" customHeight="1">
      <c r="A24" s="2583" t="s">
        <v>568</v>
      </c>
      <c r="B24" s="2584"/>
      <c r="C24" s="2584"/>
      <c r="D24" s="2584"/>
      <c r="E24" s="2584"/>
      <c r="F24" s="2584"/>
    </row>
    <row r="25" spans="1:6" s="964" customFormat="1" ht="17.25" customHeight="1">
      <c r="A25" s="2583" t="s">
        <v>575</v>
      </c>
      <c r="B25" s="2584"/>
      <c r="C25" s="2584"/>
      <c r="D25" s="2584"/>
      <c r="E25" s="2584"/>
      <c r="F25" s="2584"/>
    </row>
    <row r="26" spans="1:6" s="964" customFormat="1" ht="15.75" customHeight="1">
      <c r="A26" s="2585" t="s">
        <v>576</v>
      </c>
      <c r="B26" s="2586"/>
      <c r="C26" s="2586"/>
      <c r="D26" s="2586"/>
      <c r="E26" s="2586"/>
      <c r="F26" s="2586"/>
    </row>
    <row r="27" spans="1:6" s="964" customFormat="1" ht="15.75" customHeight="1">
      <c r="A27" s="956" t="s">
        <v>577</v>
      </c>
      <c r="B27" s="976"/>
      <c r="C27" s="976"/>
      <c r="D27" s="976"/>
      <c r="E27" s="976"/>
      <c r="F27" s="975"/>
    </row>
    <row r="28" spans="1:6" s="964" customFormat="1" ht="22.5" customHeight="1" thickBot="1">
      <c r="A28" s="257" t="s">
        <v>810</v>
      </c>
      <c r="B28" s="977"/>
      <c r="C28" s="978"/>
      <c r="D28" s="979"/>
      <c r="E28" s="980" t="s">
        <v>236</v>
      </c>
      <c r="F28" s="963"/>
    </row>
    <row r="29" spans="1:6" s="964" customFormat="1" ht="28.5" customHeight="1" thickTop="1">
      <c r="A29" s="789" t="s">
        <v>530</v>
      </c>
      <c r="B29" s="790" t="s">
        <v>572</v>
      </c>
      <c r="C29" s="793" t="s">
        <v>532</v>
      </c>
      <c r="D29" s="962" t="s">
        <v>239</v>
      </c>
      <c r="E29" s="794" t="s">
        <v>240</v>
      </c>
      <c r="F29" s="963"/>
    </row>
    <row r="30" spans="1:6" s="964" customFormat="1" ht="10.5" customHeight="1" thickBot="1">
      <c r="A30" s="795">
        <v>1</v>
      </c>
      <c r="B30" s="796">
        <v>2</v>
      </c>
      <c r="C30" s="797">
        <v>3</v>
      </c>
      <c r="D30" s="798">
        <v>4</v>
      </c>
      <c r="E30" s="965">
        <v>5</v>
      </c>
      <c r="F30" s="963"/>
    </row>
    <row r="31" spans="1:6" s="964" customFormat="1" ht="21" customHeight="1" thickBot="1" thickTop="1">
      <c r="A31" s="801" t="s">
        <v>258</v>
      </c>
      <c r="B31" s="802" t="s">
        <v>578</v>
      </c>
      <c r="C31" s="874"/>
      <c r="D31" s="867">
        <f>D32</f>
        <v>5500</v>
      </c>
      <c r="E31" s="966">
        <f>E32</f>
        <v>5500</v>
      </c>
      <c r="F31" s="963"/>
    </row>
    <row r="32" spans="1:6" s="964" customFormat="1" ht="24" customHeight="1" thickBot="1" thickTop="1">
      <c r="A32" s="883" t="s">
        <v>550</v>
      </c>
      <c r="B32" s="884" t="s">
        <v>427</v>
      </c>
      <c r="C32" s="969">
        <v>2120</v>
      </c>
      <c r="D32" s="887">
        <v>5500</v>
      </c>
      <c r="E32" s="970">
        <v>5500</v>
      </c>
      <c r="F32" s="963"/>
    </row>
    <row r="33" spans="1:6" s="2013" customFormat="1" ht="33" customHeight="1" thickBot="1" thickTop="1">
      <c r="A33" s="2008" t="s">
        <v>262</v>
      </c>
      <c r="B33" s="2362" t="s">
        <v>263</v>
      </c>
      <c r="C33" s="2009"/>
      <c r="D33" s="2010">
        <f>D34</f>
        <v>51136</v>
      </c>
      <c r="E33" s="2011">
        <f>E34</f>
        <v>51136</v>
      </c>
      <c r="F33" s="2012"/>
    </row>
    <row r="34" spans="1:6" s="964" customFormat="1" ht="24" customHeight="1" thickBot="1" thickTop="1">
      <c r="A34" s="2014" t="s">
        <v>792</v>
      </c>
      <c r="B34" s="2003" t="s">
        <v>389</v>
      </c>
      <c r="C34" s="890">
        <v>2120</v>
      </c>
      <c r="D34" s="887">
        <v>51136</v>
      </c>
      <c r="E34" s="970">
        <v>51136</v>
      </c>
      <c r="F34" s="963"/>
    </row>
    <row r="35" spans="1:6" s="2013" customFormat="1" ht="28.5" customHeight="1" thickBot="1" thickTop="1">
      <c r="A35" s="2008" t="s">
        <v>286</v>
      </c>
      <c r="B35" s="802" t="s">
        <v>287</v>
      </c>
      <c r="C35" s="2009"/>
      <c r="D35" s="2010">
        <f>D36</f>
        <v>68000</v>
      </c>
      <c r="E35" s="2011">
        <f>E36</f>
        <v>68000</v>
      </c>
      <c r="F35" s="2012"/>
    </row>
    <row r="36" spans="1:6" s="964" customFormat="1" ht="24" customHeight="1" thickBot="1" thickTop="1">
      <c r="A36" s="2014" t="s">
        <v>803</v>
      </c>
      <c r="B36" s="2015" t="s">
        <v>507</v>
      </c>
      <c r="C36" s="890">
        <v>6420</v>
      </c>
      <c r="D36" s="887">
        <v>68000</v>
      </c>
      <c r="E36" s="970">
        <v>68000</v>
      </c>
      <c r="F36" s="963"/>
    </row>
    <row r="37" spans="1:6" s="982" customFormat="1" ht="21" customHeight="1" thickBot="1" thickTop="1">
      <c r="A37" s="845"/>
      <c r="B37" s="846" t="s">
        <v>241</v>
      </c>
      <c r="C37" s="971"/>
      <c r="D37" s="849">
        <f>D31+D35+D33</f>
        <v>124636</v>
      </c>
      <c r="E37" s="943">
        <f>E31+E35+E33</f>
        <v>124636</v>
      </c>
      <c r="F37" s="981"/>
    </row>
    <row r="38" spans="1:6" s="964" customFormat="1" ht="22.5" customHeight="1" thickTop="1">
      <c r="A38" s="87" t="s">
        <v>542</v>
      </c>
      <c r="B38"/>
      <c r="C38" s="983"/>
      <c r="D38"/>
      <c r="E38"/>
      <c r="F38" s="963"/>
    </row>
    <row r="39" spans="1:3" ht="15" customHeight="1">
      <c r="A39" s="87" t="s">
        <v>296</v>
      </c>
      <c r="C39" s="983"/>
    </row>
    <row r="40" spans="1:3" ht="12.75">
      <c r="A40" s="87" t="s">
        <v>811</v>
      </c>
      <c r="C40" s="983"/>
    </row>
    <row r="41" spans="2:3" ht="12.75">
      <c r="B41" s="948"/>
      <c r="C41" s="983"/>
    </row>
    <row r="42" ht="12.75">
      <c r="C42" s="983"/>
    </row>
    <row r="45" ht="12.75">
      <c r="C45" s="983"/>
    </row>
    <row r="46" ht="12.75">
      <c r="C46" s="983"/>
    </row>
    <row r="47" ht="12.75">
      <c r="C47" s="983"/>
    </row>
    <row r="48" ht="12.75">
      <c r="C48" s="983"/>
    </row>
    <row r="49" ht="12.75">
      <c r="C49" s="983"/>
    </row>
    <row r="50" ht="12.75">
      <c r="C50" s="983"/>
    </row>
    <row r="51" ht="12.75">
      <c r="C51" s="983"/>
    </row>
    <row r="52" ht="12.75">
      <c r="C52" s="983"/>
    </row>
    <row r="53" ht="12.75">
      <c r="C53" s="983"/>
    </row>
    <row r="54" ht="12.75">
      <c r="C54" s="983"/>
    </row>
    <row r="55" ht="12.75">
      <c r="C55" s="983"/>
    </row>
    <row r="56" ht="12.75">
      <c r="C56" s="983"/>
    </row>
    <row r="57" ht="12.75">
      <c r="C57" s="983"/>
    </row>
    <row r="58" ht="12.75">
      <c r="C58" s="983"/>
    </row>
    <row r="59" ht="12.75">
      <c r="C59" s="983"/>
    </row>
    <row r="60" ht="12.75">
      <c r="C60" s="983"/>
    </row>
    <row r="61" ht="12.75">
      <c r="C61" s="983"/>
    </row>
    <row r="62" ht="12.75">
      <c r="C62" s="983"/>
    </row>
    <row r="63" ht="12.75">
      <c r="C63" s="983"/>
    </row>
    <row r="64" ht="12.75">
      <c r="C64" s="983"/>
    </row>
    <row r="65" ht="12.75">
      <c r="C65" s="983"/>
    </row>
    <row r="66" ht="12.75">
      <c r="C66" s="983"/>
    </row>
    <row r="67" ht="12.75">
      <c r="C67" s="983"/>
    </row>
    <row r="68" ht="12.75">
      <c r="C68" s="983"/>
    </row>
    <row r="69" ht="12.75">
      <c r="C69" s="983"/>
    </row>
    <row r="70" ht="12.75">
      <c r="C70" s="983"/>
    </row>
    <row r="71" ht="12.75">
      <c r="C71" s="983"/>
    </row>
  </sheetData>
  <mergeCells count="3">
    <mergeCell ref="A25:F25"/>
    <mergeCell ref="A26:F26"/>
    <mergeCell ref="A24:F24"/>
  </mergeCells>
  <printOptions/>
  <pageMargins left="0.75" right="0.75" top="1" bottom="0.67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9">
      <selection activeCell="A36" sqref="A36"/>
    </sheetView>
  </sheetViews>
  <sheetFormatPr defaultColWidth="9.00390625" defaultRowHeight="12.75"/>
  <cols>
    <col min="1" max="1" width="7.375" style="985" customWidth="1"/>
    <col min="2" max="2" width="33.25390625" style="1028" customWidth="1"/>
    <col min="3" max="3" width="5.00390625" style="1028" customWidth="1"/>
    <col min="4" max="4" width="19.25390625" style="986" customWidth="1"/>
    <col min="5" max="5" width="19.25390625" style="1030" customWidth="1"/>
    <col min="6" max="7" width="0.12890625" style="992" hidden="1" customWidth="1"/>
    <col min="8" max="16384" width="9.125" style="407" customWidth="1"/>
  </cols>
  <sheetData>
    <row r="1" spans="1:5" s="471" customFormat="1" ht="13.5" customHeight="1">
      <c r="A1" s="984"/>
      <c r="B1" s="985"/>
      <c r="C1" s="985"/>
      <c r="D1" s="784" t="s">
        <v>579</v>
      </c>
      <c r="E1" s="986"/>
    </row>
    <row r="2" spans="1:5" s="290" customFormat="1" ht="13.5" customHeight="1">
      <c r="A2" s="987"/>
      <c r="B2" s="988"/>
      <c r="C2" s="988"/>
      <c r="D2" s="249" t="s">
        <v>33</v>
      </c>
      <c r="E2" s="989"/>
    </row>
    <row r="3" spans="1:5" s="290" customFormat="1" ht="13.5" customHeight="1">
      <c r="A3" s="987"/>
      <c r="B3" s="988"/>
      <c r="C3" s="988"/>
      <c r="D3" s="4" t="s">
        <v>34</v>
      </c>
      <c r="E3" s="989"/>
    </row>
    <row r="4" spans="1:6" ht="27" customHeight="1">
      <c r="A4" s="2583" t="s">
        <v>580</v>
      </c>
      <c r="B4" s="2584"/>
      <c r="C4" s="2584"/>
      <c r="D4" s="2584"/>
      <c r="E4" s="2584"/>
      <c r="F4" s="991"/>
    </row>
    <row r="5" spans="1:6" ht="19.5" customHeight="1">
      <c r="A5" s="956" t="s">
        <v>804</v>
      </c>
      <c r="B5" s="976"/>
      <c r="C5" s="976"/>
      <c r="D5" s="976"/>
      <c r="E5" s="976"/>
      <c r="F5" s="991"/>
    </row>
    <row r="6" spans="1:6" ht="19.5" customHeight="1">
      <c r="A6" s="956" t="s">
        <v>581</v>
      </c>
      <c r="B6" s="976"/>
      <c r="C6" s="976"/>
      <c r="D6" s="976"/>
      <c r="E6" s="976"/>
      <c r="F6" s="991"/>
    </row>
    <row r="7" spans="1:6" ht="19.5" customHeight="1">
      <c r="A7" s="956" t="s">
        <v>582</v>
      </c>
      <c r="B7" s="957"/>
      <c r="C7" s="957"/>
      <c r="D7" s="957"/>
      <c r="E7" s="957"/>
      <c r="F7" s="991"/>
    </row>
    <row r="8" spans="1:6" ht="19.5" customHeight="1">
      <c r="A8" s="956" t="s">
        <v>583</v>
      </c>
      <c r="B8" s="957"/>
      <c r="C8" s="957"/>
      <c r="D8" s="957"/>
      <c r="E8" s="957"/>
      <c r="F8" s="991"/>
    </row>
    <row r="9" spans="1:5" ht="31.5" customHeight="1" thickBot="1">
      <c r="A9" s="257" t="s">
        <v>810</v>
      </c>
      <c r="B9" s="993"/>
      <c r="C9" s="993"/>
      <c r="D9" s="994"/>
      <c r="E9" s="995" t="s">
        <v>236</v>
      </c>
    </row>
    <row r="10" spans="1:5" ht="19.5" thickTop="1">
      <c r="A10" s="2587" t="s">
        <v>530</v>
      </c>
      <c r="B10" s="2589" t="s">
        <v>572</v>
      </c>
      <c r="C10" s="2591" t="s">
        <v>532</v>
      </c>
      <c r="D10" s="996" t="s">
        <v>584</v>
      </c>
      <c r="E10" s="997"/>
    </row>
    <row r="11" spans="1:5" ht="16.5" customHeight="1" thickBot="1">
      <c r="A11" s="2588"/>
      <c r="B11" s="2590"/>
      <c r="C11" s="2592"/>
      <c r="D11" s="998" t="s">
        <v>585</v>
      </c>
      <c r="E11" s="999" t="s">
        <v>586</v>
      </c>
    </row>
    <row r="12" spans="1:5" ht="13.5" thickBot="1" thickTop="1">
      <c r="A12" s="1000">
        <v>1</v>
      </c>
      <c r="B12" s="1001">
        <v>2</v>
      </c>
      <c r="C12" s="1002">
        <v>3</v>
      </c>
      <c r="D12" s="1002">
        <v>4</v>
      </c>
      <c r="E12" s="1003">
        <v>5</v>
      </c>
    </row>
    <row r="13" spans="1:7" s="307" customFormat="1" ht="16.5" thickBot="1" thickTop="1">
      <c r="A13" s="1004"/>
      <c r="B13" s="1005" t="s">
        <v>301</v>
      </c>
      <c r="C13" s="1006"/>
      <c r="D13" s="1007">
        <f>D14+D16</f>
        <v>0</v>
      </c>
      <c r="E13" s="1008">
        <f>E14</f>
        <v>0</v>
      </c>
      <c r="F13" s="1009"/>
      <c r="G13" s="1009"/>
    </row>
    <row r="14" spans="1:7" s="471" customFormat="1" ht="21" customHeight="1" thickBot="1" thickTop="1">
      <c r="A14" s="345">
        <v>600</v>
      </c>
      <c r="B14" s="663" t="s">
        <v>251</v>
      </c>
      <c r="C14" s="1010"/>
      <c r="D14" s="287"/>
      <c r="E14" s="868">
        <f>E15</f>
        <v>0</v>
      </c>
      <c r="F14" s="4"/>
      <c r="G14" s="4"/>
    </row>
    <row r="15" spans="1:7" s="471" customFormat="1" ht="21" customHeight="1" thickBot="1" thickTop="1">
      <c r="A15" s="625">
        <v>60002</v>
      </c>
      <c r="B15" s="1011" t="s">
        <v>397</v>
      </c>
      <c r="C15" s="1012">
        <v>2710</v>
      </c>
      <c r="D15" s="623"/>
      <c r="E15" s="880"/>
      <c r="F15" s="4"/>
      <c r="G15" s="4"/>
    </row>
    <row r="16" spans="1:7" s="471" customFormat="1" ht="22.5" customHeight="1" thickBot="1" thickTop="1">
      <c r="A16" s="345">
        <v>926</v>
      </c>
      <c r="B16" s="663" t="s">
        <v>289</v>
      </c>
      <c r="C16" s="1010"/>
      <c r="D16" s="287">
        <f>SUM(D17)</f>
        <v>0</v>
      </c>
      <c r="E16" s="868"/>
      <c r="F16" s="4"/>
      <c r="G16" s="4"/>
    </row>
    <row r="17" spans="1:7" s="471" customFormat="1" ht="21" customHeight="1" thickBot="1" thickTop="1">
      <c r="A17" s="625">
        <v>92601</v>
      </c>
      <c r="B17" s="1011" t="s">
        <v>514</v>
      </c>
      <c r="C17" s="1012">
        <v>6300</v>
      </c>
      <c r="D17" s="623"/>
      <c r="E17" s="880"/>
      <c r="F17" s="4"/>
      <c r="G17" s="4"/>
    </row>
    <row r="18" spans="1:7" s="1013" customFormat="1" ht="21" customHeight="1" thickBot="1" thickTop="1">
      <c r="A18" s="1014"/>
      <c r="B18" s="1015" t="s">
        <v>302</v>
      </c>
      <c r="C18" s="1016"/>
      <c r="D18" s="1017">
        <f>D19+D21+D24+D31+D28</f>
        <v>1670342</v>
      </c>
      <c r="E18" s="1008">
        <f>E19+E21+E24+E31</f>
        <v>2648067</v>
      </c>
      <c r="F18" s="1018"/>
      <c r="G18" s="1018"/>
    </row>
    <row r="19" spans="1:7" s="471" customFormat="1" ht="23.25" customHeight="1" thickBot="1" thickTop="1">
      <c r="A19" s="345">
        <v>750</v>
      </c>
      <c r="B19" s="663" t="s">
        <v>259</v>
      </c>
      <c r="C19" s="1010"/>
      <c r="D19" s="287"/>
      <c r="E19" s="868">
        <f>E20</f>
        <v>1977180</v>
      </c>
      <c r="F19" s="4"/>
      <c r="G19" s="4"/>
    </row>
    <row r="20" spans="1:10" s="315" customFormat="1" ht="22.5" customHeight="1" thickBot="1" thickTop="1">
      <c r="A20" s="1019">
        <v>75020</v>
      </c>
      <c r="B20" s="1020" t="s">
        <v>587</v>
      </c>
      <c r="C20" s="1021">
        <v>2320</v>
      </c>
      <c r="D20" s="1022"/>
      <c r="E20" s="927">
        <v>1977180</v>
      </c>
      <c r="F20" s="1023"/>
      <c r="G20" s="1023"/>
      <c r="J20" s="471"/>
    </row>
    <row r="21" spans="1:7" s="471" customFormat="1" ht="21" customHeight="1" thickBot="1" thickTop="1">
      <c r="A21" s="345">
        <v>852</v>
      </c>
      <c r="B21" s="663" t="s">
        <v>367</v>
      </c>
      <c r="C21" s="1010"/>
      <c r="D21" s="287">
        <f>D23</f>
        <v>395000</v>
      </c>
      <c r="E21" s="868">
        <f>E22+E23</f>
        <v>535500</v>
      </c>
      <c r="F21" s="4"/>
      <c r="G21" s="4"/>
    </row>
    <row r="22" spans="1:5" ht="22.5" customHeight="1" thickTop="1">
      <c r="A22" s="625">
        <v>85201</v>
      </c>
      <c r="B22" s="1024" t="s">
        <v>472</v>
      </c>
      <c r="C22" s="1012">
        <v>2320</v>
      </c>
      <c r="D22" s="623"/>
      <c r="E22" s="880">
        <v>412000</v>
      </c>
    </row>
    <row r="23" spans="1:5" ht="22.5" customHeight="1" thickBot="1">
      <c r="A23" s="625">
        <v>85204</v>
      </c>
      <c r="B23" s="1024" t="s">
        <v>475</v>
      </c>
      <c r="C23" s="1012">
        <v>2320</v>
      </c>
      <c r="D23" s="623">
        <v>395000</v>
      </c>
      <c r="E23" s="880">
        <v>123500</v>
      </c>
    </row>
    <row r="24" spans="1:7" s="1850" customFormat="1" ht="26.25" customHeight="1" thickBot="1" thickTop="1">
      <c r="A24" s="1846">
        <v>853</v>
      </c>
      <c r="B24" s="1902" t="s">
        <v>279</v>
      </c>
      <c r="C24" s="1847"/>
      <c r="D24" s="1848">
        <f>D25</f>
        <v>82852</v>
      </c>
      <c r="E24" s="1404">
        <f>SUM(E25:E27)</f>
        <v>95387</v>
      </c>
      <c r="F24" s="1849"/>
      <c r="G24" s="1849"/>
    </row>
    <row r="25" spans="1:5" ht="27" customHeight="1" thickTop="1">
      <c r="A25" s="625">
        <v>85311</v>
      </c>
      <c r="B25" s="1530" t="s">
        <v>487</v>
      </c>
      <c r="C25" s="1851">
        <v>2320</v>
      </c>
      <c r="D25" s="453">
        <v>82852</v>
      </c>
      <c r="E25" s="880">
        <v>82852</v>
      </c>
    </row>
    <row r="26" spans="1:5" ht="27" customHeight="1">
      <c r="A26" s="625">
        <v>85395</v>
      </c>
      <c r="B26" s="1530" t="s">
        <v>389</v>
      </c>
      <c r="C26" s="1851">
        <v>2338</v>
      </c>
      <c r="D26" s="453"/>
      <c r="E26" s="880">
        <f>9578+2791</f>
        <v>12369</v>
      </c>
    </row>
    <row r="27" spans="1:5" ht="27" customHeight="1" thickBot="1">
      <c r="A27" s="625"/>
      <c r="B27" s="1530"/>
      <c r="C27" s="1851">
        <v>2339</v>
      </c>
      <c r="D27" s="453"/>
      <c r="E27" s="880">
        <f>129+37</f>
        <v>166</v>
      </c>
    </row>
    <row r="28" spans="1:7" s="1850" customFormat="1" ht="27" customHeight="1" thickBot="1" thickTop="1">
      <c r="A28" s="1846">
        <v>854</v>
      </c>
      <c r="B28" s="1902" t="s">
        <v>281</v>
      </c>
      <c r="C28" s="1847"/>
      <c r="D28" s="1848">
        <f>SUM(D29:D30)</f>
        <v>1152490</v>
      </c>
      <c r="E28" s="1404"/>
      <c r="F28" s="1849"/>
      <c r="G28" s="1849"/>
    </row>
    <row r="29" spans="1:7" s="1850" customFormat="1" ht="27" customHeight="1" thickTop="1">
      <c r="A29" s="625">
        <v>85415</v>
      </c>
      <c r="B29" s="1024" t="s">
        <v>494</v>
      </c>
      <c r="C29" s="2363">
        <v>2888</v>
      </c>
      <c r="D29" s="2364">
        <v>784270</v>
      </c>
      <c r="E29" s="2365"/>
      <c r="F29" s="1849"/>
      <c r="G29" s="1849"/>
    </row>
    <row r="30" spans="1:5" ht="22.5" customHeight="1" thickBot="1">
      <c r="A30" s="2552"/>
      <c r="B30" s="2366"/>
      <c r="C30" s="2367">
        <v>2889</v>
      </c>
      <c r="D30" s="453">
        <v>368220</v>
      </c>
      <c r="E30" s="880"/>
    </row>
    <row r="31" spans="1:7" s="1850" customFormat="1" ht="30" customHeight="1" thickBot="1" thickTop="1">
      <c r="A31" s="1846">
        <v>921</v>
      </c>
      <c r="B31" s="1902" t="s">
        <v>287</v>
      </c>
      <c r="C31" s="1847"/>
      <c r="D31" s="1848">
        <f>D32</f>
        <v>40000</v>
      </c>
      <c r="E31" s="1404">
        <f>E32</f>
        <v>40000</v>
      </c>
      <c r="F31" s="1849"/>
      <c r="G31" s="1849"/>
    </row>
    <row r="32" spans="1:5" ht="22.5" customHeight="1" thickBot="1" thickTop="1">
      <c r="A32" s="1852">
        <v>92116</v>
      </c>
      <c r="B32" s="1853" t="s">
        <v>509</v>
      </c>
      <c r="C32" s="1851">
        <v>2320</v>
      </c>
      <c r="D32" s="453">
        <v>40000</v>
      </c>
      <c r="E32" s="880">
        <v>40000</v>
      </c>
    </row>
    <row r="33" spans="1:5" ht="20.25" customHeight="1" thickBot="1" thickTop="1">
      <c r="A33" s="1025"/>
      <c r="B33" s="1026" t="s">
        <v>241</v>
      </c>
      <c r="C33" s="1027"/>
      <c r="D33" s="849">
        <f>D18+D13</f>
        <v>1670342</v>
      </c>
      <c r="E33" s="943">
        <f>E18+E13</f>
        <v>2648067</v>
      </c>
    </row>
    <row r="34" spans="1:3" ht="13.5" thickTop="1">
      <c r="A34" s="87" t="s">
        <v>542</v>
      </c>
      <c r="C34" s="1029"/>
    </row>
    <row r="35" spans="1:3" ht="12.75">
      <c r="A35" s="87" t="s">
        <v>296</v>
      </c>
      <c r="C35" s="1029"/>
    </row>
    <row r="36" spans="1:3" ht="12.75">
      <c r="A36" s="87" t="s">
        <v>811</v>
      </c>
      <c r="C36" s="1029"/>
    </row>
  </sheetData>
  <mergeCells count="4">
    <mergeCell ref="A4:E4"/>
    <mergeCell ref="A10:A11"/>
    <mergeCell ref="B10:B11"/>
    <mergeCell ref="C10:C11"/>
  </mergeCells>
  <printOptions horizontalCentered="1"/>
  <pageMargins left="0.2362204724409449" right="0.2362204724409449" top="0.708661417322834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2009-08-07T12:01:56Z</cp:lastPrinted>
  <dcterms:created xsi:type="dcterms:W3CDTF">2009-02-10T08:41:05Z</dcterms:created>
  <dcterms:modified xsi:type="dcterms:W3CDTF">2009-08-12T12:01:28Z</dcterms:modified>
  <cp:category/>
  <cp:version/>
  <cp:contentType/>
  <cp:contentStatus/>
</cp:coreProperties>
</file>