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 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14'!$9:$10</definedName>
    <definedName name="_xlnm.Print_Titles" localSheetId="17">'zał 19'!$7:$9</definedName>
    <definedName name="_xlnm.Print_Titles" localSheetId="18">'zał 20'!$9:$11</definedName>
    <definedName name="_xlnm.Print_Titles" localSheetId="2">'zał 3'!$7:$9</definedName>
    <definedName name="_xlnm.Print_Titles" localSheetId="3">'zał 4'!$9:$11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J103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33,5 adaptacja pomieszczeń na sale lekcyjne
15,0 adaptacja mieszkań służbowych na sale lekcyjne w II LO </t>
        </r>
      </text>
    </comment>
    <comment ref="E14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zmiana nazwy
</t>
        </r>
      </text>
    </comment>
    <comment ref="B172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124 System gospodarki odpadami oraz budowa zakładu termicznego przekształcania odpadów....
</t>
        </r>
      </text>
    </comment>
    <comment ref="J4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95,5 oświetlenie 
ul.grochowskiego
</t>
        </r>
      </text>
    </comment>
    <comment ref="B173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131
</t>
        </r>
      </text>
    </comment>
    <comment ref="J3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-300,0 z adaptacji pomieszczeń na Kościuszki</t>
        </r>
      </text>
    </comment>
    <comment ref="K3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Adaptacja budynku przy ul.Kościuszki na mieszkania socjalne </t>
        </r>
      </text>
    </comment>
  </commentList>
</comments>
</file>

<file path=xl/sharedStrings.xml><?xml version="1.0" encoding="utf-8"?>
<sst xmlns="http://schemas.openxmlformats.org/spreadsheetml/2006/main" count="2548" uniqueCount="840">
  <si>
    <t>Budowa parkingu, zatok autobusowych, kanalizacji deszczowej oraz wykonanie nawierzchni asfaltowej przy ul.Gnieźnieńskiej</t>
  </si>
  <si>
    <t>Przebudowa pętli autobusowej przy ul. Szczecińskiej</t>
  </si>
  <si>
    <t>Przebudowa skrzyżowań / budowa skrzyżowań z ruchem okrężnym</t>
  </si>
  <si>
    <t>Remont odcinka nawierzchni ul. Dzierżęcińskiej</t>
  </si>
  <si>
    <t>Remont ul.Powstańców Wielkopolskich</t>
  </si>
  <si>
    <t>ul. Lubiatowska</t>
  </si>
  <si>
    <t>Przebudowa ul.St. Moniuszki</t>
  </si>
  <si>
    <t>Przebudowa ul.Marynarzy</t>
  </si>
  <si>
    <t>Remont ul.Jabłoniowej</t>
  </si>
  <si>
    <t>ul.Rzeczna (dojazd do Spec. Ośrodka Szkolno-Wychowawczego)</t>
  </si>
  <si>
    <t>Modernizacja rejonu ulic Tytusa Chałubińskiego - Leśna - Promykowa</t>
  </si>
  <si>
    <t>Osiedle "Lipowe"- drogi</t>
  </si>
  <si>
    <t>Budowa łącznika ul.Dywizji Drezdeńskiej - Przyjaźni</t>
  </si>
  <si>
    <t xml:space="preserve">Przebudowa ul.Połtawskiej </t>
  </si>
  <si>
    <t>Przebudowa ul.Sikorskiego</t>
  </si>
  <si>
    <t>Budowa parkingu przy ul. Baczewskiego</t>
  </si>
  <si>
    <t>Przebudowa ul.Fałata</t>
  </si>
  <si>
    <t>Modernizacja szkół</t>
  </si>
  <si>
    <t>E</t>
  </si>
  <si>
    <t>Remont i modernizacja przedszkoli</t>
  </si>
  <si>
    <t>Modernizacja przedszkoli</t>
  </si>
  <si>
    <t>Modernizacja placówek w ramach Polsko-Niemieckiej Współpracy Młodzieżowej Koszalin- Strasburg</t>
  </si>
  <si>
    <t>PU</t>
  </si>
  <si>
    <t>Wymiana stolarki okiennej i drzwi w siedzibie na ul.Monte Cassino, remont siedziby i ogrodzenia przy ul.Podgórnej</t>
  </si>
  <si>
    <t>KS</t>
  </si>
  <si>
    <t>Zabudowa tarasu w żłobku "Skrzat", wymiana instalacji elektrycznej "Bolek i Lolek"</t>
  </si>
  <si>
    <t>Klimatyzacja - Pałac Młodzieży</t>
  </si>
  <si>
    <t>Modernizacja placówek oświatowo - wychowawczych</t>
  </si>
  <si>
    <t>Szkolne Schronisko Młodzieżowe - modernizacja placówki</t>
  </si>
  <si>
    <t>Budowa schroniska dla zwierząt</t>
  </si>
  <si>
    <t>Uzbrojenie terenu pod ogródki działkowe przy ul.Władysława IV</t>
  </si>
  <si>
    <t xml:space="preserve">Dotacja na roboty inwestycyjne dla Muzeum </t>
  </si>
  <si>
    <t xml:space="preserve">OGÓŁEM  (I+II)  </t>
  </si>
  <si>
    <t xml:space="preserve">INWESTYCJE PLANOWANE DO DOFINANSOWANIA </t>
  </si>
  <si>
    <t>ul. Gnieźnieńska (od 4-go Marca do Połczyńskiej)</t>
  </si>
  <si>
    <t>Budowa ścieżek rowerowych</t>
  </si>
  <si>
    <t>2007</t>
  </si>
  <si>
    <t>Comenius 2009/2010 Wizyta przygotowawcza SP Nr 4</t>
  </si>
  <si>
    <r>
      <t>Pozostała działalność "</t>
    </r>
    <r>
      <rPr>
        <b/>
        <i/>
        <sz val="10"/>
        <rFont val="Arial Narrow"/>
        <family val="2"/>
      </rPr>
      <t>Program poprawy osiągnięć edukacyjnych uczniów Gimnazjum nr 2 im. Janusza Korczaka w Koszalinie"</t>
    </r>
  </si>
  <si>
    <t xml:space="preserve">Wynagrodzenia bezosobowe </t>
  </si>
  <si>
    <t>Data wprowadzenia do BIP: 20.01.2010 r.</t>
  </si>
  <si>
    <t>Autor dokumentu: Barbara Malinowska</t>
  </si>
  <si>
    <t>Budowa i przebudowa dróg stanowiących zewnętrzny pierścień układu komunikacyjnego</t>
  </si>
  <si>
    <t>ul. Syrenki</t>
  </si>
  <si>
    <t>Waryńskiego ze skrzyżowaniem z ul. Zwycięstwa, Piłsudskiego, Kościuszki</t>
  </si>
  <si>
    <t>ul. Gdańska</t>
  </si>
  <si>
    <t xml:space="preserve">Przebudowa rejonu ul.Gnieżnieńskiej - 4-go Marca - Połczyńskiej </t>
  </si>
  <si>
    <t>Osiedle "Unii Europejskiej"- drogi</t>
  </si>
  <si>
    <t>Osiedle Podgórne - Bat. Chłopskich - drogi</t>
  </si>
  <si>
    <t>Parking przy ul.Na Skarpie - E. Kwiatkowskiego</t>
  </si>
  <si>
    <t>Boiska sportowe przy ZS Nr 13</t>
  </si>
  <si>
    <t>Boisko sportowe przy Szkole Podstawowej nr 7</t>
  </si>
  <si>
    <t>Boisko sportowe przy Szkole Podstawowej nr 13</t>
  </si>
  <si>
    <t>Sala sportowa przy Gimnazjum Nr 6</t>
  </si>
  <si>
    <t>ul.Różana - Lniana (porządkowanie gospodarki wod.ściekowej)</t>
  </si>
  <si>
    <t>Uzbrojenie Osiedla Chełmoniewo</t>
  </si>
  <si>
    <t>Uzbrojenie rejonu ul. Szczecińskiej</t>
  </si>
  <si>
    <t>Uzbrojenie Osiedla Sarzyno</t>
  </si>
  <si>
    <t>Uzbrojenie osiedla Podgórne - Batalionów Chłopskich</t>
  </si>
  <si>
    <t xml:space="preserve">Uzbrojenie rejonu ulicy R. Traugutta </t>
  </si>
  <si>
    <t>Oświetlenie iluminacyjne</t>
  </si>
  <si>
    <t>Filharmonia - sala koncertowa</t>
  </si>
  <si>
    <t>Boiska sportowe na osiedlu Wenedów</t>
  </si>
  <si>
    <t xml:space="preserve">OGÓŁEM  (I+II+III)  </t>
  </si>
  <si>
    <t>Załącznik nr  20 do Uchwały</t>
  </si>
  <si>
    <t xml:space="preserve">GOSPODARKA MIESZKANIOWA   </t>
  </si>
  <si>
    <t>stan na 30.11.2009r.</t>
  </si>
  <si>
    <t>Dotacja celowa z budżetu dla pozostałych jednostek sektora finansów publicznych</t>
  </si>
  <si>
    <t xml:space="preserve">WYDATKI  BUDŻETU NA PROGRAMY I PROJEKTY REALIZOWANE  ZE  ŚRODKÓW  ZEWNĘTRZNYCH </t>
  </si>
  <si>
    <t>W  2009  ROKU</t>
  </si>
  <si>
    <t>Nazwa programu, projektu</t>
  </si>
  <si>
    <t>Finansowanie 2009r.</t>
  </si>
  <si>
    <t>%</t>
  </si>
  <si>
    <t>finansowe
w 2009r.</t>
  </si>
  <si>
    <t xml:space="preserve">Środki własne </t>
  </si>
  <si>
    <t xml:space="preserve">Środki pomocowe </t>
  </si>
  <si>
    <t>dofinansowania</t>
  </si>
  <si>
    <t>Program Operacyjny Infrastruktura i Środowisko 
Fundusz Spójności  
Europejski Fundusz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</si>
  <si>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</si>
  <si>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</si>
  <si>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</si>
  <si>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</si>
  <si>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</si>
  <si>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"Koszaliński Program Integracji Społecznej  START"</t>
  </si>
  <si>
    <t>Program Operacyjny Kapitał Ludzki Województwo Zachodniopomorskie - Wojewódzki Urząd Pracy</t>
  </si>
  <si>
    <t>4118</t>
  </si>
  <si>
    <t>4119</t>
  </si>
  <si>
    <t>4128</t>
  </si>
  <si>
    <t>Składki na FP</t>
  </si>
  <si>
    <t>4129</t>
  </si>
  <si>
    <t>4178</t>
  </si>
  <si>
    <t>4179</t>
  </si>
  <si>
    <t>4218</t>
  </si>
  <si>
    <t>4219</t>
  </si>
  <si>
    <t>4308</t>
  </si>
  <si>
    <t>4309</t>
  </si>
  <si>
    <t>4358</t>
  </si>
  <si>
    <t>4359</t>
  </si>
  <si>
    <t>4368</t>
  </si>
  <si>
    <t>Opłaty z tytułu zakupu usług telefonii komórkowej</t>
  </si>
  <si>
    <t>4369</t>
  </si>
  <si>
    <t>4378</t>
  </si>
  <si>
    <t>Opłaty z tytułu zakupu usług telefonii stacjonarnej</t>
  </si>
  <si>
    <t>4379</t>
  </si>
  <si>
    <t>4418</t>
  </si>
  <si>
    <t>4419</t>
  </si>
  <si>
    <t>4748</t>
  </si>
  <si>
    <t>4749</t>
  </si>
  <si>
    <t>4758</t>
  </si>
  <si>
    <t xml:space="preserve">Zakup akcesoriów komputerowych, w tym programów i licencji </t>
  </si>
  <si>
    <t>4759</t>
  </si>
  <si>
    <t>"Szkoły zawodowe dodają skrzydeł"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</si>
  <si>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</si>
  <si>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</si>
  <si>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</si>
  <si>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</si>
  <si>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</si>
  <si>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</si>
  <si>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 xml:space="preserve">        Załącznik nr 1 do Uchwały</t>
  </si>
  <si>
    <t xml:space="preserve">DOCHODY   I   WYDATKI   BUDŻETU   MIASTA   KOSZALINA   NA   2009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</si>
  <si>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</si>
  <si>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</si>
  <si>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</si>
  <si>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</si>
  <si>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</si>
  <si>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</si>
  <si>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</si>
  <si>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</si>
  <si>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</si>
  <si>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</si>
  <si>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</si>
  <si>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</si>
  <si>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</si>
  <si>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</si>
  <si>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</si>
  <si>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</si>
  <si>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</si>
  <si>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</si>
  <si>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</si>
  <si>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</si>
  <si>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</si>
  <si>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</si>
  <si>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</si>
  <si>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</si>
  <si>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</si>
  <si>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</si>
  <si>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</si>
  <si>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</si>
  <si>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</si>
  <si>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</si>
  <si>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</si>
  <si>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</si>
  <si>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</si>
  <si>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</si>
  <si>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</si>
  <si>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</si>
  <si>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</si>
  <si>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</si>
  <si>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</si>
  <si>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</si>
  <si>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</si>
  <si>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</si>
  <si>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</si>
  <si>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</si>
  <si>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</si>
  <si>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</si>
  <si>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</si>
  <si>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</si>
  <si>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 xml:space="preserve">        Nr XXX/335/2008</t>
  </si>
  <si>
    <t xml:space="preserve">        po zmianach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</si>
  <si>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</si>
  <si>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</si>
  <si>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</si>
  <si>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</si>
  <si>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</si>
  <si>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</si>
  <si>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</si>
  <si>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</si>
  <si>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</si>
  <si>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</si>
  <si>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</si>
  <si>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</si>
  <si>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</si>
  <si>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Nr XXX / 335 / 2008</t>
  </si>
  <si>
    <t>PROGNOZOWANE  DOCHODY  MIASTA  KOSZALINA  NA  2009   ROK</t>
  </si>
  <si>
    <t>WEDŁUG ŹRÓDEŁ POWSTAWANIA</t>
  </si>
  <si>
    <t>GMINA</t>
  </si>
  <si>
    <t>POWIAT</t>
  </si>
  <si>
    <t>Lp.</t>
  </si>
  <si>
    <t>Struktura            %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</si>
  <si>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</si>
  <si>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</si>
  <si>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</si>
  <si>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</si>
  <si>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</si>
  <si>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</si>
  <si>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</si>
  <si>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</si>
  <si>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</si>
  <si>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</si>
  <si>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</si>
  <si>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</si>
  <si>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</si>
  <si>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</si>
  <si>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</si>
  <si>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</si>
  <si>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</si>
  <si>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</si>
  <si>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</si>
  <si>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</si>
  <si>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</si>
  <si>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</si>
  <si>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</si>
  <si>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</si>
  <si>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</si>
  <si>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</si>
  <si>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</si>
  <si>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</si>
  <si>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</si>
  <si>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</si>
  <si>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</si>
  <si>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</si>
  <si>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 - bieżące</t>
  </si>
  <si>
    <t xml:space="preserve"> - majątkowe</t>
  </si>
  <si>
    <t>z tego:     bieżące</t>
  </si>
  <si>
    <t xml:space="preserve">                  majątkowe</t>
  </si>
  <si>
    <t>Załącznik nr  3  do Uchwały</t>
  </si>
  <si>
    <t>PROGNOZOWANE  DOCHODY   MIASTA  KOSZALINA  NA  2009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</si>
  <si>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</si>
  <si>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</si>
  <si>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</si>
  <si>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</si>
  <si>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</si>
  <si>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</si>
  <si>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</si>
  <si>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</si>
  <si>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</si>
  <si>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</si>
  <si>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</si>
  <si>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</si>
  <si>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</si>
  <si>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</si>
  <si>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</si>
  <si>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</si>
  <si>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</si>
  <si>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</si>
  <si>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`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</si>
  <si>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</si>
  <si>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</si>
  <si>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</si>
  <si>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4  do Uchwały</t>
  </si>
  <si>
    <t xml:space="preserve"> WYDATKI  MIASTA KOSZALINA NA   2009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</si>
  <si>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</si>
  <si>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r>
      <t xml:space="preserve">Dział Rozdział    </t>
    </r>
    <r>
      <rPr>
        <sz val="9"/>
        <rFont val="Times New Roman CE"/>
        <family val="1"/>
      </rPr>
      <t xml:space="preserve">         
</t>
    </r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</si>
  <si>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</si>
  <si>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</si>
  <si>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</si>
  <si>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</si>
  <si>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</si>
  <si>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</si>
  <si>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</si>
  <si>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</si>
  <si>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</si>
  <si>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</si>
  <si>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</si>
  <si>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</si>
  <si>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</si>
  <si>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</si>
  <si>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</si>
  <si>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</si>
  <si>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</si>
  <si>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</si>
  <si>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</si>
  <si>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</si>
  <si>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</si>
  <si>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</si>
  <si>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</si>
  <si>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</si>
  <si>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</si>
  <si>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</si>
  <si>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</si>
  <si>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</si>
  <si>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</si>
  <si>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</si>
  <si>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</si>
  <si>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</si>
  <si>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</si>
  <si>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</si>
  <si>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</si>
  <si>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</si>
  <si>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</si>
  <si>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</si>
  <si>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</si>
  <si>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</si>
  <si>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</si>
  <si>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</si>
  <si>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</si>
  <si>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</si>
  <si>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</si>
  <si>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</si>
  <si>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</si>
  <si>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</si>
  <si>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</si>
  <si>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</si>
  <si>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</si>
  <si>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</si>
  <si>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</si>
  <si>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</si>
  <si>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</si>
  <si>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</si>
  <si>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</si>
  <si>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</si>
  <si>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</si>
  <si>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</si>
  <si>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</si>
  <si>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</si>
  <si>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</si>
  <si>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</si>
  <si>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</si>
  <si>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</si>
  <si>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</si>
  <si>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</si>
  <si>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</si>
  <si>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</si>
  <si>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</si>
  <si>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</si>
  <si>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</si>
  <si>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</si>
  <si>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</si>
  <si>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</si>
  <si>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</si>
  <si>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</si>
  <si>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</si>
  <si>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</si>
  <si>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</si>
  <si>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</si>
  <si>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</si>
  <si>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</si>
  <si>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</si>
  <si>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</si>
  <si>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</si>
  <si>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</si>
  <si>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</si>
  <si>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</si>
  <si>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</si>
  <si>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</si>
  <si>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</si>
  <si>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</si>
  <si>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</si>
  <si>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</si>
  <si>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</si>
  <si>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</si>
  <si>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</si>
  <si>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</si>
  <si>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</si>
  <si>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</si>
  <si>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</si>
  <si>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</si>
  <si>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</si>
  <si>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</si>
  <si>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</si>
  <si>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</si>
  <si>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</si>
  <si>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</si>
  <si>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ul.Saperów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</si>
  <si>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</si>
  <si>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</si>
  <si>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</si>
  <si>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</si>
  <si>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</si>
  <si>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</si>
  <si>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</si>
  <si>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</si>
  <si>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</si>
  <si>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</si>
  <si>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</si>
  <si>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</si>
  <si>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</si>
  <si>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</si>
  <si>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</si>
  <si>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</si>
  <si>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</si>
  <si>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</si>
  <si>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</si>
  <si>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</si>
  <si>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</si>
  <si>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</si>
  <si>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</si>
  <si>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</si>
  <si>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</si>
  <si>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</si>
  <si>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</si>
  <si>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</si>
  <si>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</si>
  <si>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</si>
  <si>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</si>
  <si>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</si>
  <si>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</si>
  <si>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</si>
  <si>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</si>
  <si>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</si>
  <si>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</si>
  <si>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</si>
  <si>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Autor dokumentu: Agnieszka Sulewska</t>
  </si>
  <si>
    <t>Załącznik nr  5  do Uchwały</t>
  </si>
  <si>
    <t xml:space="preserve">WYDATKI   MIASTA  KOSZALINA  NA  2009  ROK </t>
  </si>
  <si>
    <t>według działów klasyfikacji budżetowej</t>
  </si>
  <si>
    <t xml:space="preserve">WYDATKI
OGÓŁEM </t>
  </si>
  <si>
    <t xml:space="preserve">                  Załącznik nr 6 do Uchwały</t>
  </si>
  <si>
    <t xml:space="preserve">PLAN  DOCHODÓW I WYDATKÓW ZADAŃ  ZLECONYCH  GMINIE  
Z  ZAKRESU  ADMINISTRACJI  RZĄDOWEJ                                                                                            NA 2009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</si>
  <si>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</si>
  <si>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</si>
  <si>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</si>
  <si>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</si>
  <si>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</si>
  <si>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 xml:space="preserve">Urzędy naczelnych organów władzy państwowej, kontroli i ochrony prawa </t>
  </si>
  <si>
    <t>75414</t>
  </si>
  <si>
    <t>85203</t>
  </si>
  <si>
    <t>BGW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</si>
  <si>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</si>
  <si>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</si>
  <si>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</si>
  <si>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</si>
  <si>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Autor dokumentu: Sylwia Szpak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</si>
  <si>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</si>
  <si>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2009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</si>
  <si>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</si>
  <si>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</si>
  <si>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</si>
  <si>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</si>
  <si>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</si>
  <si>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</si>
  <si>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</si>
  <si>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</si>
  <si>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</si>
  <si>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</si>
  <si>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</si>
  <si>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</si>
  <si>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</si>
  <si>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t>Modernizacja lokalu użytkowego na mieszkania komunalne na ul.Matejki (100,0 tys. zł)</t>
  </si>
  <si>
    <t>Uzbrojenie terenu pod Słupską Specjalną Strefę Ekonomiczną, Podstrefa Koszalin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</si>
  <si>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</si>
  <si>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</si>
  <si>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</si>
  <si>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</si>
  <si>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</si>
  <si>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</si>
  <si>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</si>
  <si>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</si>
  <si>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</si>
  <si>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</si>
  <si>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</si>
  <si>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</si>
  <si>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</si>
  <si>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2009 ROK</t>
  </si>
  <si>
    <t>Wyszczególnienie</t>
  </si>
  <si>
    <t>71035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</si>
  <si>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</si>
  <si>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</si>
  <si>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</si>
  <si>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2009 ROK </t>
  </si>
  <si>
    <t xml:space="preserve">ADMINISTRACJA PUBLICZNA </t>
  </si>
  <si>
    <t xml:space="preserve">                         Załącznik nr 10 do Uchwały</t>
  </si>
  <si>
    <t xml:space="preserve">PLAN  DOTACJI  NA  ZADANIA  REALIZOWANE  </t>
  </si>
  <si>
    <t xml:space="preserve">  NA  PODSTAWIE  POROZUMIEŃ  </t>
  </si>
  <si>
    <t xml:space="preserve">                                              Z  JEDNOSTKAMI   SAMORZĄDU  TERYTORIALNEGO                                            </t>
  </si>
  <si>
    <t xml:space="preserve">NA  2009 ROK     </t>
  </si>
  <si>
    <t>DOTACJE</t>
  </si>
  <si>
    <t>OTRZYMANE</t>
  </si>
  <si>
    <t>UDZIELONE</t>
  </si>
  <si>
    <t xml:space="preserve">Starostwa powiatowe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</si>
  <si>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</si>
  <si>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</si>
  <si>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</si>
  <si>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</si>
  <si>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</si>
  <si>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</si>
  <si>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</si>
  <si>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</si>
  <si>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</si>
  <si>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</si>
  <si>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</si>
  <si>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</si>
  <si>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</si>
  <si>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</si>
  <si>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</si>
  <si>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</si>
  <si>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</si>
  <si>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</si>
  <si>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</si>
  <si>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</si>
  <si>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</si>
  <si>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</si>
  <si>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</si>
  <si>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</si>
  <si>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</si>
  <si>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</si>
  <si>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</si>
  <si>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</si>
  <si>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</si>
  <si>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</si>
  <si>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</si>
  <si>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</si>
  <si>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</si>
  <si>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</si>
  <si>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</si>
  <si>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</si>
  <si>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</si>
  <si>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</si>
  <si>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</si>
  <si>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</si>
  <si>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</si>
  <si>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</si>
  <si>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</si>
  <si>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</si>
  <si>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</si>
  <si>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</si>
  <si>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</si>
  <si>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</si>
  <si>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do Uchwały</t>
  </si>
  <si>
    <t xml:space="preserve">PLAN  DOTACJI  UDZIELANYCH  Z  BUDŻETU  MIASTA  </t>
  </si>
  <si>
    <t xml:space="preserve"> NA  REALIZACJĘ  ZADAŃ  PUBLICZNYCH                                                                                W  2009 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</si>
  <si>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</si>
  <si>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</si>
  <si>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</si>
  <si>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stan na 30.11.2009 r.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</si>
  <si>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</si>
  <si>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</si>
  <si>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</si>
  <si>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</si>
  <si>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</si>
  <si>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</si>
  <si>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</si>
  <si>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</si>
  <si>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>Dotacje celowe z budżetu na finansowanie lub dofinansowanie kosztów realizacji inwestycji i zakupów inwestycyjnych zakładów budżetowych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</si>
  <si>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</si>
  <si>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</si>
  <si>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</si>
  <si>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</si>
  <si>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</si>
  <si>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</si>
  <si>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</si>
  <si>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</si>
  <si>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</si>
  <si>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</si>
  <si>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</si>
  <si>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</si>
  <si>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Pozostałe działania z zakresu kultury</t>
  </si>
  <si>
    <t xml:space="preserve">Teatry </t>
  </si>
  <si>
    <t>Dotacja podmiotowa z budżetu dla samorządowej instytucji kultury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</si>
  <si>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</si>
  <si>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</si>
  <si>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</si>
  <si>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</si>
  <si>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</si>
  <si>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</si>
  <si>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2009  ROK</t>
  </si>
  <si>
    <t>Lp</t>
  </si>
  <si>
    <t>Stan środków obrotowych 
na początek roku</t>
  </si>
  <si>
    <t>PLAN NA 2009 ROK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</si>
  <si>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</si>
  <si>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</si>
  <si>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</si>
  <si>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</si>
  <si>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</si>
  <si>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</si>
  <si>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</si>
  <si>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 xml:space="preserve">              Załącznik Nr 16 do Uchwały</t>
  </si>
  <si>
    <t xml:space="preserve">              Nr XXX / 335 / 2008</t>
  </si>
  <si>
    <t>85219</t>
  </si>
  <si>
    <t>Europejski Fundusz Rozwoju Regionalnego</t>
  </si>
  <si>
    <t xml:space="preserve">Comenius 2009/2010 "Violence is a climate killer - mentors for a violent - free school" </t>
  </si>
  <si>
    <t xml:space="preserve">Comenius 2009/2010 "Europe is singing"( Europa śpiewa) </t>
  </si>
  <si>
    <t>Comenius 2009/2010 "Europeans: Identical Aimc, Different Ways, Identical HeartsDifferent Feelings" (Identyczne cele, różne drogi, Identyczne serca, różne odczucia)</t>
  </si>
  <si>
    <t xml:space="preserve">Comenius 2009/2010 "School of scouts"( Szkoła skautów) </t>
  </si>
  <si>
    <t xml:space="preserve">Leonardo da Vinci 2009/2010 "Gastrofach"         </t>
  </si>
  <si>
    <t>4177</t>
  </si>
  <si>
    <t>Dotacje celowe przekazane do samorządu województwa na zadania bieżace realizowane na podstawie porozumień z jst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</si>
  <si>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</si>
  <si>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</si>
  <si>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</si>
  <si>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2009 rok</t>
  </si>
  <si>
    <t xml:space="preserve">Plan dochodów                    na 2009 r.    </t>
  </si>
  <si>
    <t xml:space="preserve">Plan wydatków        na 2009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</si>
  <si>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</si>
  <si>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</si>
  <si>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</si>
  <si>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</si>
  <si>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</si>
  <si>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</si>
  <si>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</si>
  <si>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</si>
  <si>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</si>
  <si>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</si>
  <si>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</si>
  <si>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</si>
  <si>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r>
      <t xml:space="preserve">Uzbrojenie osiedla Wenedów </t>
    </r>
    <r>
      <rPr>
        <i/>
        <sz val="9"/>
        <rFont val="Times New Roman CE"/>
        <family val="1"/>
      </rPr>
      <t>(wykonanie metryki przejazdowej kolejki wąskotorowej przy ul.Wenedów)</t>
    </r>
  </si>
  <si>
    <t>Budowa hali widowiskowo - sportowej</t>
  </si>
  <si>
    <t>Dokumentacja projektowa i techniczna Centrum Powiadamiania Ratunkowego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</si>
  <si>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</si>
  <si>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</si>
  <si>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</si>
  <si>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</si>
  <si>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</si>
  <si>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</si>
  <si>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</si>
  <si>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</si>
  <si>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</si>
  <si>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</si>
  <si>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</si>
  <si>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</si>
  <si>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</si>
  <si>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</si>
  <si>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</si>
  <si>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</si>
  <si>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</si>
  <si>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</si>
  <si>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</si>
  <si>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</si>
  <si>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</si>
  <si>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Autor dokumentu:Agnieszka Sulewska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</si>
  <si>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</si>
  <si>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</si>
  <si>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</si>
  <si>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2009   ROK</t>
  </si>
  <si>
    <t>Stan środków obrotowych na
 01-01-2009r.</t>
  </si>
  <si>
    <t xml:space="preserve">Przychody </t>
  </si>
  <si>
    <t>Przychody ogółem</t>
  </si>
  <si>
    <t>Wydatki ogółem</t>
  </si>
  <si>
    <t>Stan środków obrotowych na 
31-12-2009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</si>
  <si>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</si>
  <si>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</si>
  <si>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</si>
  <si>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</si>
  <si>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</si>
  <si>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</si>
  <si>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</si>
  <si>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</si>
  <si>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</si>
  <si>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Boiska sportowe w ramach Programu "Moje boisko - ORLIK 2012"</t>
  </si>
  <si>
    <t>Ośrodek Adopcyjno-Opiekuńczy</t>
  </si>
  <si>
    <t>5.</t>
  </si>
  <si>
    <t>Miejski Ośrodek Pomocy Społecznej</t>
  </si>
  <si>
    <t xml:space="preserve">       OGÓŁEM</t>
  </si>
  <si>
    <t>Boisko sportowe przy Szkole Podstawowej nr 10</t>
  </si>
  <si>
    <t>Boisko sportowe przy Szkole Podstawowej nr 17</t>
  </si>
  <si>
    <t>Łącznik budynku II LO im.W. Broniewskiego</t>
  </si>
  <si>
    <t>Pomoc materialna dla studentów i doktorantów</t>
  </si>
  <si>
    <t>Dotacja podmiotowa z budżetu dla uczelni publicznej</t>
  </si>
  <si>
    <t>Rewitalizacja zabytkowych parków miejskich</t>
  </si>
  <si>
    <t>Przebudowa ul.Zawiszy Czarnego, ul.Dąbrówki, Ks.Anastazji, K.Wielkiego, M.Ludwiki, Bogusława II - go</t>
  </si>
  <si>
    <t>Rozbudowa oddziału żłobka „Maluch” przy ul. Jagoszewskiego (dokumentacja projektowo – kosztorysowa oraz inwentaryzacja budynku )</t>
  </si>
  <si>
    <r>
      <t xml:space="preserve">Przebudowa ul.Syrenki i ul. Gdańskiej </t>
    </r>
    <r>
      <rPr>
        <i/>
        <sz val="8"/>
        <rFont val="Times New Roman CE"/>
        <family val="1"/>
      </rPr>
      <t>(zmiana nazwy z ul.Gdańska)</t>
    </r>
  </si>
  <si>
    <t>Zakup środków żywności</t>
  </si>
  <si>
    <t>Zakup akcesoriów komputerowych, w tym programów i licencji</t>
  </si>
  <si>
    <t>ul. Kamieniarska</t>
  </si>
  <si>
    <t>stan na 31.10.2009 r.</t>
  </si>
  <si>
    <t>Remonty placów zabaw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</si>
  <si>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</si>
  <si>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</si>
  <si>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"Program Comenius - Partnerskie projekty szkół"</t>
  </si>
  <si>
    <t>Zakup materiałów papierniczych i wyposażenia</t>
  </si>
  <si>
    <t>Zakup akcesoriów komputerowych, wtym programów i licencji</t>
  </si>
  <si>
    <t>Uzbrojenie terenu pod Słupską Specjalną Strefę Ekonomiczną, Kompleks Koszalin - drogi</t>
  </si>
  <si>
    <t>2014</t>
  </si>
  <si>
    <t>Budowa sieci teleinformatycznej</t>
  </si>
  <si>
    <t>Wybory do Parlamentu Europejskiego</t>
  </si>
  <si>
    <t>75113</t>
  </si>
  <si>
    <t>Dotacje celowe z budżetu na finansowanie lub dofinansowanie kosztów realizacj iinwestycji i zakupów inwestycyjnych innych jednostek sektora finansów publicznych</t>
  </si>
  <si>
    <t>Dotacja celowa na pomoc finansową udzielaną między j.s.t. na dofinansowanie własnych zadań inwestycyjnych i zakupów inwestycyjnych</t>
  </si>
  <si>
    <t>Dotacje celowe z budżetu na finansowanie lub dofinansowanie kosztów realizacji inwestycji i zakupów inwestycyjnych jednostek niezaliczanych do sektora finansów publicznych</t>
  </si>
  <si>
    <t>Odpisy na ZFŚS</t>
  </si>
  <si>
    <t>"XIV Festiwal Młodzieży Euroregionu Pomerania - Koszalin 2009"</t>
  </si>
  <si>
    <t>INTERREG IV A
Wspólny Sekretariat Techniczny w Locknitz
Euroregion Pomerania: Szczecin. Loecknitz, Skania</t>
  </si>
  <si>
    <t xml:space="preserve">Zakup usług pozostałych </t>
  </si>
  <si>
    <t>Centralne sterowanie ruchem ulicznym</t>
  </si>
  <si>
    <t>Dotacja celowa  dla Gminy Sianów na realizację inwestycji ograniczającej uciążliwość wysypiska odpadów komunalnych.</t>
  </si>
  <si>
    <r>
      <t xml:space="preserve">Podatek dochodowy od osób </t>
    </r>
    <r>
      <rPr>
        <b/>
        <sz val="10"/>
        <rFont val="Times New Roman"/>
        <family val="1"/>
      </rPr>
      <t>fizycznych</t>
    </r>
  </si>
  <si>
    <r>
      <t xml:space="preserve">Podatek dochodowy od osób </t>
    </r>
    <r>
      <rPr>
        <b/>
        <sz val="10"/>
        <rFont val="Times New Roman"/>
        <family val="1"/>
      </rPr>
      <t>prawnych</t>
    </r>
  </si>
  <si>
    <r>
      <t xml:space="preserve">ŚRODKI ZEWNĘTRZNE - UNIJNE   </t>
    </r>
    <r>
      <rPr>
        <sz val="10"/>
        <rFont val="Times New Roman CE"/>
        <family val="0"/>
      </rPr>
      <t xml:space="preserve"> z tego: </t>
    </r>
  </si>
  <si>
    <r>
      <t xml:space="preserve">Na zadania </t>
    </r>
    <r>
      <rPr>
        <b/>
        <sz val="10"/>
        <rFont val="Times New Roman"/>
        <family val="1"/>
      </rPr>
      <t xml:space="preserve">własne </t>
    </r>
    <r>
      <rPr>
        <sz val="10"/>
        <rFont val="Times New Roman"/>
        <family val="1"/>
      </rPr>
      <t xml:space="preserve"> (z budżetu państwa,  gmin,   powiatów,  funduszy celowych), z tego:</t>
    </r>
  </si>
  <si>
    <r>
      <t xml:space="preserve">Na zadania </t>
    </r>
    <r>
      <rPr>
        <b/>
        <sz val="10"/>
        <rFont val="Times New Roman"/>
        <family val="1"/>
      </rPr>
      <t>zlecone</t>
    </r>
    <r>
      <rPr>
        <sz val="10"/>
        <rFont val="Times New Roman"/>
        <family val="1"/>
      </rPr>
      <t xml:space="preserve"> (z budżetu państwa)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z tego:</t>
    </r>
  </si>
  <si>
    <t>DOCHODY OGÓŁEM   A+B+C+D</t>
  </si>
  <si>
    <t>92108</t>
  </si>
  <si>
    <t>75495</t>
  </si>
  <si>
    <t>Schronisko dla zwierząt</t>
  </si>
  <si>
    <t>Budowa parkingu przy ul. Budowniczych wraz z przebudową ulicy</t>
  </si>
  <si>
    <t>"Bezpieczny i inteligentny Koszalin" - System Monitoringu Wizyjnego</t>
  </si>
  <si>
    <t>Monitoring boisk sportowych SP 10 i 17</t>
  </si>
  <si>
    <t>Budowa dwóch podjazdów oraz dostosowanie toalet do potrzeb osób niepełnosprawnych w budynku NFOZ</t>
  </si>
  <si>
    <t>Boiska sportowe przy Szkole Podstawowej nr 18</t>
  </si>
  <si>
    <t>Przebudowa ul.Niepodległości</t>
  </si>
  <si>
    <t>Przebudowa ul.Paproci i Wrzosów</t>
  </si>
  <si>
    <t>Chodniki i drogi ul.Żeromskiego 22-60</t>
  </si>
  <si>
    <t>92106</t>
  </si>
  <si>
    <t xml:space="preserve">PRZEZ  GMINĘ  I  POWIAT </t>
  </si>
  <si>
    <t>4210</t>
  </si>
  <si>
    <t>4248</t>
  </si>
  <si>
    <t>Zakup pomocy naukowych dydaktycznych i książek</t>
  </si>
  <si>
    <t>4249</t>
  </si>
  <si>
    <t>RWZ</t>
  </si>
  <si>
    <t>Elewacja budynku II LO im.W. Broniewskiego</t>
  </si>
  <si>
    <t>Uzbrojenie Osiedla Wilkowo</t>
  </si>
  <si>
    <t>Różne rozliczenia finansowe</t>
  </si>
  <si>
    <t xml:space="preserve">BUDŻET  </t>
  </si>
  <si>
    <t>BUDŻET</t>
  </si>
  <si>
    <t>Gospodarka odpadami</t>
  </si>
  <si>
    <t>Powiatowe urzędy pracy</t>
  </si>
  <si>
    <t>Termomodernizacja budynków oświatowych w Gminie Miasto Koszalin</t>
  </si>
  <si>
    <t>System gospodarki odpadami oraz budowa zakładu termicznego przekształcania odpadów dla miast i gmin Pomorza Środkowego</t>
  </si>
  <si>
    <t>INW</t>
  </si>
  <si>
    <t>INW, KS</t>
  </si>
  <si>
    <t>INW, ZDM</t>
  </si>
  <si>
    <t>Modernizacja  boisk sportowych</t>
  </si>
  <si>
    <r>
      <t>Na zadania realizowane na podstawie</t>
    </r>
    <r>
      <rPr>
        <b/>
        <sz val="10"/>
        <rFont val="Times New Roman"/>
        <family val="1"/>
      </rPr>
      <t xml:space="preserve"> porozumień </t>
    </r>
    <r>
      <rPr>
        <sz val="10"/>
        <rFont val="Times New Roman"/>
        <family val="1"/>
      </rPr>
      <t>z organami administracji rządowej, z tego:</t>
    </r>
  </si>
  <si>
    <t>Komendy Powiatowe Państwowej Straży Pożarnej</t>
  </si>
  <si>
    <t>80195</t>
  </si>
  <si>
    <t>Dotacja celowa na pomoc finansową udzielana między jst na dofinansowanie własnych zadan inwestycyjnych i zakupów inwestycyjnych</t>
  </si>
  <si>
    <t>dotacje celowe przekazane dla powiatu na zadania bieżace realizowane na podstwie porozumien między jst</t>
  </si>
  <si>
    <t>"Prezentacje gospodarcze na obszarze Euroregionu Pomerania Schwedt/n. Odrą Koszalin 2009do 2011"</t>
  </si>
  <si>
    <t>"Przeciwdziałanie wykluczeniu cyfrowemu uczniów koszalińskichh szkół"</t>
  </si>
  <si>
    <t xml:space="preserve">
 Zachodniopomorski Urząd Wojewódzki,
Urząd Miejski Koszalin</t>
  </si>
  <si>
    <t>INW, E</t>
  </si>
  <si>
    <t>INW, N</t>
  </si>
  <si>
    <t>Przebudowa i remont Parku Osiedlowego ABC położonego przy ul.M. Wańkowicza</t>
  </si>
  <si>
    <t>Budowa parkingu przy Starostwie Powiatowym</t>
  </si>
  <si>
    <t>"Europejski fundusz stypendialny dla uczniów szkół popnadgimnazjalnych w Koszalinie 2009"</t>
  </si>
  <si>
    <t>3248</t>
  </si>
  <si>
    <t>Stypendia dla uczniów</t>
  </si>
  <si>
    <t>3249</t>
  </si>
  <si>
    <t>4170</t>
  </si>
  <si>
    <t>Zakup usług zdrowotnych</t>
  </si>
  <si>
    <t>Zakup usług dostępu do sieci Internet</t>
  </si>
  <si>
    <t>Świadczenia społeczne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</si>
  <si>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</si>
  <si>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</si>
  <si>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</si>
  <si>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</si>
  <si>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</si>
  <si>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>Plan                                           2009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</si>
  <si>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</si>
  <si>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</si>
  <si>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</si>
  <si>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</si>
  <si>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</si>
  <si>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</si>
  <si>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Nr XXX/335/2008</t>
  </si>
  <si>
    <t>po zmianach</t>
  </si>
  <si>
    <t xml:space="preserve"> -   na zadania bieżące</t>
  </si>
  <si>
    <t xml:space="preserve"> -   na zadania majątkowe</t>
  </si>
  <si>
    <t>majątkowe</t>
  </si>
  <si>
    <t>Uzupełnienie subwencji ogólnej</t>
  </si>
  <si>
    <t xml:space="preserve">DOTACJE I WPŁYWY CELOWE </t>
  </si>
  <si>
    <t xml:space="preserve">        </t>
  </si>
  <si>
    <t>bieżące</t>
  </si>
  <si>
    <t xml:space="preserve">                  Nr XXX/335/2008</t>
  </si>
  <si>
    <t xml:space="preserve">                  po zmianach</t>
  </si>
  <si>
    <t xml:space="preserve">                   po zmianach</t>
  </si>
  <si>
    <t xml:space="preserve">                         Nr XXX/335/2008</t>
  </si>
  <si>
    <t xml:space="preserve">                          po zmianach</t>
  </si>
  <si>
    <t xml:space="preserve">NA   2008   ROK </t>
  </si>
  <si>
    <t>Nr  XXX / 335 / 2008</t>
  </si>
  <si>
    <t>JEDNOSTEK POMOCNICZYCH  - RAD OSIEDLI                                                                                     NA 2009 ROK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</si>
  <si>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</si>
  <si>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</si>
  <si>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</si>
  <si>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</si>
  <si>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</si>
  <si>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</si>
  <si>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Dotacje celowe przekazane do samorządu województwa na zadania bieżące realizowane na podstawie porozumień z jst</t>
  </si>
  <si>
    <t>Dotacja celowa z budżetu dla jednostek niezaliczanych do sektora finansów publicznych realizujących projekty finansowane z udziałem środków z budżetu UE</t>
  </si>
  <si>
    <t>PRZYCHODY WŁASNE</t>
  </si>
  <si>
    <t xml:space="preserve">              po zmianach</t>
  </si>
  <si>
    <t>Dotacje celowe przekazane do samorząduwojewództwa na zadania bieżace realizowane na podstawie porozumień z jst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</si>
  <si>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</si>
  <si>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</si>
  <si>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</si>
  <si>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2009 - 2011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</si>
  <si>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</si>
  <si>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</si>
  <si>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</si>
  <si>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</si>
  <si>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</si>
  <si>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</si>
  <si>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</si>
  <si>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</si>
  <si>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</si>
  <si>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</si>
  <si>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</si>
  <si>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2009 r.</t>
  </si>
  <si>
    <t>2010 r.</t>
  </si>
  <si>
    <t>2011 r.</t>
  </si>
  <si>
    <t xml:space="preserve">INWESTYCJE KONTYNUOWANE </t>
  </si>
  <si>
    <t>Ewidencja dróg</t>
  </si>
  <si>
    <t>ZDM</t>
  </si>
  <si>
    <t>Remomt ul. Kędzierzyńskiej</t>
  </si>
  <si>
    <t xml:space="preserve">Remont odcinka ul. Zwycięstwa </t>
  </si>
  <si>
    <t>ul. Kwiatkowskiego</t>
  </si>
  <si>
    <t>2009</t>
  </si>
  <si>
    <t>Remont obiektów mostowych (ul.Monte Cassino)</t>
  </si>
  <si>
    <t>2011</t>
  </si>
  <si>
    <t>Remont skrzyżowania ulic Monte Cassino - Fałata</t>
  </si>
  <si>
    <t>ul.Mieszka I-go (od ul.BOWiD do wiaduktu)</t>
  </si>
  <si>
    <t>Dokumentacja pod przyszłe inwestycje i remonty</t>
  </si>
  <si>
    <t>ciągle</t>
  </si>
  <si>
    <t>ul.Lutyków, ul.Obotrytów, ul.P.Skargi, ul.Łużycka, ul.Poprzeczna</t>
  </si>
  <si>
    <t>ul.Reymonta, ul.Staffa, Struga, Tetmajera, Żeromskiego</t>
  </si>
  <si>
    <t>Przebudowa ul.Brzozowej</t>
  </si>
  <si>
    <t>Remont odcinka ul.Bursztynowej</t>
  </si>
  <si>
    <t>Przebudowa ul.Wenedów</t>
  </si>
  <si>
    <t>Osiedle Bukowe - drogi</t>
  </si>
  <si>
    <t>po 2011</t>
  </si>
  <si>
    <t>Osiedle "Topolowe"- drogi</t>
  </si>
  <si>
    <t>ul.Kosynierów</t>
  </si>
  <si>
    <t xml:space="preserve">Dokumentacja pod przyszłe inwestycje </t>
  </si>
  <si>
    <t>Remont nawierzchni placu przy ul.Połczyńskiej 24</t>
  </si>
  <si>
    <t>Przebudowa Rynku Staromiejskiego</t>
  </si>
  <si>
    <t>Inf</t>
  </si>
  <si>
    <t>Budownictwo mieszkaniowe</t>
  </si>
  <si>
    <t>Rozbudowa Cmentarza Komunalnego</t>
  </si>
  <si>
    <t>OA</t>
  </si>
  <si>
    <t>Modernizacja budynku Straży Pożarnej</t>
  </si>
  <si>
    <t>ZK</t>
  </si>
  <si>
    <t>Rezerwa na inwestycje zakończone</t>
  </si>
  <si>
    <t>Rozbudowa sieci oświetleniowej - drogi krajowe, wojewódzkie i powiatowe</t>
  </si>
  <si>
    <t>Rozbudowa sieci oświetleniowej - drogi gminne</t>
  </si>
  <si>
    <t>Budowa szaletów miejskich</t>
  </si>
  <si>
    <t>Kolektor północny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</si>
  <si>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</si>
  <si>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</si>
  <si>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</si>
  <si>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</si>
  <si>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 xml:space="preserve">Modernizacja stadionu "Bałtyk" </t>
  </si>
  <si>
    <t xml:space="preserve">INWESTYCJE ROZPOCZYNANE </t>
  </si>
  <si>
    <t>Dokumentacja na modernizację nawierzchni targowiska przy ul.Połczyńskiej</t>
  </si>
  <si>
    <t>Skrzyżowanie ulic: A.Krajowej - Boh. Warszawy - Morskiej</t>
  </si>
  <si>
    <t>2010</t>
  </si>
  <si>
    <t>ul. Młyńska</t>
  </si>
  <si>
    <t>ul. Połczyńska (odcinek od ul.Działkowej do ul.Żytniej)</t>
  </si>
  <si>
    <t>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</si>
</sst>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75">
    <font>
      <sz val="10"/>
      <name val="Arial CE"/>
      <family val="0"/>
    </font>
    <font>
      <sz val="8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b/>
      <sz val="13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  <font>
      <b/>
      <sz val="11"/>
      <name val="Arial CE"/>
      <family val="0"/>
    </font>
    <font>
      <b/>
      <sz val="11"/>
      <name val="Times New Roman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1"/>
      <name val="Times New Roman"/>
      <family val="1"/>
    </font>
    <font>
      <b/>
      <sz val="12"/>
      <name val="Times New Roman"/>
      <family val="0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>
      <alignment/>
      <protection/>
    </xf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164" fontId="2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5" xfId="0" applyFont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3" fontId="17" fillId="0" borderId="8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horizontal="right" vertical="center"/>
      <protection/>
    </xf>
    <xf numFmtId="3" fontId="17" fillId="0" borderId="12" xfId="0" applyNumberFormat="1" applyFont="1" applyFill="1" applyBorder="1" applyAlignment="1" applyProtection="1">
      <alignment horizontal="right" vertical="center"/>
      <protection/>
    </xf>
    <xf numFmtId="3" fontId="17" fillId="0" borderId="13" xfId="0" applyNumberFormat="1" applyFont="1" applyFill="1" applyBorder="1" applyAlignment="1" applyProtection="1">
      <alignment horizontal="right" vertical="center"/>
      <protection/>
    </xf>
    <xf numFmtId="3" fontId="17" fillId="0" borderId="14" xfId="0" applyNumberFormat="1" applyFont="1" applyFill="1" applyBorder="1" applyAlignment="1" applyProtection="1">
      <alignment horizontal="right" vertical="center"/>
      <protection/>
    </xf>
    <xf numFmtId="3" fontId="17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3" fontId="17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19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7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3" fontId="12" fillId="0" borderId="9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3" fontId="12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4" fontId="2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2" fillId="0" borderId="0" xfId="0" applyFont="1" applyAlignment="1">
      <alignment horizontal="centerContinuous"/>
    </xf>
    <xf numFmtId="4" fontId="22" fillId="0" borderId="0" xfId="0" applyNumberFormat="1" applyFont="1" applyAlignment="1">
      <alignment horizontal="centerContinuous" vertical="top"/>
    </xf>
    <xf numFmtId="4" fontId="25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4" fontId="22" fillId="0" borderId="0" xfId="0" applyNumberFormat="1" applyFont="1" applyBorder="1" applyAlignment="1">
      <alignment horizontal="centerContinuous" vertical="top"/>
    </xf>
    <xf numFmtId="0" fontId="24" fillId="0" borderId="30" xfId="0" applyFont="1" applyBorder="1" applyAlignment="1">
      <alignment horizontal="centerContinuous" vertical="center" wrapText="1"/>
    </xf>
    <xf numFmtId="4" fontId="24" fillId="0" borderId="26" xfId="0" applyNumberFormat="1" applyFont="1" applyBorder="1" applyAlignment="1">
      <alignment horizontal="centerContinuous" vertical="center" wrapText="1"/>
    </xf>
    <xf numFmtId="0" fontId="24" fillId="0" borderId="31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5" fontId="24" fillId="0" borderId="0" xfId="0" applyNumberFormat="1" applyFont="1" applyAlignment="1">
      <alignment vertical="center"/>
    </xf>
    <xf numFmtId="3" fontId="24" fillId="0" borderId="33" xfId="0" applyNumberFormat="1" applyFont="1" applyBorder="1" applyAlignment="1">
      <alignment horizontal="right" vertical="center" wrapText="1"/>
    </xf>
    <xf numFmtId="3" fontId="24" fillId="0" borderId="34" xfId="0" applyNumberFormat="1" applyFont="1" applyBorder="1" applyAlignment="1">
      <alignment horizontal="right" vertical="center" wrapText="1"/>
    </xf>
    <xf numFmtId="3" fontId="24" fillId="0" borderId="35" xfId="0" applyNumberFormat="1" applyFont="1" applyBorder="1" applyAlignment="1">
      <alignment vertical="center" wrapText="1"/>
    </xf>
    <xf numFmtId="3" fontId="24" fillId="0" borderId="36" xfId="0" applyNumberFormat="1" applyFont="1" applyBorder="1" applyAlignment="1">
      <alignment horizontal="right" vertical="center" wrapText="1"/>
    </xf>
    <xf numFmtId="3" fontId="24" fillId="0" borderId="3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9" fontId="13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>
      <alignment/>
    </xf>
    <xf numFmtId="165" fontId="28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" fontId="34" fillId="0" borderId="0" xfId="0" applyNumberFormat="1" applyFont="1" applyFill="1" applyBorder="1" applyAlignment="1" applyProtection="1">
      <alignment horizontal="right" vertical="center"/>
      <protection locked="0"/>
    </xf>
    <xf numFmtId="1" fontId="35" fillId="0" borderId="0" xfId="0" applyNumberFormat="1" applyFont="1" applyFill="1" applyBorder="1" applyAlignment="1" applyProtection="1">
      <alignment horizontal="fill" vertical="center"/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  <xf numFmtId="165" fontId="37" fillId="0" borderId="0" xfId="0" applyNumberFormat="1" applyFont="1" applyAlignment="1">
      <alignment/>
    </xf>
    <xf numFmtId="0" fontId="34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fill" vertical="center"/>
      <protection locked="0"/>
    </xf>
    <xf numFmtId="1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wrapText="1"/>
      <protection locked="0"/>
    </xf>
    <xf numFmtId="0" fontId="21" fillId="0" borderId="34" xfId="0" applyNumberFormat="1" applyFont="1" applyFill="1" applyBorder="1" applyAlignment="1" applyProtection="1">
      <alignment horizontal="center" wrapText="1"/>
      <protection locked="0"/>
    </xf>
    <xf numFmtId="0" fontId="5" fillId="0" borderId="35" xfId="0" applyNumberFormat="1" applyFont="1" applyFill="1" applyBorder="1" applyAlignment="1" applyProtection="1">
      <alignment horizontal="center" wrapText="1"/>
      <protection locked="0"/>
    </xf>
    <xf numFmtId="166" fontId="9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38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166" fontId="39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0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13" fillId="0" borderId="45" xfId="0" applyNumberFormat="1" applyFont="1" applyFill="1" applyBorder="1" applyAlignment="1" applyProtection="1">
      <alignment vertical="center" wrapText="1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42" xfId="0" applyNumberFormat="1" applyFont="1" applyFill="1" applyBorder="1" applyAlignment="1" applyProtection="1">
      <alignment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13" fillId="0" borderId="40" xfId="0" applyNumberFormat="1" applyFont="1" applyFill="1" applyBorder="1" applyAlignment="1" applyProtection="1">
      <alignment/>
      <protection locked="0"/>
    </xf>
    <xf numFmtId="0" fontId="13" fillId="0" borderId="41" xfId="0" applyNumberFormat="1" applyFont="1" applyFill="1" applyBorder="1" applyAlignment="1" applyProtection="1">
      <alignment/>
      <protection locked="0"/>
    </xf>
    <xf numFmtId="0" fontId="13" fillId="0" borderId="42" xfId="0" applyNumberFormat="1" applyFont="1" applyFill="1" applyBorder="1" applyAlignment="1" applyProtection="1">
      <alignment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0" fontId="21" fillId="0" borderId="48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35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49" fontId="13" fillId="0" borderId="49" xfId="0" applyNumberFormat="1" applyFont="1" applyFill="1" applyBorder="1" applyAlignment="1" applyProtection="1">
      <alignment horizontal="centerContinuous" vertical="center"/>
      <protection locked="0"/>
    </xf>
    <xf numFmtId="0" fontId="5" fillId="0" borderId="50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" fontId="4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35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1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41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54" xfId="0" applyNumberFormat="1" applyFont="1" applyFill="1" applyBorder="1" applyAlignment="1" applyProtection="1">
      <alignment horizontal="centerContinuous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21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2" xfId="0" applyNumberFormat="1" applyFont="1" applyFill="1" applyBorder="1" applyAlignment="1" applyProtection="1">
      <alignment horizontal="center" vertical="center"/>
      <protection locked="0"/>
    </xf>
    <xf numFmtId="3" fontId="12" fillId="0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>
      <alignment/>
    </xf>
    <xf numFmtId="49" fontId="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3" xfId="21" applyNumberFormat="1" applyFont="1" applyFill="1" applyBorder="1" applyAlignment="1" applyProtection="1">
      <alignment vertical="center" wrapText="1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1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63" xfId="0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7" fillId="0" borderId="64" xfId="0" applyNumberFormat="1" applyFont="1" applyFill="1" applyBorder="1" applyAlignment="1" applyProtection="1">
      <alignment vertical="center"/>
      <protection locked="0"/>
    </xf>
    <xf numFmtId="3" fontId="42" fillId="0" borderId="65" xfId="0" applyNumberFormat="1" applyFont="1" applyFill="1" applyBorder="1" applyAlignment="1" applyProtection="1">
      <alignment vertical="center"/>
      <protection locked="0"/>
    </xf>
    <xf numFmtId="3" fontId="42" fillId="0" borderId="64" xfId="0" applyNumberFormat="1" applyFont="1" applyFill="1" applyBorder="1" applyAlignment="1" applyProtection="1">
      <alignment vertical="center"/>
      <protection locked="0"/>
    </xf>
    <xf numFmtId="3" fontId="42" fillId="0" borderId="1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49" fontId="13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66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Border="1" applyAlignment="1">
      <alignment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65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vertical="center"/>
      <protection locked="0"/>
    </xf>
    <xf numFmtId="3" fontId="13" fillId="0" borderId="68" xfId="0" applyNumberFormat="1" applyFont="1" applyFill="1" applyBorder="1" applyAlignment="1" applyProtection="1">
      <alignment vertical="center"/>
      <protection locked="0"/>
    </xf>
    <xf numFmtId="3" fontId="13" fillId="0" borderId="6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/>
    </xf>
    <xf numFmtId="164" fontId="13" fillId="0" borderId="66" xfId="21" applyNumberFormat="1" applyFont="1" applyFill="1" applyBorder="1" applyAlignment="1" applyProtection="1">
      <alignment horizontal="left" vertical="center" wrapText="1"/>
      <protection locked="0"/>
    </xf>
    <xf numFmtId="4" fontId="13" fillId="0" borderId="67" xfId="0" applyNumberFormat="1" applyFont="1" applyFill="1" applyBorder="1" applyAlignment="1" applyProtection="1">
      <alignment vertical="center"/>
      <protection locked="0"/>
    </xf>
    <xf numFmtId="4" fontId="13" fillId="0" borderId="41" xfId="0" applyNumberFormat="1" applyFont="1" applyFill="1" applyBorder="1" applyAlignment="1" applyProtection="1">
      <alignment vertical="center"/>
      <protection locked="0"/>
    </xf>
    <xf numFmtId="4" fontId="13" fillId="0" borderId="68" xfId="0" applyNumberFormat="1" applyFont="1" applyFill="1" applyBorder="1" applyAlignment="1" applyProtection="1">
      <alignment vertical="center"/>
      <protection locked="0"/>
    </xf>
    <xf numFmtId="4" fontId="13" fillId="0" borderId="69" xfId="0" applyNumberFormat="1" applyFont="1" applyFill="1" applyBorder="1" applyAlignment="1" applyProtection="1">
      <alignment vertical="center"/>
      <protection locked="0"/>
    </xf>
    <xf numFmtId="3" fontId="13" fillId="0" borderId="69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63" xfId="0" applyNumberFormat="1" applyFont="1" applyFill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 applyProtection="1">
      <alignment vertical="center"/>
      <protection locked="0"/>
    </xf>
    <xf numFmtId="4" fontId="4" fillId="0" borderId="64" xfId="0" applyNumberFormat="1" applyFont="1" applyFill="1" applyBorder="1" applyAlignment="1" applyProtection="1">
      <alignment vertical="center"/>
      <protection locked="0"/>
    </xf>
    <xf numFmtId="4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4" fontId="17" fillId="0" borderId="14" xfId="0" applyNumberFormat="1" applyFont="1" applyFill="1" applyBorder="1" applyAlignment="1" applyProtection="1">
      <alignment vertical="center"/>
      <protection locked="0"/>
    </xf>
    <xf numFmtId="4" fontId="17" fillId="0" borderId="64" xfId="0" applyNumberFormat="1" applyFont="1" applyFill="1" applyBorder="1" applyAlignment="1" applyProtection="1">
      <alignment vertical="center"/>
      <protection locked="0"/>
    </xf>
    <xf numFmtId="4" fontId="17" fillId="0" borderId="65" xfId="0" applyNumberFormat="1" applyFont="1" applyFill="1" applyBorder="1" applyAlignment="1" applyProtection="1">
      <alignment vertical="center"/>
      <protection locked="0"/>
    </xf>
    <xf numFmtId="1" fontId="5" fillId="0" borderId="33" xfId="0" applyNumberFormat="1" applyFont="1" applyFill="1" applyBorder="1" applyAlignment="1" applyProtection="1">
      <alignment horizontal="centerContinuous" vertical="center"/>
      <protection locked="0"/>
    </xf>
    <xf numFmtId="1" fontId="13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70" xfId="0" applyNumberFormat="1" applyFont="1" applyFill="1" applyBorder="1" applyAlignment="1" applyProtection="1">
      <alignment vertical="center"/>
      <protection locked="0"/>
    </xf>
    <xf numFmtId="164" fontId="17" fillId="0" borderId="71" xfId="21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3" fontId="5" fillId="0" borderId="73" xfId="0" applyNumberFormat="1" applyFont="1" applyFill="1" applyBorder="1" applyAlignment="1" applyProtection="1">
      <alignment vertical="center"/>
      <protection locked="0"/>
    </xf>
    <xf numFmtId="3" fontId="5" fillId="0" borderId="74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1" fontId="4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42" fillId="0" borderId="14" xfId="0" applyNumberFormat="1" applyFont="1" applyFill="1" applyBorder="1" applyAlignment="1" applyProtection="1">
      <alignment vertical="center"/>
      <protection locked="0"/>
    </xf>
    <xf numFmtId="3" fontId="42" fillId="0" borderId="70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4" fillId="0" borderId="70" xfId="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1" fontId="16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6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1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3" fontId="20" fillId="0" borderId="63" xfId="0" applyNumberFormat="1" applyFont="1" applyFill="1" applyBorder="1" applyAlignment="1" applyProtection="1">
      <alignment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64" xfId="0" applyNumberFormat="1" applyFont="1" applyFill="1" applyBorder="1" applyAlignment="1" applyProtection="1">
      <alignment vertical="center"/>
      <protection locked="0"/>
    </xf>
    <xf numFmtId="3" fontId="20" fillId="0" borderId="65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1" fontId="16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7" fillId="0" borderId="75" xfId="0" applyNumberFormat="1" applyFont="1" applyFill="1" applyBorder="1" applyAlignment="1" applyProtection="1">
      <alignment vertical="center"/>
      <protection locked="0"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3" fontId="18" fillId="0" borderId="76" xfId="0" applyNumberFormat="1" applyFont="1" applyFill="1" applyBorder="1" applyAlignment="1" applyProtection="1">
      <alignment vertical="center"/>
      <protection locked="0"/>
    </xf>
    <xf numFmtId="3" fontId="17" fillId="0" borderId="77" xfId="0" applyNumberFormat="1" applyFont="1" applyFill="1" applyBorder="1" applyAlignment="1" applyProtection="1">
      <alignment vertical="center"/>
      <protection locked="0"/>
    </xf>
    <xf numFmtId="3" fontId="17" fillId="0" borderId="76" xfId="0" applyNumberFormat="1" applyFont="1" applyFill="1" applyBorder="1" applyAlignment="1" applyProtection="1">
      <alignment vertical="center"/>
      <protection locked="0"/>
    </xf>
    <xf numFmtId="3" fontId="17" fillId="0" borderId="78" xfId="0" applyNumberFormat="1" applyFont="1" applyFill="1" applyBorder="1" applyAlignment="1" applyProtection="1">
      <alignment vertical="center"/>
      <protection locked="0"/>
    </xf>
    <xf numFmtId="3" fontId="42" fillId="0" borderId="21" xfId="0" applyNumberFormat="1" applyFont="1" applyFill="1" applyBorder="1" applyAlignment="1" applyProtection="1">
      <alignment vertical="center"/>
      <protection locked="0"/>
    </xf>
    <xf numFmtId="1" fontId="1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71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79" xfId="0" applyNumberFormat="1" applyFont="1" applyFill="1" applyBorder="1" applyAlignment="1" applyProtection="1">
      <alignment horizontal="right" vertical="center"/>
      <protection locked="0"/>
    </xf>
    <xf numFmtId="3" fontId="13" fillId="0" borderId="80" xfId="0" applyNumberFormat="1" applyFont="1" applyFill="1" applyBorder="1" applyAlignment="1" applyProtection="1">
      <alignment horizontal="right" vertical="center"/>
      <protection locked="0"/>
    </xf>
    <xf numFmtId="3" fontId="13" fillId="0" borderId="81" xfId="0" applyNumberFormat="1" applyFont="1" applyFill="1" applyBorder="1" applyAlignment="1" applyProtection="1">
      <alignment horizontal="right" vertical="center"/>
      <protection locked="0"/>
    </xf>
    <xf numFmtId="3" fontId="13" fillId="0" borderId="82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>
      <alignment/>
    </xf>
    <xf numFmtId="1" fontId="17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71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79" xfId="0" applyNumberFormat="1" applyFont="1" applyFill="1" applyBorder="1" applyAlignment="1" applyProtection="1">
      <alignment horizontal="right" vertical="center"/>
      <protection locked="0"/>
    </xf>
    <xf numFmtId="3" fontId="17" fillId="0" borderId="80" xfId="0" applyNumberFormat="1" applyFont="1" applyFill="1" applyBorder="1" applyAlignment="1" applyProtection="1">
      <alignment horizontal="right" vertical="center"/>
      <protection locked="0"/>
    </xf>
    <xf numFmtId="3" fontId="17" fillId="0" borderId="81" xfId="0" applyNumberFormat="1" applyFont="1" applyFill="1" applyBorder="1" applyAlignment="1" applyProtection="1">
      <alignment horizontal="right" vertical="center"/>
      <protection locked="0"/>
    </xf>
    <xf numFmtId="3" fontId="17" fillId="0" borderId="82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79" xfId="0" applyNumberFormat="1" applyFont="1" applyFill="1" applyBorder="1" applyAlignment="1" applyProtection="1">
      <alignment vertical="center"/>
      <protection locked="0"/>
    </xf>
    <xf numFmtId="3" fontId="17" fillId="0" borderId="80" xfId="0" applyNumberFormat="1" applyFont="1" applyFill="1" applyBorder="1" applyAlignment="1" applyProtection="1">
      <alignment vertical="center"/>
      <protection locked="0"/>
    </xf>
    <xf numFmtId="3" fontId="17" fillId="0" borderId="81" xfId="0" applyNumberFormat="1" applyFont="1" applyFill="1" applyBorder="1" applyAlignment="1" applyProtection="1">
      <alignment vertical="center"/>
      <protection locked="0"/>
    </xf>
    <xf numFmtId="3" fontId="17" fillId="0" borderId="82" xfId="0" applyNumberFormat="1" applyFont="1" applyFill="1" applyBorder="1" applyAlignment="1" applyProtection="1">
      <alignment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164" fontId="13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6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1" fontId="17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71" xfId="21" applyNumberFormat="1" applyFont="1" applyFill="1" applyBorder="1" applyAlignment="1" applyProtection="1">
      <alignment horizontal="left"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3" fontId="42" fillId="0" borderId="82" xfId="0" applyNumberFormat="1" applyFont="1" applyFill="1" applyBorder="1" applyAlignment="1" applyProtection="1">
      <alignment vertical="center"/>
      <protection locked="0"/>
    </xf>
    <xf numFmtId="3" fontId="42" fillId="0" borderId="32" xfId="0" applyNumberFormat="1" applyFont="1" applyFill="1" applyBorder="1" applyAlignment="1" applyProtection="1">
      <alignment vertical="center"/>
      <protection locked="0"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1" xfId="21" applyNumberFormat="1" applyFont="1" applyFill="1" applyBorder="1" applyAlignment="1" applyProtection="1">
      <alignment vertical="center" wrapText="1"/>
      <protection locked="0"/>
    </xf>
    <xf numFmtId="3" fontId="20" fillId="0" borderId="79" xfId="0" applyNumberFormat="1" applyFont="1" applyFill="1" applyBorder="1" applyAlignment="1" applyProtection="1">
      <alignment vertical="center"/>
      <protection locked="0"/>
    </xf>
    <xf numFmtId="3" fontId="20" fillId="0" borderId="80" xfId="0" applyNumberFormat="1" applyFont="1" applyFill="1" applyBorder="1" applyAlignment="1" applyProtection="1">
      <alignment vertical="center"/>
      <protection locked="0"/>
    </xf>
    <xf numFmtId="3" fontId="20" fillId="0" borderId="81" xfId="0" applyNumberFormat="1" applyFont="1" applyFill="1" applyBorder="1" applyAlignment="1" applyProtection="1">
      <alignment vertical="center"/>
      <protection locked="0"/>
    </xf>
    <xf numFmtId="3" fontId="20" fillId="0" borderId="82" xfId="0" applyNumberFormat="1" applyFont="1" applyFill="1" applyBorder="1" applyAlignment="1" applyProtection="1">
      <alignment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13" fillId="0" borderId="66" xfId="21" applyNumberFormat="1" applyFont="1" applyFill="1" applyBorder="1" applyAlignment="1" applyProtection="1">
      <alignment vertical="center" wrapText="1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1" fontId="18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65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164" fontId="18" fillId="0" borderId="0" xfId="0" applyNumberFormat="1" applyFont="1" applyBorder="1" applyAlignment="1">
      <alignment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4" fontId="17" fillId="0" borderId="85" xfId="21" applyNumberFormat="1" applyFont="1" applyFill="1" applyBorder="1" applyAlignment="1" applyProtection="1">
      <alignment horizontal="left"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16" fillId="0" borderId="76" xfId="0" applyNumberFormat="1" applyFont="1" applyFill="1" applyBorder="1" applyAlignment="1" applyProtection="1">
      <alignment vertical="center"/>
      <protection locked="0"/>
    </xf>
    <xf numFmtId="3" fontId="42" fillId="0" borderId="78" xfId="0" applyNumberFormat="1" applyFont="1" applyFill="1" applyBorder="1" applyAlignment="1" applyProtection="1">
      <alignment vertical="center"/>
      <protection locked="0"/>
    </xf>
    <xf numFmtId="3" fontId="16" fillId="0" borderId="78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64" fontId="13" fillId="0" borderId="71" xfId="21" applyNumberFormat="1" applyFont="1" applyFill="1" applyBorder="1" applyAlignment="1" applyProtection="1">
      <alignment vertical="center" wrapText="1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13" fillId="0" borderId="81" xfId="0" applyNumberFormat="1" applyFont="1" applyFill="1" applyBorder="1" applyAlignment="1" applyProtection="1">
      <alignment vertical="center"/>
      <protection locked="0"/>
    </xf>
    <xf numFmtId="3" fontId="13" fillId="0" borderId="82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6" xfId="21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>
      <alignment/>
    </xf>
    <xf numFmtId="3" fontId="42" fillId="0" borderId="86" xfId="0" applyNumberFormat="1" applyFont="1" applyFill="1" applyBorder="1" applyAlignment="1" applyProtection="1">
      <alignment vertical="center"/>
      <protection locked="0"/>
    </xf>
    <xf numFmtId="3" fontId="42" fillId="0" borderId="0" xfId="0" applyNumberFormat="1" applyFont="1" applyFill="1" applyBorder="1" applyAlignment="1" applyProtection="1">
      <alignment vertical="center"/>
      <protection locked="0"/>
    </xf>
    <xf numFmtId="1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85" xfId="21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12" fillId="0" borderId="79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1" fontId="4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horizontal="right" vertical="center"/>
      <protection locked="0"/>
    </xf>
    <xf numFmtId="3" fontId="3" fillId="0" borderId="89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centerContinuous" vertical="center"/>
      <protection locked="0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13" fillId="0" borderId="66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15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Border="1" applyAlignment="1">
      <alignment/>
    </xf>
    <xf numFmtId="1" fontId="5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91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42" fillId="0" borderId="36" xfId="0" applyNumberFormat="1" applyFont="1" applyFill="1" applyBorder="1" applyAlignment="1" applyProtection="1">
      <alignment vertical="center"/>
      <protection locked="0"/>
    </xf>
    <xf numFmtId="3" fontId="42" fillId="0" borderId="10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42" fillId="0" borderId="79" xfId="0" applyNumberFormat="1" applyFont="1" applyFill="1" applyBorder="1" applyAlignment="1" applyProtection="1">
      <alignment vertical="center"/>
      <protection locked="0"/>
    </xf>
    <xf numFmtId="3" fontId="42" fillId="0" borderId="80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17" fillId="0" borderId="86" xfId="0" applyNumberFormat="1" applyFont="1" applyFill="1" applyBorder="1" applyAlignment="1" applyProtection="1">
      <alignment vertical="center"/>
      <protection locked="0"/>
    </xf>
    <xf numFmtId="1" fontId="13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3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92" xfId="0" applyNumberFormat="1" applyFont="1" applyFill="1" applyBorder="1" applyAlignment="1" applyProtection="1">
      <alignment vertical="center"/>
      <protection locked="0"/>
    </xf>
    <xf numFmtId="1" fontId="17" fillId="0" borderId="45" xfId="0" applyNumberFormat="1" applyFont="1" applyFill="1" applyBorder="1" applyAlignment="1" applyProtection="1">
      <alignment horizontal="centerContinuous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17" fillId="0" borderId="93" xfId="0" applyNumberFormat="1" applyFont="1" applyFill="1" applyBorder="1" applyAlignment="1" applyProtection="1">
      <alignment vertical="center"/>
      <protection locked="0"/>
    </xf>
    <xf numFmtId="1" fontId="13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85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75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76" xfId="0" applyNumberFormat="1" applyFont="1" applyFill="1" applyBorder="1" applyAlignment="1" applyProtection="1">
      <alignment vertical="center"/>
      <protection locked="0"/>
    </xf>
    <xf numFmtId="3" fontId="5" fillId="0" borderId="78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13" fillId="0" borderId="93" xfId="0" applyNumberFormat="1" applyFont="1" applyFill="1" applyBorder="1" applyAlignment="1" applyProtection="1">
      <alignment vertical="center"/>
      <protection locked="0"/>
    </xf>
    <xf numFmtId="3" fontId="17" fillId="0" borderId="46" xfId="0" applyNumberFormat="1" applyFont="1" applyFill="1" applyBorder="1" applyAlignment="1" applyProtection="1">
      <alignment vertical="center"/>
      <protection locked="0"/>
    </xf>
    <xf numFmtId="1" fontId="5" fillId="0" borderId="94" xfId="0" applyNumberFormat="1" applyFont="1" applyFill="1" applyBorder="1" applyAlignment="1" applyProtection="1">
      <alignment horizontal="centerContinuous" vertical="center"/>
      <protection locked="0"/>
    </xf>
    <xf numFmtId="3" fontId="5" fillId="0" borderId="95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3" fontId="5" fillId="0" borderId="57" xfId="0" applyNumberFormat="1" applyFont="1" applyFill="1" applyBorder="1" applyAlignment="1" applyProtection="1">
      <alignment vertical="center"/>
      <protection locked="0"/>
    </xf>
    <xf numFmtId="3" fontId="5" fillId="0" borderId="96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164" fontId="5" fillId="0" borderId="87" xfId="0" applyNumberFormat="1" applyFont="1" applyBorder="1" applyAlignment="1">
      <alignment/>
    </xf>
    <xf numFmtId="164" fontId="4" fillId="0" borderId="85" xfId="21" applyNumberFormat="1" applyFont="1" applyFill="1" applyBorder="1" applyAlignment="1" applyProtection="1">
      <alignment vertical="center" wrapText="1"/>
      <protection locked="0"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13" fillId="0" borderId="65" xfId="0" applyNumberFormat="1" applyFont="1" applyFill="1" applyBorder="1" applyAlignment="1" applyProtection="1">
      <alignment vertical="center"/>
      <protection locked="0"/>
    </xf>
    <xf numFmtId="164" fontId="4" fillId="0" borderId="87" xfId="21" applyNumberFormat="1" applyFont="1" applyFill="1" applyBorder="1" applyAlignment="1" applyProtection="1">
      <alignment vertical="center" wrapText="1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164" fontId="4" fillId="0" borderId="71" xfId="21" applyNumberFormat="1" applyFont="1" applyFill="1" applyBorder="1" applyAlignment="1" applyProtection="1">
      <alignment vertical="center" wrapText="1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13" fillId="0" borderId="8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horizontal="right" vertical="center"/>
      <protection locked="0"/>
    </xf>
    <xf numFmtId="3" fontId="17" fillId="0" borderId="71" xfId="0" applyNumberFormat="1" applyFont="1" applyFill="1" applyBorder="1" applyAlignment="1" applyProtection="1">
      <alignment vertical="center"/>
      <protection locked="0"/>
    </xf>
    <xf numFmtId="3" fontId="17" fillId="0" borderId="98" xfId="0" applyNumberFormat="1" applyFont="1" applyFill="1" applyBorder="1" applyAlignment="1" applyProtection="1">
      <alignment vertical="center"/>
      <protection locked="0"/>
    </xf>
    <xf numFmtId="164" fontId="13" fillId="0" borderId="23" xfId="21" applyNumberFormat="1" applyFont="1" applyFill="1" applyBorder="1" applyAlignment="1" applyProtection="1">
      <alignment vertical="center" wrapText="1"/>
      <protection locked="0"/>
    </xf>
    <xf numFmtId="3" fontId="13" fillId="0" borderId="88" xfId="0" applyNumberFormat="1" applyFont="1" applyFill="1" applyBorder="1" applyAlignment="1" applyProtection="1">
      <alignment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85" xfId="21" applyNumberFormat="1" applyFont="1" applyFill="1" applyBorder="1" applyAlignment="1" applyProtection="1">
      <alignment vertical="center" wrapText="1"/>
      <protection locked="0"/>
    </xf>
    <xf numFmtId="164" fontId="17" fillId="0" borderId="10" xfId="21" applyNumberFormat="1" applyFont="1" applyFill="1" applyBorder="1" applyAlignment="1" applyProtection="1">
      <alignment vertical="center" wrapText="1"/>
      <protection locked="0"/>
    </xf>
    <xf numFmtId="1" fontId="18" fillId="0" borderId="16" xfId="0" applyNumberFormat="1" applyFont="1" applyFill="1" applyBorder="1" applyAlignment="1" applyProtection="1">
      <alignment horizontal="centerContinuous" vertical="center"/>
      <protection locked="0"/>
    </xf>
    <xf numFmtId="3" fontId="42" fillId="0" borderId="85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18" fillId="0" borderId="31" xfId="0" applyNumberFormat="1" applyFont="1" applyFill="1" applyBorder="1" applyAlignment="1" applyProtection="1">
      <alignment horizontal="centerContinuous" vertical="center"/>
      <protection locked="0"/>
    </xf>
    <xf numFmtId="3" fontId="5" fillId="0" borderId="79" xfId="0" applyNumberFormat="1" applyFont="1" applyFill="1" applyBorder="1" applyAlignment="1" applyProtection="1">
      <alignment vertical="center"/>
      <protection locked="0"/>
    </xf>
    <xf numFmtId="3" fontId="5" fillId="0" borderId="80" xfId="0" applyNumberFormat="1" applyFont="1" applyFill="1" applyBorder="1" applyAlignment="1" applyProtection="1">
      <alignment vertical="center"/>
      <protection locked="0"/>
    </xf>
    <xf numFmtId="3" fontId="5" fillId="0" borderId="81" xfId="0" applyNumberFormat="1" applyFont="1" applyFill="1" applyBorder="1" applyAlignment="1" applyProtection="1">
      <alignment vertical="center"/>
      <protection locked="0"/>
    </xf>
    <xf numFmtId="3" fontId="5" fillId="0" borderId="8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1" fontId="13" fillId="0" borderId="40" xfId="0" applyNumberFormat="1" applyFont="1" applyFill="1" applyBorder="1" applyAlignment="1" applyProtection="1">
      <alignment horizontal="center" vertical="center"/>
      <protection locked="0"/>
    </xf>
    <xf numFmtId="164" fontId="17" fillId="0" borderId="1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88" xfId="0" applyNumberFormat="1" applyFont="1" applyFill="1" applyBorder="1" applyAlignment="1" applyProtection="1">
      <alignment vertical="center"/>
      <protection locked="0"/>
    </xf>
    <xf numFmtId="3" fontId="17" fillId="0" borderId="89" xfId="0" applyNumberFormat="1" applyFont="1" applyFill="1" applyBorder="1" applyAlignment="1" applyProtection="1">
      <alignment vertical="center"/>
      <protection locked="0"/>
    </xf>
    <xf numFmtId="1" fontId="4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6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4" fillId="0" borderId="99" xfId="0" applyNumberFormat="1" applyFont="1" applyFill="1" applyBorder="1" applyAlignment="1" applyProtection="1">
      <alignment vertical="center"/>
      <protection locked="0"/>
    </xf>
    <xf numFmtId="49" fontId="17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97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13" fillId="0" borderId="60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3" fillId="0" borderId="61" xfId="0" applyNumberFormat="1" applyFont="1" applyFill="1" applyBorder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3" fontId="4" fillId="0" borderId="70" xfId="0" applyNumberFormat="1" applyFont="1" applyFill="1" applyBorder="1" applyAlignment="1" applyProtection="1">
      <alignment vertical="center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164" fontId="5" fillId="0" borderId="100" xfId="21" applyNumberFormat="1" applyFont="1" applyFill="1" applyBorder="1" applyAlignment="1" applyProtection="1">
      <alignment vertical="center" wrapText="1"/>
      <protection locked="0"/>
    </xf>
    <xf numFmtId="3" fontId="5" fillId="0" borderId="100" xfId="0" applyNumberFormat="1" applyFont="1" applyFill="1" applyBorder="1" applyAlignment="1" applyProtection="1">
      <alignment vertical="center"/>
      <protection locked="0"/>
    </xf>
    <xf numFmtId="3" fontId="5" fillId="0" borderId="101" xfId="0" applyNumberFormat="1" applyFont="1" applyFill="1" applyBorder="1" applyAlignment="1" applyProtection="1">
      <alignment vertical="center"/>
      <protection locked="0"/>
    </xf>
    <xf numFmtId="3" fontId="17" fillId="0" borderId="36" xfId="0" applyNumberFormat="1" applyFont="1" applyFill="1" applyBorder="1" applyAlignment="1" applyProtection="1">
      <alignment vertical="center"/>
      <protection locked="0"/>
    </xf>
    <xf numFmtId="164" fontId="5" fillId="0" borderId="10" xfId="21" applyNumberFormat="1" applyFont="1" applyFill="1" applyBorder="1" applyAlignment="1" applyProtection="1">
      <alignment vertical="center" wrapText="1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3" fontId="17" fillId="0" borderId="102" xfId="0" applyNumberFormat="1" applyFont="1" applyFill="1" applyBorder="1" applyAlignment="1" applyProtection="1">
      <alignment vertical="center"/>
      <protection locked="0"/>
    </xf>
    <xf numFmtId="1" fontId="13" fillId="0" borderId="10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04" xfId="21" applyNumberFormat="1" applyFont="1" applyFill="1" applyBorder="1" applyAlignment="1" applyProtection="1">
      <alignment vertical="center" wrapText="1"/>
      <protection locked="0"/>
    </xf>
    <xf numFmtId="3" fontId="13" fillId="0" borderId="105" xfId="0" applyNumberFormat="1" applyFont="1" applyFill="1" applyBorder="1" applyAlignment="1" applyProtection="1">
      <alignment vertical="center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51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164" fontId="4" fillId="0" borderId="10" xfId="21" applyNumberFormat="1" applyFont="1" applyFill="1" applyBorder="1" applyAlignment="1" applyProtection="1">
      <alignment vertical="center" wrapText="1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horizontal="right" vertical="center"/>
      <protection locked="0"/>
    </xf>
    <xf numFmtId="3" fontId="13" fillId="0" borderId="106" xfId="0" applyNumberFormat="1" applyFont="1" applyFill="1" applyBorder="1" applyAlignment="1" applyProtection="1">
      <alignment horizontal="right" vertical="center"/>
      <protection locked="0"/>
    </xf>
    <xf numFmtId="3" fontId="13" fillId="0" borderId="98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164" fontId="17" fillId="0" borderId="102" xfId="21" applyNumberFormat="1" applyFont="1" applyFill="1" applyBorder="1" applyAlignment="1" applyProtection="1">
      <alignment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21" applyNumberFormat="1" applyFont="1" applyFill="1" applyBorder="1" applyAlignment="1" applyProtection="1">
      <alignment vertical="center" wrapText="1"/>
      <protection locked="0"/>
    </xf>
    <xf numFmtId="3" fontId="13" fillId="0" borderId="107" xfId="0" applyNumberFormat="1" applyFont="1" applyFill="1" applyBorder="1" applyAlignment="1" applyProtection="1">
      <alignment vertical="center"/>
      <protection locked="0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164" fontId="4" fillId="0" borderId="66" xfId="21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vertical="center"/>
      <protection locked="0"/>
    </xf>
    <xf numFmtId="3" fontId="13" fillId="0" borderId="108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109" xfId="0" applyNumberFormat="1" applyFont="1" applyFill="1" applyBorder="1" applyAlignment="1" applyProtection="1">
      <alignment horizontal="right" vertical="center"/>
      <protection locked="0"/>
    </xf>
    <xf numFmtId="1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63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87" xfId="21" applyNumberFormat="1" applyFont="1" applyFill="1" applyBorder="1" applyAlignment="1" applyProtection="1">
      <alignment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/>
      <protection locked="0"/>
    </xf>
    <xf numFmtId="164" fontId="17" fillId="0" borderId="64" xfId="21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76" xfId="21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1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106" xfId="0" applyNumberFormat="1" applyFont="1" applyFill="1" applyBorder="1" applyAlignment="1" applyProtection="1">
      <alignment vertical="center"/>
      <protection locked="0"/>
    </xf>
    <xf numFmtId="164" fontId="12" fillId="0" borderId="81" xfId="21" applyNumberFormat="1" applyFont="1" applyFill="1" applyBorder="1" applyAlignment="1" applyProtection="1">
      <alignment vertical="center" wrapText="1"/>
      <protection locked="0"/>
    </xf>
    <xf numFmtId="3" fontId="42" fillId="0" borderId="70" xfId="0" applyNumberFormat="1" applyFont="1" applyFill="1" applyBorder="1" applyAlignment="1" applyProtection="1">
      <alignment horizontal="right" vertical="center"/>
      <protection locked="0"/>
    </xf>
    <xf numFmtId="3" fontId="42" fillId="0" borderId="64" xfId="0" applyNumberFormat="1" applyFont="1" applyFill="1" applyBorder="1" applyAlignment="1" applyProtection="1">
      <alignment horizontal="right" vertical="center"/>
      <protection locked="0"/>
    </xf>
    <xf numFmtId="3" fontId="42" fillId="0" borderId="65" xfId="0" applyNumberFormat="1" applyFont="1" applyFill="1" applyBorder="1" applyAlignment="1" applyProtection="1">
      <alignment horizontal="right" vertical="center"/>
      <protection locked="0"/>
    </xf>
    <xf numFmtId="3" fontId="42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164" fontId="5" fillId="0" borderId="28" xfId="21" applyNumberFormat="1" applyFont="1" applyFill="1" applyBorder="1" applyAlignment="1" applyProtection="1">
      <alignment vertical="center" wrapText="1"/>
      <protection locked="0"/>
    </xf>
    <xf numFmtId="3" fontId="42" fillId="0" borderId="98" xfId="0" applyNumberFormat="1" applyFont="1" applyFill="1" applyBorder="1" applyAlignment="1" applyProtection="1">
      <alignment vertical="center"/>
      <protection locked="0"/>
    </xf>
    <xf numFmtId="164" fontId="5" fillId="0" borderId="102" xfId="21" applyNumberFormat="1" applyFont="1" applyFill="1" applyBorder="1" applyAlignment="1" applyProtection="1">
      <alignment vertical="center" wrapText="1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164" fontId="5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70" xfId="0" applyNumberFormat="1" applyFont="1" applyFill="1" applyBorder="1" applyAlignment="1" applyProtection="1">
      <alignment vertical="center"/>
      <protection locked="0"/>
    </xf>
    <xf numFmtId="3" fontId="11" fillId="0" borderId="64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1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85" xfId="21" applyNumberFormat="1" applyFont="1" applyFill="1" applyBorder="1" applyAlignment="1" applyProtection="1">
      <alignment vertical="center" wrapText="1"/>
      <protection locked="0"/>
    </xf>
    <xf numFmtId="3" fontId="12" fillId="0" borderId="76" xfId="0" applyNumberFormat="1" applyFont="1" applyFill="1" applyBorder="1" applyAlignment="1" applyProtection="1">
      <alignment vertical="center"/>
      <protection locked="0"/>
    </xf>
    <xf numFmtId="3" fontId="12" fillId="0" borderId="77" xfId="0" applyNumberFormat="1" applyFont="1" applyFill="1" applyBorder="1" applyAlignment="1" applyProtection="1">
      <alignment vertical="center"/>
      <protection locked="0"/>
    </xf>
    <xf numFmtId="3" fontId="11" fillId="0" borderId="76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64" fontId="13" fillId="0" borderId="83" xfId="21" applyNumberFormat="1" applyFont="1" applyFill="1" applyBorder="1" applyAlignment="1" applyProtection="1">
      <alignment vertical="center" wrapText="1"/>
      <protection locked="0"/>
    </xf>
    <xf numFmtId="164" fontId="12" fillId="0" borderId="10" xfId="21" applyNumberFormat="1" applyFont="1" applyFill="1" applyBorder="1" applyAlignment="1" applyProtection="1">
      <alignment vertical="center" wrapText="1"/>
      <protection locked="0"/>
    </xf>
    <xf numFmtId="1" fontId="16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02" xfId="21" applyNumberFormat="1" applyFont="1" applyFill="1" applyBorder="1" applyAlignment="1" applyProtection="1">
      <alignment vertical="center" wrapText="1"/>
      <protection locked="0"/>
    </xf>
    <xf numFmtId="1" fontId="13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10" xfId="21" applyNumberFormat="1" applyFont="1" applyFill="1" applyBorder="1" applyAlignment="1" applyProtection="1">
      <alignment vertical="center" wrapText="1"/>
      <protection locked="0"/>
    </xf>
    <xf numFmtId="164" fontId="21" fillId="0" borderId="23" xfId="21" applyNumberFormat="1" applyFont="1" applyFill="1" applyBorder="1" applyAlignment="1" applyProtection="1">
      <alignment vertical="center" wrapText="1"/>
      <protection locked="0"/>
    </xf>
    <xf numFmtId="3" fontId="5" fillId="0" borderId="3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3" fontId="17" fillId="0" borderId="65" xfId="0" applyNumberFormat="1" applyFont="1" applyFill="1" applyBorder="1" applyAlignment="1">
      <alignment vertical="center"/>
    </xf>
    <xf numFmtId="3" fontId="17" fillId="0" borderId="64" xfId="0" applyNumberFormat="1" applyFont="1" applyFill="1" applyBorder="1" applyAlignment="1">
      <alignment vertical="center"/>
    </xf>
    <xf numFmtId="3" fontId="17" fillId="0" borderId="70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2" fillId="0" borderId="65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65" xfId="0" applyNumberFormat="1" applyFont="1" applyFill="1" applyBorder="1" applyAlignment="1">
      <alignment vertical="center"/>
    </xf>
    <xf numFmtId="164" fontId="43" fillId="0" borderId="0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85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1" fillId="0" borderId="92" xfId="0" applyNumberFormat="1" applyFont="1" applyFill="1" applyBorder="1" applyAlignment="1" applyProtection="1">
      <alignment horizontal="centerContinuous" vertical="center"/>
      <protection/>
    </xf>
    <xf numFmtId="0" fontId="21" fillId="0" borderId="23" xfId="0" applyNumberFormat="1" applyFont="1" applyFill="1" applyBorder="1" applyAlignment="1" applyProtection="1">
      <alignment horizontal="centerContinuous" vertical="center"/>
      <protection/>
    </xf>
    <xf numFmtId="164" fontId="38" fillId="0" borderId="29" xfId="0" applyNumberFormat="1" applyFont="1" applyFill="1" applyBorder="1" applyAlignment="1" applyProtection="1">
      <alignment horizontal="centerContinuous" vertical="center"/>
      <protection/>
    </xf>
    <xf numFmtId="0" fontId="21" fillId="0" borderId="30" xfId="0" applyNumberFormat="1" applyFont="1" applyFill="1" applyBorder="1" applyAlignment="1" applyProtection="1">
      <alignment horizontal="centerContinuous" vertical="center"/>
      <protection/>
    </xf>
    <xf numFmtId="0" fontId="38" fillId="0" borderId="29" xfId="0" applyNumberFormat="1" applyFont="1" applyFill="1" applyBorder="1" applyAlignment="1" applyProtection="1">
      <alignment horizontal="centerContinuous" vertical="center"/>
      <protection/>
    </xf>
    <xf numFmtId="0" fontId="21" fillId="0" borderId="3" xfId="0" applyNumberFormat="1" applyFont="1" applyFill="1" applyBorder="1" applyAlignment="1" applyProtection="1">
      <alignment horizontal="centerContinuous" vertical="center"/>
      <protection/>
    </xf>
    <xf numFmtId="0" fontId="12" fillId="0" borderId="111" xfId="0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5" fillId="0" borderId="112" xfId="0" applyNumberFormat="1" applyFont="1" applyFill="1" applyBorder="1" applyAlignment="1" applyProtection="1">
      <alignment horizontal="center" vertical="center" wrapText="1"/>
      <protection/>
    </xf>
    <xf numFmtId="0" fontId="15" fillId="0" borderId="11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1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1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116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117" xfId="0" applyNumberFormat="1" applyFont="1" applyFill="1" applyBorder="1" applyAlignment="1" applyProtection="1">
      <alignment horizontal="center" vertical="center"/>
      <protection/>
    </xf>
    <xf numFmtId="0" fontId="15" fillId="0" borderId="42" xfId="0" applyNumberFormat="1" applyFont="1" applyFill="1" applyBorder="1" applyAlignment="1" applyProtection="1">
      <alignment vertical="center"/>
      <protection/>
    </xf>
    <xf numFmtId="3" fontId="13" fillId="0" borderId="118" xfId="0" applyNumberFormat="1" applyFont="1" applyFill="1" applyBorder="1" applyAlignment="1" applyProtection="1">
      <alignment vertical="center"/>
      <protection/>
    </xf>
    <xf numFmtId="3" fontId="13" fillId="0" borderId="42" xfId="0" applyNumberFormat="1" applyFont="1" applyFill="1" applyBorder="1" applyAlignment="1" applyProtection="1">
      <alignment vertical="center"/>
      <protection/>
    </xf>
    <xf numFmtId="3" fontId="4" fillId="0" borderId="119" xfId="0" applyNumberFormat="1" applyFont="1" applyFill="1" applyBorder="1" applyAlignment="1" applyProtection="1">
      <alignment vertical="center"/>
      <protection/>
    </xf>
    <xf numFmtId="3" fontId="4" fillId="0" borderId="120" xfId="0" applyNumberFormat="1" applyFont="1" applyFill="1" applyBorder="1" applyAlignment="1" applyProtection="1">
      <alignment vertical="center"/>
      <protection/>
    </xf>
    <xf numFmtId="3" fontId="12" fillId="0" borderId="121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3" fontId="12" fillId="0" borderId="122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123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vertical="center" wrapText="1"/>
      <protection/>
    </xf>
    <xf numFmtId="49" fontId="11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38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24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12" fillId="0" borderId="125" xfId="0" applyNumberFormat="1" applyFont="1" applyFill="1" applyBorder="1" applyAlignment="1" applyProtection="1">
      <alignment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39" xfId="0" applyNumberFormat="1" applyFont="1" applyFill="1" applyBorder="1" applyAlignment="1" applyProtection="1">
      <alignment vertical="center"/>
      <protection/>
    </xf>
    <xf numFmtId="49" fontId="11" fillId="0" borderId="40" xfId="0" applyNumberFormat="1" applyFont="1" applyFill="1" applyBorder="1" applyAlignment="1" applyProtection="1">
      <alignment horizontal="center" vertical="center"/>
      <protection/>
    </xf>
    <xf numFmtId="3" fontId="4" fillId="0" borderId="126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3" fontId="13" fillId="0" borderId="24" xfId="0" applyNumberFormat="1" applyFont="1" applyFill="1" applyBorder="1" applyAlignment="1" applyProtection="1">
      <alignment vertical="center"/>
      <protection/>
    </xf>
    <xf numFmtId="3" fontId="13" fillId="0" borderId="115" xfId="0" applyNumberFormat="1" applyFont="1" applyFill="1" applyBorder="1" applyAlignment="1" applyProtection="1">
      <alignment vertical="center"/>
      <protection/>
    </xf>
    <xf numFmtId="3" fontId="43" fillId="0" borderId="25" xfId="0" applyNumberFormat="1" applyFont="1" applyFill="1" applyBorder="1" applyAlignment="1" applyProtection="1">
      <alignment vertical="center"/>
      <protection/>
    </xf>
    <xf numFmtId="3" fontId="13" fillId="0" borderId="26" xfId="0" applyNumberFormat="1" applyFont="1" applyFill="1" applyBorder="1" applyAlignment="1" applyProtection="1">
      <alignment vertical="center"/>
      <protection/>
    </xf>
    <xf numFmtId="3" fontId="43" fillId="0" borderId="116" xfId="0" applyNumberFormat="1" applyFont="1" applyFill="1" applyBorder="1" applyAlignment="1" applyProtection="1">
      <alignment vertical="center"/>
      <protection/>
    </xf>
    <xf numFmtId="3" fontId="13" fillId="0" borderId="3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2" fillId="0" borderId="3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Continuous" wrapText="1"/>
    </xf>
    <xf numFmtId="0" fontId="2" fillId="0" borderId="127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3" fontId="12" fillId="0" borderId="47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12" fillId="0" borderId="10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vertical="center" wrapText="1"/>
    </xf>
    <xf numFmtId="1" fontId="5" fillId="0" borderId="48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03" xfId="0" applyNumberFormat="1" applyFont="1" applyBorder="1" applyAlignment="1">
      <alignment horizontal="center" vertical="center"/>
    </xf>
    <xf numFmtId="0" fontId="3" fillId="0" borderId="127" xfId="0" applyFont="1" applyBorder="1" applyAlignment="1">
      <alignment vertical="center" wrapText="1"/>
    </xf>
    <xf numFmtId="3" fontId="3" fillId="0" borderId="129" xfId="0" applyNumberFormat="1" applyFont="1" applyBorder="1" applyAlignment="1">
      <alignment horizontal="right" vertical="center" wrapText="1"/>
    </xf>
    <xf numFmtId="1" fontId="3" fillId="0" borderId="129" xfId="0" applyNumberFormat="1" applyFont="1" applyBorder="1" applyAlignment="1">
      <alignment horizontal="right" vertical="center" wrapText="1"/>
    </xf>
    <xf numFmtId="3" fontId="3" fillId="0" borderId="127" xfId="0" applyNumberFormat="1" applyFont="1" applyBorder="1" applyAlignment="1">
      <alignment vertical="center" wrapText="1"/>
    </xf>
    <xf numFmtId="3" fontId="3" fillId="0" borderId="128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42" fillId="0" borderId="36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vertical="center" wrapText="1"/>
    </xf>
    <xf numFmtId="1" fontId="5" fillId="0" borderId="48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36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13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3" fontId="3" fillId="0" borderId="131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31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23" xfId="0" applyNumberFormat="1" applyFont="1" applyBorder="1" applyAlignment="1">
      <alignment vertical="center"/>
    </xf>
    <xf numFmtId="1" fontId="21" fillId="0" borderId="48" xfId="0" applyNumberFormat="1" applyFont="1" applyBorder="1" applyAlignment="1">
      <alignment vertical="center"/>
    </xf>
    <xf numFmtId="3" fontId="21" fillId="0" borderId="48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Continuous" vertical="center" wrapText="1"/>
    </xf>
    <xf numFmtId="0" fontId="42" fillId="0" borderId="0" xfId="0" applyFont="1" applyAlignment="1">
      <alignment horizontal="center"/>
    </xf>
    <xf numFmtId="1" fontId="5" fillId="0" borderId="48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27" xfId="0" applyNumberFormat="1" applyFont="1" applyBorder="1" applyAlignment="1">
      <alignment horizontal="right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1" fontId="5" fillId="0" borderId="4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" fontId="3" fillId="0" borderId="3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31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1" fontId="3" fillId="0" borderId="8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right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3" fontId="3" fillId="0" borderId="47" xfId="0" applyNumberFormat="1" applyFont="1" applyBorder="1" applyAlignment="1">
      <alignment horizontal="right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vertical="center"/>
    </xf>
    <xf numFmtId="3" fontId="2" fillId="0" borderId="106" xfId="0" applyNumberFormat="1" applyFont="1" applyBorder="1" applyAlignment="1">
      <alignment horizontal="right" vertical="center" wrapText="1"/>
    </xf>
    <xf numFmtId="3" fontId="2" fillId="0" borderId="8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3" fontId="9" fillId="0" borderId="42" xfId="0" applyNumberFormat="1" applyFont="1" applyBorder="1" applyAlignment="1">
      <alignment horizontal="right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3" fontId="9" fillId="0" borderId="36" xfId="0" applyNumberFormat="1" applyFont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/>
    </xf>
    <xf numFmtId="49" fontId="3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30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36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center" vertical="center"/>
    </xf>
    <xf numFmtId="0" fontId="3" fillId="0" borderId="106" xfId="0" applyFont="1" applyBorder="1" applyAlignment="1">
      <alignment vertical="center" wrapText="1"/>
    </xf>
    <xf numFmtId="3" fontId="3" fillId="0" borderId="106" xfId="0" applyNumberFormat="1" applyFont="1" applyBorder="1" applyAlignment="1">
      <alignment horizontal="right" vertical="center" wrapText="1"/>
    </xf>
    <xf numFmtId="3" fontId="3" fillId="0" borderId="8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2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2" xfId="0" applyNumberFormat="1" applyFont="1" applyFill="1" applyBorder="1" applyAlignment="1" applyProtection="1">
      <alignment vertical="center" wrapText="1"/>
      <protection locked="0"/>
    </xf>
    <xf numFmtId="3" fontId="3" fillId="0" borderId="83" xfId="0" applyNumberFormat="1" applyFont="1" applyBorder="1" applyAlignment="1">
      <alignment horizontal="right" vertical="center" wrapText="1"/>
    </xf>
    <xf numFmtId="1" fontId="3" fillId="0" borderId="83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vertical="center"/>
    </xf>
    <xf numFmtId="1" fontId="21" fillId="0" borderId="48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49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3" fontId="4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Continuous" wrapText="1"/>
    </xf>
    <xf numFmtId="3" fontId="41" fillId="0" borderId="0" xfId="0" applyNumberFormat="1" applyFont="1" applyAlignment="1">
      <alignment horizontal="right" wrapText="1"/>
    </xf>
    <xf numFmtId="0" fontId="9" fillId="0" borderId="52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44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3" fillId="0" borderId="131" xfId="0" applyNumberFormat="1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vertical="center"/>
    </xf>
    <xf numFmtId="1" fontId="21" fillId="0" borderId="48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85" xfId="0" applyFont="1" applyBorder="1" applyAlignment="1">
      <alignment vertical="center" wrapText="1"/>
    </xf>
    <xf numFmtId="1" fontId="3" fillId="0" borderId="85" xfId="0" applyNumberFormat="1" applyFont="1" applyBorder="1" applyAlignment="1">
      <alignment horizontal="center" vertical="center" wrapText="1"/>
    </xf>
    <xf numFmtId="3" fontId="3" fillId="0" borderId="85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horizontal="center" vertical="center"/>
    </xf>
    <xf numFmtId="16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04" xfId="0" applyFont="1" applyBorder="1" applyAlignment="1">
      <alignment horizontal="centerContinuous" vertical="center" wrapText="1"/>
    </xf>
    <xf numFmtId="0" fontId="41" fillId="0" borderId="128" xfId="0" applyFont="1" applyBorder="1" applyAlignment="1">
      <alignment horizontal="centerContinuous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2" fillId="0" borderId="35" xfId="0" applyNumberFormat="1" applyFont="1" applyFill="1" applyBorder="1" applyAlignment="1" applyProtection="1">
      <alignment horizontal="center" vertical="center"/>
      <protection locked="0"/>
    </xf>
    <xf numFmtId="1" fontId="12" fillId="0" borderId="7" xfId="0" applyNumberFormat="1" applyFont="1" applyBorder="1" applyAlignment="1">
      <alignment horizontal="center"/>
    </xf>
    <xf numFmtId="1" fontId="12" fillId="0" borderId="34" xfId="0" applyNumberFormat="1" applyFont="1" applyBorder="1" applyAlignment="1">
      <alignment horizontal="center"/>
    </xf>
    <xf numFmtId="1" fontId="12" fillId="0" borderId="54" xfId="0" applyNumberFormat="1" applyFont="1" applyBorder="1" applyAlignment="1">
      <alignment horizontal="center"/>
    </xf>
    <xf numFmtId="3" fontId="20" fillId="0" borderId="22" xfId="0" applyNumberFormat="1" applyFont="1" applyFill="1" applyBorder="1" applyAlignment="1" applyProtection="1">
      <alignment horizontal="center" vertical="center"/>
      <protection locked="0"/>
    </xf>
    <xf numFmtId="1" fontId="48" fillId="0" borderId="23" xfId="0" applyNumberFormat="1" applyFont="1" applyBorder="1" applyAlignment="1">
      <alignment horizontal="left"/>
    </xf>
    <xf numFmtId="1" fontId="20" fillId="0" borderId="48" xfId="0" applyNumberFormat="1" applyFont="1" applyBorder="1" applyAlignment="1">
      <alignment horizontal="center"/>
    </xf>
    <xf numFmtId="3" fontId="48" fillId="0" borderId="48" xfId="0" applyNumberFormat="1" applyFont="1" applyBorder="1" applyAlignment="1">
      <alignment horizontal="right" vertical="center"/>
    </xf>
    <xf numFmtId="3" fontId="48" fillId="0" borderId="26" xfId="0" applyNumberFormat="1" applyFont="1" applyBorder="1" applyAlignment="1">
      <alignment vertical="center"/>
    </xf>
    <xf numFmtId="164" fontId="17" fillId="0" borderId="0" xfId="0" applyNumberFormat="1" applyFont="1" applyAlignment="1">
      <alignment/>
    </xf>
    <xf numFmtId="1" fontId="5" fillId="0" borderId="48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" applyFont="1" applyBorder="1" applyAlignment="1">
      <alignment horizontal="left" vertical="center" wrapText="1"/>
      <protection/>
    </xf>
    <xf numFmtId="1" fontId="3" fillId="0" borderId="36" xfId="21" applyNumberFormat="1" applyFont="1" applyFill="1" applyBorder="1" applyAlignment="1" applyProtection="1">
      <alignment horizontal="center" vertical="center" wrapText="1"/>
      <protection locked="0"/>
    </xf>
    <xf numFmtId="164" fontId="48" fillId="0" borderId="0" xfId="0" applyNumberFormat="1" applyFont="1" applyBorder="1" applyAlignment="1">
      <alignment/>
    </xf>
    <xf numFmtId="0" fontId="48" fillId="0" borderId="22" xfId="18" applyFont="1" applyBorder="1" applyAlignment="1">
      <alignment horizontal="center" vertical="center"/>
      <protection/>
    </xf>
    <xf numFmtId="0" fontId="48" fillId="0" borderId="23" xfId="18" applyFont="1" applyBorder="1" applyAlignment="1">
      <alignment horizontal="left" vertical="center" wrapText="1"/>
      <protection/>
    </xf>
    <xf numFmtId="1" fontId="48" fillId="0" borderId="48" xfId="21" applyNumberFormat="1" applyFont="1" applyFill="1" applyBorder="1" applyAlignment="1" applyProtection="1">
      <alignment horizontal="center" vertical="center" wrapText="1"/>
      <protection locked="0"/>
    </xf>
    <xf numFmtId="3" fontId="48" fillId="0" borderId="48" xfId="0" applyNumberFormat="1" applyFont="1" applyFill="1" applyBorder="1" applyAlignment="1" applyProtection="1">
      <alignment vertical="center"/>
      <protection locked="0"/>
    </xf>
    <xf numFmtId="164" fontId="48" fillId="0" borderId="0" xfId="0" applyNumberFormat="1" applyFont="1" applyAlignment="1">
      <alignment/>
    </xf>
    <xf numFmtId="164" fontId="3" fillId="0" borderId="10" xfId="21" applyNumberFormat="1" applyFont="1" applyFill="1" applyBorder="1" applyAlignment="1" applyProtection="1">
      <alignment vertical="center" wrapText="1"/>
      <protection locked="0"/>
    </xf>
    <xf numFmtId="1" fontId="21" fillId="0" borderId="22" xfId="0" applyNumberFormat="1" applyFont="1" applyFill="1" applyBorder="1" applyAlignment="1" applyProtection="1">
      <alignment horizontal="centerContinuous" vertical="center"/>
      <protection locked="0"/>
    </xf>
    <xf numFmtId="1" fontId="21" fillId="0" borderId="23" xfId="0" applyNumberFormat="1" applyFont="1" applyFill="1" applyBorder="1" applyAlignment="1" applyProtection="1">
      <alignment horizontal="left" vertical="center"/>
      <protection locked="0"/>
    </xf>
    <xf numFmtId="1" fontId="5" fillId="0" borderId="48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17" fillId="0" borderId="0" xfId="0" applyNumberFormat="1" applyFont="1" applyAlignment="1">
      <alignment/>
    </xf>
    <xf numFmtId="0" fontId="50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3" fontId="9" fillId="0" borderId="36" xfId="0" applyNumberFormat="1" applyFont="1" applyBorder="1" applyAlignment="1">
      <alignment/>
    </xf>
    <xf numFmtId="3" fontId="2" fillId="0" borderId="13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36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30" xfId="0" applyNumberFormat="1" applyFont="1" applyBorder="1" applyAlignment="1">
      <alignment/>
    </xf>
    <xf numFmtId="0" fontId="16" fillId="0" borderId="36" xfId="0" applyFont="1" applyBorder="1" applyAlignment="1">
      <alignment/>
    </xf>
    <xf numFmtId="3" fontId="16" fillId="0" borderId="36" xfId="0" applyNumberFormat="1" applyFont="1" applyBorder="1" applyAlignment="1">
      <alignment/>
    </xf>
    <xf numFmtId="0" fontId="51" fillId="0" borderId="36" xfId="0" applyFont="1" applyBorder="1" applyAlignment="1">
      <alignment/>
    </xf>
    <xf numFmtId="3" fontId="51" fillId="0" borderId="36" xfId="0" applyNumberFormat="1" applyFont="1" applyBorder="1" applyAlignment="1">
      <alignment/>
    </xf>
    <xf numFmtId="3" fontId="38" fillId="0" borderId="130" xfId="0" applyNumberFormat="1" applyFont="1" applyBorder="1" applyAlignment="1">
      <alignment/>
    </xf>
    <xf numFmtId="3" fontId="51" fillId="0" borderId="3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36" xfId="0" applyFont="1" applyBorder="1" applyAlignment="1">
      <alignment horizontal="lef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13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9" fillId="0" borderId="36" xfId="0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/>
    </xf>
    <xf numFmtId="3" fontId="9" fillId="0" borderId="130" xfId="0" applyNumberFormat="1" applyFont="1" applyBorder="1" applyAlignment="1">
      <alignment/>
    </xf>
    <xf numFmtId="3" fontId="38" fillId="0" borderId="36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42" fillId="0" borderId="36" xfId="0" applyFont="1" applyBorder="1" applyAlignment="1">
      <alignment wrapText="1"/>
    </xf>
    <xf numFmtId="3" fontId="52" fillId="0" borderId="0" xfId="0" applyNumberFormat="1" applyFont="1" applyAlignment="1">
      <alignment/>
    </xf>
    <xf numFmtId="3" fontId="42" fillId="0" borderId="15" xfId="0" applyNumberFormat="1" applyFont="1" applyBorder="1" applyAlignment="1">
      <alignment/>
    </xf>
    <xf numFmtId="3" fontId="52" fillId="0" borderId="36" xfId="0" applyNumberFormat="1" applyFont="1" applyBorder="1" applyAlignment="1">
      <alignment/>
    </xf>
    <xf numFmtId="3" fontId="42" fillId="0" borderId="130" xfId="0" applyNumberFormat="1" applyFont="1" applyBorder="1" applyAlignment="1">
      <alignment/>
    </xf>
    <xf numFmtId="0" fontId="42" fillId="0" borderId="36" xfId="0" applyFont="1" applyBorder="1" applyAlignment="1">
      <alignment/>
    </xf>
    <xf numFmtId="3" fontId="42" fillId="0" borderId="36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8" fillId="0" borderId="131" xfId="0" applyFont="1" applyBorder="1" applyAlignment="1">
      <alignment/>
    </xf>
    <xf numFmtId="3" fontId="38" fillId="0" borderId="131" xfId="0" applyNumberFormat="1" applyFont="1" applyBorder="1" applyAlignment="1">
      <alignment/>
    </xf>
    <xf numFmtId="3" fontId="38" fillId="0" borderId="5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9" fillId="0" borderId="23" xfId="0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centerContinuous" vertical="center"/>
    </xf>
    <xf numFmtId="4" fontId="9" fillId="0" borderId="29" xfId="0" applyNumberFormat="1" applyFont="1" applyBorder="1" applyAlignment="1">
      <alignment horizontal="centerContinuous"/>
    </xf>
    <xf numFmtId="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42" fillId="0" borderId="0" xfId="0" applyFont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" fontId="42" fillId="0" borderId="36" xfId="0" applyNumberFormat="1" applyFont="1" applyBorder="1" applyAlignment="1">
      <alignment vertical="center"/>
    </xf>
    <xf numFmtId="3" fontId="42" fillId="0" borderId="13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" fontId="9" fillId="0" borderId="109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30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4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35" xfId="0" applyFont="1" applyBorder="1" applyAlignment="1">
      <alignment horizontal="centerContinuous"/>
    </xf>
    <xf numFmtId="0" fontId="21" fillId="0" borderId="7" xfId="0" applyFont="1" applyBorder="1" applyAlignment="1">
      <alignment horizontal="center"/>
    </xf>
    <xf numFmtId="0" fontId="50" fillId="0" borderId="16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31" xfId="0" applyFont="1" applyBorder="1" applyAlignment="1">
      <alignment horizontal="centerContinuous" vertical="center"/>
    </xf>
    <xf numFmtId="0" fontId="21" fillId="0" borderId="132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Continuous" vertical="center"/>
    </xf>
    <xf numFmtId="0" fontId="38" fillId="0" borderId="50" xfId="0" applyFont="1" applyBorder="1" applyAlignment="1">
      <alignment vertical="center"/>
    </xf>
    <xf numFmtId="0" fontId="38" fillId="0" borderId="103" xfId="0" applyFont="1" applyBorder="1" applyAlignment="1">
      <alignment horizontal="center" vertical="center"/>
    </xf>
    <xf numFmtId="3" fontId="2" fillId="0" borderId="106" xfId="0" applyNumberFormat="1" applyFont="1" applyBorder="1" applyAlignment="1">
      <alignment vertical="center"/>
    </xf>
    <xf numFmtId="0" fontId="38" fillId="0" borderId="40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vertical="center"/>
    </xf>
    <xf numFmtId="0" fontId="38" fillId="0" borderId="45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38" fillId="0" borderId="0" xfId="18" applyFont="1" applyAlignment="1">
      <alignment horizontal="center"/>
      <protection/>
    </xf>
    <xf numFmtId="0" fontId="38" fillId="0" borderId="0" xfId="18" applyFont="1" applyAlignment="1">
      <alignment wrapText="1"/>
      <protection/>
    </xf>
    <xf numFmtId="0" fontId="38" fillId="0" borderId="0" xfId="18" applyFont="1">
      <alignment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18" applyFont="1">
      <alignment/>
      <protection/>
    </xf>
    <xf numFmtId="0" fontId="6" fillId="0" borderId="0" xfId="18" applyFont="1" applyAlignment="1">
      <alignment horizontal="centerContinuous" vertical="center"/>
      <protection/>
    </xf>
    <xf numFmtId="0" fontId="41" fillId="0" borderId="0" xfId="18" applyFont="1" applyAlignment="1">
      <alignment horizontal="centerContinuous" vertical="center" wrapText="1"/>
      <protection/>
    </xf>
    <xf numFmtId="0" fontId="41" fillId="0" borderId="0" xfId="18" applyFont="1" applyAlignment="1">
      <alignment horizontal="centerContinuous" vertical="center"/>
      <protection/>
    </xf>
    <xf numFmtId="0" fontId="55" fillId="0" borderId="0" xfId="0" applyFont="1" applyAlignment="1">
      <alignment horizontal="centerContinuous" vertical="center"/>
    </xf>
    <xf numFmtId="0" fontId="7" fillId="0" borderId="0" xfId="18" applyFont="1" applyAlignment="1">
      <alignment vertical="center"/>
      <protection/>
    </xf>
    <xf numFmtId="0" fontId="6" fillId="0" borderId="0" xfId="18" applyFont="1" applyAlignment="1">
      <alignment horizontal="centerContinuous" vertical="center" wrapText="1"/>
      <protection/>
    </xf>
    <xf numFmtId="0" fontId="41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vertical="center"/>
      <protection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18" applyFont="1" applyAlignment="1">
      <alignment horizontal="centerContinuous" vertical="center"/>
      <protection/>
    </xf>
    <xf numFmtId="0" fontId="3" fillId="0" borderId="0" xfId="18" applyFont="1" applyAlignment="1">
      <alignment horizontal="centerContinuous"/>
      <protection/>
    </xf>
    <xf numFmtId="0" fontId="21" fillId="0" borderId="0" xfId="18" applyFont="1">
      <alignment/>
      <protection/>
    </xf>
    <xf numFmtId="0" fontId="5" fillId="0" borderId="0" xfId="18" applyFont="1">
      <alignment/>
      <protection/>
    </xf>
    <xf numFmtId="0" fontId="11" fillId="0" borderId="103" xfId="18" applyFont="1" applyBorder="1" applyAlignment="1">
      <alignment horizontal="center" vertical="center" wrapText="1"/>
      <protection/>
    </xf>
    <xf numFmtId="0" fontId="41" fillId="0" borderId="129" xfId="18" applyFont="1" applyBorder="1" applyAlignment="1">
      <alignment horizontal="center" vertical="center" wrapText="1"/>
      <protection/>
    </xf>
    <xf numFmtId="0" fontId="9" fillId="0" borderId="133" xfId="18" applyFont="1" applyBorder="1" applyAlignment="1">
      <alignment horizontal="center" vertical="center" wrapText="1"/>
      <protection/>
    </xf>
    <xf numFmtId="0" fontId="9" fillId="0" borderId="52" xfId="18" applyFont="1" applyBorder="1" applyAlignment="1">
      <alignment horizontal="center" vertical="center" wrapText="1"/>
      <protection/>
    </xf>
    <xf numFmtId="0" fontId="9" fillId="0" borderId="54" xfId="18" applyFont="1" applyBorder="1" applyAlignment="1">
      <alignment horizontal="center" vertical="center" wrapText="1"/>
      <protection/>
    </xf>
    <xf numFmtId="1" fontId="15" fillId="0" borderId="35" xfId="18" applyNumberFormat="1" applyFont="1" applyBorder="1" applyAlignment="1">
      <alignment horizontal="center" vertical="center" wrapText="1"/>
      <protection/>
    </xf>
    <xf numFmtId="1" fontId="15" fillId="0" borderId="7" xfId="18" applyNumberFormat="1" applyFont="1" applyBorder="1" applyAlignment="1">
      <alignment horizontal="center" vertical="center" wrapText="1"/>
      <protection/>
    </xf>
    <xf numFmtId="1" fontId="15" fillId="0" borderId="37" xfId="18" applyNumberFormat="1" applyFont="1" applyBorder="1" applyAlignment="1">
      <alignment horizontal="center" vertical="center" wrapText="1"/>
      <protection/>
    </xf>
    <xf numFmtId="1" fontId="15" fillId="0" borderId="5" xfId="18" applyNumberFormat="1" applyFont="1" applyBorder="1" applyAlignment="1">
      <alignment horizontal="center" vertical="center" wrapText="1"/>
      <protection/>
    </xf>
    <xf numFmtId="1" fontId="15" fillId="0" borderId="8" xfId="18" applyNumberFormat="1" applyFont="1" applyBorder="1" applyAlignment="1">
      <alignment horizontal="center" vertical="center" wrapText="1"/>
      <protection/>
    </xf>
    <xf numFmtId="0" fontId="12" fillId="0" borderId="0" xfId="18" applyFont="1">
      <alignment/>
      <protection/>
    </xf>
    <xf numFmtId="0" fontId="5" fillId="0" borderId="33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left" vertical="center" wrapText="1"/>
      <protection/>
    </xf>
    <xf numFmtId="3" fontId="5" fillId="0" borderId="114" xfId="18" applyNumberFormat="1" applyFont="1" applyBorder="1" applyAlignment="1">
      <alignment horizontal="right" vertical="center"/>
      <protection/>
    </xf>
    <xf numFmtId="3" fontId="5" fillId="0" borderId="48" xfId="18" applyNumberFormat="1" applyFont="1" applyBorder="1" applyAlignment="1">
      <alignment horizontal="right" vertical="center"/>
      <protection/>
    </xf>
    <xf numFmtId="3" fontId="5" fillId="0" borderId="26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vertical="center"/>
      <protection/>
    </xf>
    <xf numFmtId="0" fontId="5" fillId="0" borderId="35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left" vertical="center" wrapText="1"/>
      <protection/>
    </xf>
    <xf numFmtId="3" fontId="5" fillId="0" borderId="37" xfId="18" applyNumberFormat="1" applyFont="1" applyBorder="1" applyAlignment="1">
      <alignment horizontal="right" vertical="center"/>
      <protection/>
    </xf>
    <xf numFmtId="3" fontId="5" fillId="0" borderId="5" xfId="18" applyNumberFormat="1" applyFont="1" applyBorder="1" applyAlignment="1">
      <alignment horizontal="right" vertical="center"/>
      <protection/>
    </xf>
    <xf numFmtId="3" fontId="5" fillId="0" borderId="8" xfId="18" applyNumberFormat="1" applyFont="1" applyBorder="1" applyAlignment="1">
      <alignment horizontal="center"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left" vertical="center" wrapText="1"/>
      <protection/>
    </xf>
    <xf numFmtId="3" fontId="4" fillId="0" borderId="37" xfId="18" applyNumberFormat="1" applyFont="1" applyBorder="1" applyAlignment="1">
      <alignment horizontal="right" vertical="center"/>
      <protection/>
    </xf>
    <xf numFmtId="3" fontId="4" fillId="0" borderId="5" xfId="18" applyNumberFormat="1" applyFont="1" applyBorder="1" applyAlignment="1">
      <alignment horizontal="right" vertical="center"/>
      <protection/>
    </xf>
    <xf numFmtId="3" fontId="3" fillId="0" borderId="8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5" fillId="0" borderId="103" xfId="18" applyFont="1" applyBorder="1" applyAlignment="1">
      <alignment horizontal="center" vertical="center"/>
      <protection/>
    </xf>
    <xf numFmtId="0" fontId="5" fillId="0" borderId="129" xfId="18" applyFont="1" applyBorder="1" applyAlignment="1">
      <alignment horizontal="left" vertical="center" wrapText="1"/>
      <protection/>
    </xf>
    <xf numFmtId="3" fontId="5" fillId="0" borderId="133" xfId="18" applyNumberFormat="1" applyFont="1" applyBorder="1" applyAlignment="1">
      <alignment horizontal="right" vertical="center"/>
      <protection/>
    </xf>
    <xf numFmtId="3" fontId="5" fillId="0" borderId="52" xfId="18" applyNumberFormat="1" applyFont="1" applyBorder="1" applyAlignment="1">
      <alignment horizontal="right" vertical="center"/>
      <protection/>
    </xf>
    <xf numFmtId="3" fontId="5" fillId="0" borderId="54" xfId="18" applyNumberFormat="1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left" vertical="center" wrapText="1"/>
      <protection/>
    </xf>
    <xf numFmtId="3" fontId="4" fillId="0" borderId="38" xfId="18" applyNumberFormat="1" applyFont="1" applyBorder="1" applyAlignment="1">
      <alignment horizontal="right" vertical="center"/>
      <protection/>
    </xf>
    <xf numFmtId="3" fontId="4" fillId="0" borderId="14" xfId="18" applyNumberFormat="1" applyFont="1" applyBorder="1" applyAlignment="1">
      <alignment horizontal="right" vertical="center"/>
      <protection/>
    </xf>
    <xf numFmtId="3" fontId="2" fillId="0" borderId="15" xfId="18" applyNumberFormat="1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3" fontId="5" fillId="0" borderId="33" xfId="18" applyNumberFormat="1" applyFont="1" applyBorder="1" applyAlignment="1">
      <alignment horizontal="right" vertical="center"/>
      <protection/>
    </xf>
    <xf numFmtId="3" fontId="5" fillId="0" borderId="29" xfId="18" applyNumberFormat="1" applyFont="1" applyBorder="1" applyAlignment="1">
      <alignment horizontal="center" vertical="center"/>
      <protection/>
    </xf>
    <xf numFmtId="3" fontId="5" fillId="0" borderId="103" xfId="18" applyNumberFormat="1" applyFont="1" applyBorder="1" applyAlignment="1">
      <alignment horizontal="right" vertical="center"/>
      <protection/>
    </xf>
    <xf numFmtId="3" fontId="5" fillId="0" borderId="128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3" fontId="4" fillId="0" borderId="11" xfId="18" applyNumberFormat="1" applyFont="1" applyBorder="1" applyAlignment="1">
      <alignment horizontal="right" vertical="center"/>
      <protection/>
    </xf>
    <xf numFmtId="3" fontId="2" fillId="0" borderId="130" xfId="18" applyNumberFormat="1" applyFont="1" applyBorder="1" applyAlignment="1">
      <alignment horizontal="center" vertical="center"/>
      <protection/>
    </xf>
    <xf numFmtId="0" fontId="5" fillId="0" borderId="28" xfId="18" applyFont="1" applyBorder="1" applyAlignment="1">
      <alignment vertical="center" wrapText="1"/>
      <protection/>
    </xf>
    <xf numFmtId="3" fontId="5" fillId="0" borderId="114" xfId="18" applyNumberFormat="1" applyFont="1" applyBorder="1" applyAlignment="1">
      <alignment vertical="center"/>
      <protection/>
    </xf>
    <xf numFmtId="3" fontId="5" fillId="0" borderId="33" xfId="18" applyNumberFormat="1" applyFont="1" applyBorder="1" applyAlignment="1">
      <alignment vertical="center"/>
      <protection/>
    </xf>
    <xf numFmtId="3" fontId="5" fillId="0" borderId="29" xfId="18" applyNumberFormat="1" applyFont="1" applyBorder="1" applyAlignment="1">
      <alignment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0" xfId="18" applyFont="1" applyBorder="1" applyAlignment="1">
      <alignment vertical="center" wrapText="1"/>
      <protection/>
    </xf>
    <xf numFmtId="3" fontId="5" fillId="0" borderId="38" xfId="18" applyNumberFormat="1" applyFont="1" applyBorder="1" applyAlignment="1">
      <alignment vertical="center"/>
      <protection/>
    </xf>
    <xf numFmtId="3" fontId="5" fillId="0" borderId="14" xfId="18" applyNumberFormat="1" applyFont="1" applyBorder="1" applyAlignment="1">
      <alignment vertical="center"/>
      <protection/>
    </xf>
    <xf numFmtId="3" fontId="5" fillId="0" borderId="15" xfId="18" applyNumberFormat="1" applyFont="1" applyBorder="1" applyAlignment="1">
      <alignment vertical="center"/>
      <protection/>
    </xf>
    <xf numFmtId="0" fontId="4" fillId="0" borderId="40" xfId="18" applyFont="1" applyBorder="1" applyAlignment="1">
      <alignment horizontal="center" vertical="center"/>
      <protection/>
    </xf>
    <xf numFmtId="0" fontId="4" fillId="0" borderId="83" xfId="18" applyFont="1" applyBorder="1" applyAlignment="1">
      <alignment vertical="center" wrapText="1"/>
      <protection/>
    </xf>
    <xf numFmtId="3" fontId="4" fillId="0" borderId="41" xfId="18" applyNumberFormat="1" applyFont="1" applyBorder="1" applyAlignment="1">
      <alignment vertical="center"/>
      <protection/>
    </xf>
    <xf numFmtId="0" fontId="5" fillId="0" borderId="40" xfId="18" applyFont="1" applyBorder="1" applyAlignment="1">
      <alignment horizontal="center" vertical="center"/>
      <protection/>
    </xf>
    <xf numFmtId="0" fontId="5" fillId="0" borderId="83" xfId="18" applyFont="1" applyBorder="1" applyAlignment="1">
      <alignment vertical="center" wrapText="1"/>
      <protection/>
    </xf>
    <xf numFmtId="3" fontId="5" fillId="0" borderId="118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0" fontId="4" fillId="0" borderId="10" xfId="18" applyFont="1" applyBorder="1" applyAlignment="1">
      <alignment vertical="center" wrapText="1"/>
      <protection/>
    </xf>
    <xf numFmtId="3" fontId="4" fillId="0" borderId="39" xfId="18" applyNumberFormat="1" applyFont="1" applyBorder="1" applyAlignment="1">
      <alignment vertical="center"/>
      <protection/>
    </xf>
    <xf numFmtId="3" fontId="4" fillId="0" borderId="14" xfId="18" applyNumberFormat="1" applyFont="1" applyBorder="1" applyAlignment="1">
      <alignment vertical="center"/>
      <protection/>
    </xf>
    <xf numFmtId="3" fontId="2" fillId="0" borderId="15" xfId="18" applyNumberFormat="1" applyFont="1" applyBorder="1" applyAlignment="1">
      <alignment vertical="center"/>
      <protection/>
    </xf>
    <xf numFmtId="3" fontId="5" fillId="0" borderId="48" xfId="18" applyNumberFormat="1" applyFont="1" applyBorder="1" applyAlignment="1">
      <alignment vertical="center"/>
      <protection/>
    </xf>
    <xf numFmtId="3" fontId="5" fillId="0" borderId="26" xfId="18" applyNumberFormat="1" applyFont="1" applyBorder="1" applyAlignment="1">
      <alignment vertical="center"/>
      <protection/>
    </xf>
    <xf numFmtId="3" fontId="10" fillId="0" borderId="130" xfId="0" applyNumberFormat="1" applyFont="1" applyBorder="1" applyAlignment="1">
      <alignment vertical="center"/>
    </xf>
    <xf numFmtId="0" fontId="5" fillId="0" borderId="31" xfId="18" applyFont="1" applyBorder="1" applyAlignment="1">
      <alignment horizontal="center" vertical="center"/>
      <protection/>
    </xf>
    <xf numFmtId="0" fontId="5" fillId="0" borderId="102" xfId="18" applyFont="1" applyBorder="1" applyAlignment="1">
      <alignment vertical="center" wrapText="1"/>
      <protection/>
    </xf>
    <xf numFmtId="3" fontId="5" fillId="0" borderId="134" xfId="18" applyNumberFormat="1" applyFont="1" applyBorder="1" applyAlignment="1">
      <alignment vertical="center"/>
      <protection/>
    </xf>
    <xf numFmtId="3" fontId="5" fillId="0" borderId="80" xfId="18" applyNumberFormat="1" applyFont="1" applyBorder="1" applyAlignment="1">
      <alignment vertical="center"/>
      <protection/>
    </xf>
    <xf numFmtId="3" fontId="5" fillId="0" borderId="32" xfId="18" applyNumberFormat="1" applyFont="1" applyBorder="1" applyAlignment="1">
      <alignment vertical="center"/>
      <protection/>
    </xf>
    <xf numFmtId="0" fontId="4" fillId="0" borderId="45" xfId="18" applyFont="1" applyBorder="1" applyAlignment="1">
      <alignment horizontal="center" vertical="center"/>
      <protection/>
    </xf>
    <xf numFmtId="0" fontId="4" fillId="0" borderId="110" xfId="18" applyFont="1" applyBorder="1" applyAlignment="1">
      <alignment vertical="center" wrapText="1"/>
      <protection/>
    </xf>
    <xf numFmtId="3" fontId="5" fillId="0" borderId="40" xfId="18" applyNumberFormat="1" applyFont="1" applyBorder="1" applyAlignment="1">
      <alignment vertical="center"/>
      <protection/>
    </xf>
    <xf numFmtId="3" fontId="5" fillId="0" borderId="108" xfId="18" applyNumberFormat="1" applyFont="1" applyBorder="1" applyAlignment="1">
      <alignment vertical="center"/>
      <protection/>
    </xf>
    <xf numFmtId="0" fontId="4" fillId="0" borderId="102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horizontal="right" vertical="center"/>
      <protection/>
    </xf>
    <xf numFmtId="3" fontId="4" fillId="0" borderId="80" xfId="18" applyNumberFormat="1" applyFont="1" applyBorder="1" applyAlignment="1">
      <alignment vertical="center"/>
      <protection/>
    </xf>
    <xf numFmtId="0" fontId="5" fillId="0" borderId="45" xfId="18" applyFont="1" applyBorder="1" applyAlignment="1">
      <alignment horizontal="center" vertical="center"/>
      <protection/>
    </xf>
    <xf numFmtId="0" fontId="4" fillId="0" borderId="45" xfId="18" applyFont="1" applyBorder="1" applyAlignment="1">
      <alignment horizontal="center" vertical="center"/>
      <protection/>
    </xf>
    <xf numFmtId="0" fontId="4" fillId="0" borderId="31" xfId="18" applyFont="1" applyBorder="1" applyAlignment="1">
      <alignment horizontal="center" vertical="center"/>
      <protection/>
    </xf>
    <xf numFmtId="0" fontId="4" fillId="0" borderId="102" xfId="18" applyFont="1" applyBorder="1" applyAlignment="1">
      <alignment horizontal="left" vertical="center" wrapText="1"/>
      <protection/>
    </xf>
    <xf numFmtId="3" fontId="4" fillId="0" borderId="134" xfId="18" applyNumberFormat="1" applyFont="1" applyBorder="1" applyAlignment="1">
      <alignment horizontal="right" vertical="center"/>
      <protection/>
    </xf>
    <xf numFmtId="3" fontId="2" fillId="0" borderId="32" xfId="18" applyNumberFormat="1" applyFont="1" applyBorder="1" applyAlignment="1">
      <alignment vertical="center"/>
      <protection/>
    </xf>
    <xf numFmtId="3" fontId="2" fillId="0" borderId="43" xfId="18" applyNumberFormat="1" applyFont="1" applyBorder="1" applyAlignment="1">
      <alignment vertical="center"/>
      <protection/>
    </xf>
    <xf numFmtId="0" fontId="5" fillId="0" borderId="40" xfId="18" applyFont="1" applyBorder="1" applyAlignment="1">
      <alignment horizontal="center" vertical="center"/>
      <protection/>
    </xf>
    <xf numFmtId="0" fontId="4" fillId="0" borderId="40" xfId="18" applyFont="1" applyBorder="1" applyAlignment="1">
      <alignment horizontal="center" vertical="center"/>
      <protection/>
    </xf>
    <xf numFmtId="0" fontId="4" fillId="0" borderId="83" xfId="18" applyFont="1" applyBorder="1" applyAlignment="1">
      <alignment vertical="center" wrapText="1"/>
      <protection/>
    </xf>
    <xf numFmtId="3" fontId="4" fillId="0" borderId="43" xfId="18" applyNumberFormat="1" applyFont="1" applyBorder="1" applyAlignment="1">
      <alignment vertical="center"/>
      <protection/>
    </xf>
    <xf numFmtId="0" fontId="4" fillId="0" borderId="110" xfId="18" applyFont="1" applyBorder="1" applyAlignment="1">
      <alignment vertical="center" wrapText="1"/>
      <protection/>
    </xf>
    <xf numFmtId="3" fontId="4" fillId="0" borderId="39" xfId="18" applyNumberFormat="1" applyFont="1" applyBorder="1" applyAlignment="1">
      <alignment horizontal="right" vertical="center"/>
      <protection/>
    </xf>
    <xf numFmtId="3" fontId="4" fillId="0" borderId="46" xfId="18" applyNumberFormat="1" applyFont="1" applyBorder="1" applyAlignment="1">
      <alignment vertical="center"/>
      <protection/>
    </xf>
    <xf numFmtId="3" fontId="4" fillId="0" borderId="44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4" fillId="0" borderId="32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horizontal="center" vertical="center"/>
      <protection/>
    </xf>
    <xf numFmtId="0" fontId="4" fillId="0" borderId="17" xfId="18" applyFont="1" applyBorder="1" applyAlignment="1">
      <alignment horizontal="left" vertical="center" wrapText="1"/>
      <protection/>
    </xf>
    <xf numFmtId="3" fontId="4" fillId="0" borderId="135" xfId="18" applyNumberFormat="1" applyFont="1" applyBorder="1" applyAlignment="1">
      <alignment horizontal="right"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9" fillId="0" borderId="103" xfId="18" applyFont="1" applyBorder="1" applyAlignment="1">
      <alignment horizontal="center" vertical="center"/>
      <protection/>
    </xf>
    <xf numFmtId="0" fontId="9" fillId="0" borderId="129" xfId="18" applyFont="1" applyBorder="1" applyAlignment="1">
      <alignment vertical="center" wrapText="1"/>
      <protection/>
    </xf>
    <xf numFmtId="3" fontId="9" fillId="0" borderId="133" xfId="18" applyNumberFormat="1" applyFont="1" applyBorder="1" applyAlignment="1">
      <alignment vertical="center"/>
      <protection/>
    </xf>
    <xf numFmtId="3" fontId="9" fillId="0" borderId="52" xfId="18" applyNumberFormat="1" applyFont="1" applyBorder="1" applyAlignment="1">
      <alignment vertical="center"/>
      <protection/>
    </xf>
    <xf numFmtId="3" fontId="9" fillId="0" borderId="54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3" fontId="2" fillId="0" borderId="134" xfId="18" applyNumberFormat="1" applyFont="1" applyBorder="1" applyAlignment="1">
      <alignment horizontal="right" vertical="center"/>
      <protection/>
    </xf>
    <xf numFmtId="3" fontId="2" fillId="0" borderId="80" xfId="18" applyNumberFormat="1" applyFont="1" applyBorder="1" applyAlignment="1">
      <alignment vertical="center"/>
      <protection/>
    </xf>
    <xf numFmtId="3" fontId="2" fillId="0" borderId="32" xfId="18" applyNumberFormat="1" applyFont="1" applyBorder="1" applyAlignment="1">
      <alignment vertical="center"/>
      <protection/>
    </xf>
    <xf numFmtId="0" fontId="5" fillId="0" borderId="40" xfId="18" applyFont="1" applyBorder="1" applyAlignment="1">
      <alignment horizontal="center" vertical="center"/>
      <protection/>
    </xf>
    <xf numFmtId="0" fontId="5" fillId="0" borderId="83" xfId="18" applyFont="1" applyBorder="1" applyAlignment="1">
      <alignment vertical="center" wrapText="1"/>
      <protection/>
    </xf>
    <xf numFmtId="3" fontId="5" fillId="0" borderId="118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0" fontId="4" fillId="0" borderId="40" xfId="18" applyFont="1" applyBorder="1" applyAlignment="1">
      <alignment horizontal="center" vertical="center"/>
      <protection/>
    </xf>
    <xf numFmtId="3" fontId="2" fillId="0" borderId="43" xfId="18" applyNumberFormat="1" applyFont="1" applyBorder="1" applyAlignment="1">
      <alignment vertical="center"/>
      <protection/>
    </xf>
    <xf numFmtId="0" fontId="5" fillId="0" borderId="40" xfId="18" applyFont="1" applyBorder="1" applyAlignment="1">
      <alignment horizontal="center"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4" fillId="0" borderId="44" xfId="0" applyNumberFormat="1" applyFont="1" applyBorder="1" applyAlignment="1">
      <alignment vertical="center"/>
    </xf>
    <xf numFmtId="3" fontId="5" fillId="0" borderId="114" xfId="18" applyNumberFormat="1" applyFont="1" applyBorder="1" applyAlignment="1">
      <alignment vertical="center"/>
      <protection/>
    </xf>
    <xf numFmtId="3" fontId="5" fillId="0" borderId="33" xfId="18" applyNumberFormat="1" applyFont="1" applyBorder="1" applyAlignment="1">
      <alignment vertical="center"/>
      <protection/>
    </xf>
    <xf numFmtId="3" fontId="5" fillId="0" borderId="29" xfId="18" applyNumberFormat="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3" fontId="5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4" fillId="0" borderId="136" xfId="18" applyNumberFormat="1" applyFont="1" applyBorder="1" applyAlignment="1">
      <alignment vertical="center"/>
      <protection/>
    </xf>
    <xf numFmtId="0" fontId="13" fillId="0" borderId="31" xfId="18" applyFont="1" applyBorder="1" applyAlignment="1">
      <alignment horizontal="center" vertical="center"/>
      <protection/>
    </xf>
    <xf numFmtId="0" fontId="13" fillId="0" borderId="102" xfId="18" applyFont="1" applyBorder="1" applyAlignment="1">
      <alignment vertical="center" wrapText="1"/>
      <protection/>
    </xf>
    <xf numFmtId="3" fontId="13" fillId="0" borderId="134" xfId="18" applyNumberFormat="1" applyFont="1" applyBorder="1" applyAlignment="1">
      <alignment horizontal="right" vertical="center"/>
      <protection/>
    </xf>
    <xf numFmtId="3" fontId="13" fillId="0" borderId="80" xfId="18" applyNumberFormat="1" applyFont="1" applyBorder="1" applyAlignment="1">
      <alignment vertical="center"/>
      <protection/>
    </xf>
    <xf numFmtId="3" fontId="13" fillId="0" borderId="136" xfId="18" applyNumberFormat="1" applyFont="1" applyBorder="1" applyAlignment="1">
      <alignment vertical="center"/>
      <protection/>
    </xf>
    <xf numFmtId="3" fontId="5" fillId="0" borderId="80" xfId="18" applyNumberFormat="1" applyFont="1" applyBorder="1" applyAlignment="1">
      <alignment vertical="center"/>
      <protection/>
    </xf>
    <xf numFmtId="3" fontId="5" fillId="0" borderId="136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vertical="center"/>
      <protection/>
    </xf>
    <xf numFmtId="0" fontId="5" fillId="0" borderId="40" xfId="0" applyFont="1" applyBorder="1" applyAlignment="1">
      <alignment vertical="center"/>
    </xf>
    <xf numFmtId="0" fontId="5" fillId="0" borderId="41" xfId="18" applyFont="1" applyBorder="1" applyAlignment="1">
      <alignment horizontal="left" vertical="center" wrapText="1"/>
      <protection/>
    </xf>
    <xf numFmtId="0" fontId="5" fillId="0" borderId="40" xfId="18" applyFont="1" applyBorder="1" applyAlignment="1">
      <alignment horizontal="center" vertical="center"/>
      <protection/>
    </xf>
    <xf numFmtId="3" fontId="5" fillId="0" borderId="43" xfId="18" applyNumberFormat="1" applyFont="1" applyBorder="1" applyAlignment="1">
      <alignment vertical="center"/>
      <protection/>
    </xf>
    <xf numFmtId="0" fontId="5" fillId="0" borderId="40" xfId="18" applyFont="1" applyBorder="1" applyAlignment="1">
      <alignment horizontal="center" vertical="center"/>
      <protection/>
    </xf>
    <xf numFmtId="3" fontId="5" fillId="0" borderId="108" xfId="0" applyNumberFormat="1" applyFont="1" applyBorder="1" applyAlignment="1">
      <alignment vertical="center"/>
    </xf>
    <xf numFmtId="3" fontId="2" fillId="0" borderId="44" xfId="18" applyNumberFormat="1" applyFont="1" applyBorder="1" applyAlignment="1">
      <alignment vertical="center"/>
      <protection/>
    </xf>
    <xf numFmtId="3" fontId="4" fillId="0" borderId="15" xfId="18" applyNumberFormat="1" applyFont="1" applyBorder="1" applyAlignment="1">
      <alignment vertical="center"/>
      <protection/>
    </xf>
    <xf numFmtId="0" fontId="13" fillId="0" borderId="40" xfId="18" applyFont="1" applyBorder="1" applyAlignment="1">
      <alignment horizontal="center" vertical="center"/>
      <protection/>
    </xf>
    <xf numFmtId="0" fontId="13" fillId="0" borderId="83" xfId="18" applyFont="1" applyBorder="1" applyAlignment="1">
      <alignment horizontal="left" vertical="center" wrapText="1"/>
      <protection/>
    </xf>
    <xf numFmtId="3" fontId="5" fillId="0" borderId="118" xfId="18" applyNumberFormat="1" applyFont="1" applyBorder="1" applyAlignment="1">
      <alignment horizontal="right" vertical="center"/>
      <protection/>
    </xf>
    <xf numFmtId="3" fontId="4" fillId="0" borderId="21" xfId="18" applyNumberFormat="1" applyFont="1" applyBorder="1" applyAlignment="1">
      <alignment vertical="center"/>
      <protection/>
    </xf>
    <xf numFmtId="0" fontId="5" fillId="0" borderId="129" xfId="18" applyFont="1" applyBorder="1" applyAlignment="1">
      <alignment vertical="center" wrapText="1"/>
      <protection/>
    </xf>
    <xf numFmtId="3" fontId="5" fillId="0" borderId="133" xfId="18" applyNumberFormat="1" applyFont="1" applyBorder="1" applyAlignment="1">
      <alignment vertical="center"/>
      <protection/>
    </xf>
    <xf numFmtId="3" fontId="5" fillId="0" borderId="52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0" fontId="4" fillId="0" borderId="40" xfId="18" applyFont="1" applyBorder="1" applyAlignment="1">
      <alignment horizontal="center" vertical="center"/>
      <protection/>
    </xf>
    <xf numFmtId="0" fontId="4" fillId="0" borderId="83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4" fillId="0" borderId="41" xfId="18" applyNumberFormat="1" applyFont="1" applyBorder="1" applyAlignment="1">
      <alignment vertical="center"/>
      <protection/>
    </xf>
    <xf numFmtId="3" fontId="4" fillId="0" borderId="43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3" fontId="4" fillId="0" borderId="38" xfId="18" applyNumberFormat="1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3" fontId="4" fillId="0" borderId="14" xfId="18" applyNumberFormat="1" applyFont="1" applyBorder="1" applyAlignment="1">
      <alignment vertical="center"/>
      <protection/>
    </xf>
    <xf numFmtId="0" fontId="5" fillId="0" borderId="83" xfId="18" applyFont="1" applyBorder="1" applyAlignment="1">
      <alignment vertical="center" wrapText="1"/>
      <protection/>
    </xf>
    <xf numFmtId="3" fontId="5" fillId="0" borderId="118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4" fillId="0" borderId="46" xfId="18" applyNumberFormat="1" applyFont="1" applyBorder="1" applyAlignment="1">
      <alignment vertical="center"/>
      <protection/>
    </xf>
    <xf numFmtId="3" fontId="4" fillId="0" borderId="44" xfId="18" applyNumberFormat="1" applyFont="1" applyBorder="1" applyAlignment="1">
      <alignment vertical="center"/>
      <protection/>
    </xf>
    <xf numFmtId="0" fontId="5" fillId="0" borderId="43" xfId="18" applyFont="1" applyBorder="1" applyAlignment="1">
      <alignment vertical="center" wrapText="1"/>
      <protection/>
    </xf>
    <xf numFmtId="3" fontId="56" fillId="0" borderId="0" xfId="0" applyNumberFormat="1" applyFont="1" applyBorder="1" applyAlignment="1">
      <alignment vertical="center"/>
    </xf>
    <xf numFmtId="0" fontId="32" fillId="0" borderId="11" xfId="18" applyFont="1" applyBorder="1" applyAlignment="1">
      <alignment horizontal="center" vertical="center"/>
      <protection/>
    </xf>
    <xf numFmtId="0" fontId="32" fillId="0" borderId="10" xfId="18" applyFont="1" applyBorder="1" applyAlignment="1">
      <alignment vertical="center" wrapText="1"/>
      <protection/>
    </xf>
    <xf numFmtId="3" fontId="32" fillId="0" borderId="38" xfId="18" applyNumberFormat="1" applyFont="1" applyBorder="1" applyAlignment="1">
      <alignment horizontal="right" vertical="center"/>
      <protection/>
    </xf>
    <xf numFmtId="3" fontId="31" fillId="0" borderId="0" xfId="0" applyNumberFormat="1" applyFont="1" applyBorder="1" applyAlignment="1">
      <alignment vertical="center"/>
    </xf>
    <xf numFmtId="3" fontId="32" fillId="0" borderId="15" xfId="18" applyNumberFormat="1" applyFont="1" applyBorder="1" applyAlignment="1">
      <alignment vertical="center"/>
      <protection/>
    </xf>
    <xf numFmtId="0" fontId="24" fillId="0" borderId="0" xfId="18" applyFont="1" applyAlignment="1">
      <alignment vertical="center"/>
      <protection/>
    </xf>
    <xf numFmtId="0" fontId="24" fillId="0" borderId="40" xfId="18" applyFont="1" applyBorder="1" applyAlignment="1">
      <alignment horizontal="center" vertical="center"/>
      <protection/>
    </xf>
    <xf numFmtId="0" fontId="24" fillId="0" borderId="83" xfId="18" applyFont="1" applyBorder="1" applyAlignment="1">
      <alignment vertical="center" wrapText="1"/>
      <protection/>
    </xf>
    <xf numFmtId="3" fontId="24" fillId="0" borderId="118" xfId="18" applyNumberFormat="1" applyFont="1" applyBorder="1" applyAlignment="1">
      <alignment horizontal="right" vertical="center"/>
      <protection/>
    </xf>
    <xf numFmtId="3" fontId="24" fillId="0" borderId="66" xfId="0" applyNumberFormat="1" applyFont="1" applyBorder="1" applyAlignment="1">
      <alignment vertical="center"/>
    </xf>
    <xf numFmtId="3" fontId="24" fillId="0" borderId="43" xfId="18" applyNumberFormat="1" applyFont="1" applyBorder="1" applyAlignment="1">
      <alignment vertical="center"/>
      <protection/>
    </xf>
    <xf numFmtId="0" fontId="32" fillId="0" borderId="110" xfId="18" applyFont="1" applyBorder="1" applyAlignment="1">
      <alignment vertical="center" wrapText="1"/>
      <protection/>
    </xf>
    <xf numFmtId="3" fontId="32" fillId="0" borderId="0" xfId="0" applyNumberFormat="1" applyFont="1" applyBorder="1" applyAlignment="1">
      <alignment vertical="center"/>
    </xf>
    <xf numFmtId="0" fontId="5" fillId="0" borderId="45" xfId="18" applyFont="1" applyBorder="1" applyAlignment="1">
      <alignment horizontal="center" vertical="center"/>
      <protection/>
    </xf>
    <xf numFmtId="0" fontId="5" fillId="0" borderId="110" xfId="18" applyFont="1" applyBorder="1" applyAlignment="1">
      <alignment vertical="center" wrapText="1"/>
      <protection/>
    </xf>
    <xf numFmtId="3" fontId="5" fillId="0" borderId="46" xfId="18" applyNumberFormat="1" applyFont="1" applyBorder="1" applyAlignment="1">
      <alignment vertical="center"/>
      <protection/>
    </xf>
    <xf numFmtId="3" fontId="5" fillId="0" borderId="44" xfId="18" applyNumberFormat="1" applyFont="1" applyBorder="1" applyAlignment="1">
      <alignment vertical="center"/>
      <protection/>
    </xf>
    <xf numFmtId="3" fontId="4" fillId="0" borderId="46" xfId="18" applyNumberFormat="1" applyFont="1" applyBorder="1" applyAlignment="1">
      <alignment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vertical="center" wrapText="1"/>
      <protection/>
    </xf>
    <xf numFmtId="3" fontId="9" fillId="0" borderId="37" xfId="18" applyNumberFormat="1" applyFont="1" applyBorder="1" applyAlignment="1">
      <alignment vertical="center"/>
      <protection/>
    </xf>
    <xf numFmtId="3" fontId="9" fillId="0" borderId="5" xfId="18" applyNumberFormat="1" applyFont="1" applyBorder="1" applyAlignment="1">
      <alignment vertical="center"/>
      <protection/>
    </xf>
    <xf numFmtId="3" fontId="9" fillId="0" borderId="8" xfId="18" applyNumberFormat="1" applyFont="1" applyBorder="1" applyAlignment="1">
      <alignment vertical="center"/>
      <protection/>
    </xf>
    <xf numFmtId="0" fontId="1" fillId="0" borderId="9" xfId="0" applyFont="1" applyBorder="1" applyAlignment="1">
      <alignment/>
    </xf>
    <xf numFmtId="0" fontId="17" fillId="0" borderId="130" xfId="0" applyNumberFormat="1" applyFont="1" applyFill="1" applyBorder="1" applyAlignment="1" applyProtection="1">
      <alignment/>
      <protection/>
    </xf>
    <xf numFmtId="0" fontId="17" fillId="0" borderId="38" xfId="18" applyFont="1" applyBorder="1">
      <alignment/>
      <protection/>
    </xf>
    <xf numFmtId="0" fontId="17" fillId="0" borderId="14" xfId="18" applyFont="1" applyBorder="1">
      <alignment/>
      <protection/>
    </xf>
    <xf numFmtId="0" fontId="17" fillId="0" borderId="15" xfId="18" applyFont="1" applyBorder="1">
      <alignment/>
      <protection/>
    </xf>
    <xf numFmtId="3" fontId="17" fillId="0" borderId="38" xfId="18" applyNumberFormat="1" applyFont="1" applyBorder="1">
      <alignment/>
      <protection/>
    </xf>
    <xf numFmtId="3" fontId="17" fillId="0" borderId="14" xfId="18" applyNumberFormat="1" applyFont="1" applyBorder="1">
      <alignment/>
      <protection/>
    </xf>
    <xf numFmtId="3" fontId="17" fillId="0" borderId="15" xfId="18" applyNumberFormat="1" applyFont="1" applyBorder="1">
      <alignment/>
      <protection/>
    </xf>
    <xf numFmtId="0" fontId="38" fillId="0" borderId="49" xfId="18" applyFont="1" applyBorder="1" applyAlignment="1">
      <alignment horizontal="center"/>
      <protection/>
    </xf>
    <xf numFmtId="3" fontId="17" fillId="0" borderId="50" xfId="18" applyNumberFormat="1" applyFont="1" applyBorder="1" applyAlignment="1">
      <alignment wrapText="1"/>
      <protection/>
    </xf>
    <xf numFmtId="3" fontId="17" fillId="0" borderId="135" xfId="18" applyNumberFormat="1" applyFont="1" applyBorder="1">
      <alignment/>
      <protection/>
    </xf>
    <xf numFmtId="3" fontId="17" fillId="0" borderId="20" xfId="18" applyNumberFormat="1" applyFont="1" applyBorder="1">
      <alignment/>
      <protection/>
    </xf>
    <xf numFmtId="3" fontId="17" fillId="0" borderId="21" xfId="18" applyNumberFormat="1" applyFont="1" applyBorder="1">
      <alignment/>
      <protection/>
    </xf>
    <xf numFmtId="0" fontId="57" fillId="0" borderId="0" xfId="18" applyFont="1" applyBorder="1" applyAlignment="1">
      <alignment horizontal="center" wrapText="1"/>
      <protection/>
    </xf>
    <xf numFmtId="0" fontId="38" fillId="0" borderId="0" xfId="18" applyFont="1" applyBorder="1">
      <alignment/>
      <protection/>
    </xf>
    <xf numFmtId="0" fontId="38" fillId="0" borderId="0" xfId="18" applyFont="1" applyBorder="1" applyAlignment="1">
      <alignment wrapText="1"/>
      <protection/>
    </xf>
    <xf numFmtId="0" fontId="4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Continuous" vertical="top" wrapText="1"/>
    </xf>
    <xf numFmtId="0" fontId="15" fillId="0" borderId="127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3" fillId="0" borderId="71" xfId="0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66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45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3" fillId="0" borderId="100" xfId="0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164" fontId="5" fillId="0" borderId="132" xfId="0" applyNumberFormat="1" applyFont="1" applyBorder="1" applyAlignment="1">
      <alignment vertical="center"/>
    </xf>
    <xf numFmtId="3" fontId="3" fillId="0" borderId="13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9" fontId="11" fillId="0" borderId="35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11" fillId="0" borderId="31" xfId="0" applyNumberFormat="1" applyFont="1" applyFill="1" applyBorder="1" applyAlignment="1" applyProtection="1">
      <alignment horizontal="center" vertical="top" wrapText="1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3" fontId="12" fillId="0" borderId="47" xfId="0" applyNumberFormat="1" applyFont="1" applyFill="1" applyBorder="1" applyAlignment="1" applyProtection="1">
      <alignment horizontal="center" vertical="center"/>
      <protection/>
    </xf>
    <xf numFmtId="3" fontId="12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6" xfId="0" applyNumberFormat="1" applyFont="1" applyFill="1" applyBorder="1" applyAlignment="1" applyProtection="1">
      <alignment vertical="center"/>
      <protection/>
    </xf>
    <xf numFmtId="3" fontId="9" fillId="0" borderId="106" xfId="0" applyNumberFormat="1" applyFont="1" applyFill="1" applyBorder="1" applyAlignment="1" applyProtection="1">
      <alignment horizontal="center" vertical="center"/>
      <protection/>
    </xf>
    <xf numFmtId="3" fontId="9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42" fillId="0" borderId="45" xfId="0" applyNumberFormat="1" applyFont="1" applyFill="1" applyBorder="1" applyAlignment="1" applyProtection="1">
      <alignment vertical="center" wrapText="1"/>
      <protection/>
    </xf>
    <xf numFmtId="0" fontId="16" fillId="0" borderId="47" xfId="0" applyNumberFormat="1" applyFont="1" applyFill="1" applyBorder="1" applyAlignment="1" applyProtection="1">
      <alignment vertical="center" wrapText="1"/>
      <protection/>
    </xf>
    <xf numFmtId="3" fontId="42" fillId="0" borderId="47" xfId="0" applyNumberFormat="1" applyFont="1" applyFill="1" applyBorder="1" applyAlignment="1" applyProtection="1">
      <alignment horizontal="center" vertical="center"/>
      <protection/>
    </xf>
    <xf numFmtId="3" fontId="42" fillId="0" borderId="44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vertical="center" wrapText="1"/>
      <protection/>
    </xf>
    <xf numFmtId="3" fontId="3" fillId="0" borderId="36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30" xfId="0" applyNumberFormat="1" applyFont="1" applyFill="1" applyBorder="1" applyAlignment="1" applyProtection="1">
      <alignment vertical="center" wrapText="1"/>
      <protection/>
    </xf>
    <xf numFmtId="3" fontId="6" fillId="0" borderId="30" xfId="0" applyNumberFormat="1" applyFont="1" applyFill="1" applyBorder="1" applyAlignment="1" applyProtection="1">
      <alignment horizontal="right"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06" xfId="0" applyNumberFormat="1" applyFont="1" applyFill="1" applyBorder="1" applyAlignment="1" applyProtection="1">
      <alignment vertical="center" wrapText="1"/>
      <protection/>
    </xf>
    <xf numFmtId="3" fontId="9" fillId="0" borderId="106" xfId="0" applyNumberFormat="1" applyFont="1" applyFill="1" applyBorder="1" applyAlignment="1" applyProtection="1">
      <alignment horizontal="right" vertical="center"/>
      <protection/>
    </xf>
    <xf numFmtId="3" fontId="9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3" fillId="0" borderId="36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vertical="center" wrapText="1"/>
      <protection/>
    </xf>
    <xf numFmtId="3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vertical="center"/>
      <protection/>
    </xf>
    <xf numFmtId="3" fontId="9" fillId="0" borderId="42" xfId="0" applyNumberFormat="1" applyFont="1" applyFill="1" applyBorder="1" applyAlignment="1" applyProtection="1">
      <alignment horizontal="center" vertical="center"/>
      <protection/>
    </xf>
    <xf numFmtId="3" fontId="9" fillId="0" borderId="43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2" fillId="0" borderId="13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17" fillId="0" borderId="36" xfId="0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35" xfId="0" applyFont="1" applyBorder="1" applyAlignment="1">
      <alignment/>
    </xf>
    <xf numFmtId="0" fontId="51" fillId="0" borderId="3" xfId="0" applyFont="1" applyBorder="1" applyAlignment="1">
      <alignment/>
    </xf>
    <xf numFmtId="0" fontId="21" fillId="0" borderId="129" xfId="0" applyFont="1" applyBorder="1" applyAlignment="1">
      <alignment horizontal="centerContinuous" vertical="center"/>
    </xf>
    <xf numFmtId="0" fontId="51" fillId="0" borderId="104" xfId="0" applyFont="1" applyBorder="1" applyAlignment="1">
      <alignment horizontal="centerContinuous" vertical="center"/>
    </xf>
    <xf numFmtId="0" fontId="51" fillId="0" borderId="128" xfId="0" applyFont="1" applyBorder="1" applyAlignment="1">
      <alignment horizontal="centerContinuous" vertical="center"/>
    </xf>
    <xf numFmtId="0" fontId="51" fillId="0" borderId="0" xfId="0" applyFont="1" applyAlignment="1">
      <alignment/>
    </xf>
    <xf numFmtId="0" fontId="9" fillId="0" borderId="16" xfId="0" applyFont="1" applyBorder="1" applyAlignment="1">
      <alignment horizontal="centerContinuous" vertical="center"/>
    </xf>
    <xf numFmtId="0" fontId="50" fillId="0" borderId="14" xfId="0" applyFont="1" applyBorder="1" applyAlignment="1">
      <alignment horizontal="centerContinuous" vertical="center"/>
    </xf>
    <xf numFmtId="0" fontId="5" fillId="0" borderId="42" xfId="0" applyFont="1" applyBorder="1" applyAlignment="1">
      <alignment horizontal="centerContinuous" vertical="center" wrapText="1"/>
    </xf>
    <xf numFmtId="0" fontId="9" fillId="0" borderId="42" xfId="0" applyFont="1" applyBorder="1" applyAlignment="1">
      <alignment horizontal="centerContinuous" vertical="center" wrapText="1"/>
    </xf>
    <xf numFmtId="0" fontId="5" fillId="0" borderId="43" xfId="0" applyFont="1" applyBorder="1" applyAlignment="1">
      <alignment horizontal="centerContinuous" vertical="center" wrapText="1"/>
    </xf>
    <xf numFmtId="0" fontId="21" fillId="0" borderId="0" xfId="0" applyFont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42" xfId="0" applyFont="1" applyBorder="1" applyAlignment="1">
      <alignment vertical="center" wrapText="1"/>
    </xf>
    <xf numFmtId="0" fontId="41" fillId="0" borderId="33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3" fontId="6" fillId="0" borderId="29" xfId="0" applyNumberFormat="1" applyFont="1" applyBorder="1" applyAlignment="1">
      <alignment vertical="center"/>
    </xf>
    <xf numFmtId="0" fontId="59" fillId="0" borderId="0" xfId="0" applyFont="1" applyAlignment="1">
      <alignment horizontal="centerContinuous" vertical="center"/>
    </xf>
    <xf numFmtId="0" fontId="5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" fontId="3" fillId="0" borderId="130" xfId="0" applyNumberFormat="1" applyFont="1" applyBorder="1" applyAlignment="1">
      <alignment vertical="center"/>
    </xf>
    <xf numFmtId="0" fontId="3" fillId="0" borderId="117" xfId="0" applyFont="1" applyBorder="1" applyAlignment="1">
      <alignment horizontal="center" vertical="center"/>
    </xf>
    <xf numFmtId="3" fontId="3" fillId="0" borderId="108" xfId="0" applyNumberFormat="1" applyFont="1" applyBorder="1" applyAlignment="1">
      <alignment vertical="center"/>
    </xf>
    <xf numFmtId="0" fontId="3" fillId="0" borderId="139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137" xfId="0" applyFont="1" applyBorder="1" applyAlignment="1">
      <alignment horizontal="center" vertical="center"/>
    </xf>
    <xf numFmtId="0" fontId="3" fillId="0" borderId="132" xfId="0" applyFont="1" applyBorder="1" applyAlignment="1">
      <alignment vertical="center" wrapText="1"/>
    </xf>
    <xf numFmtId="3" fontId="3" fillId="0" borderId="138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12" fillId="0" borderId="4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3" fillId="0" borderId="36" xfId="21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6" fillId="0" borderId="71" xfId="0" applyFont="1" applyFill="1" applyBorder="1" applyAlignment="1">
      <alignment horizontal="center" vertical="center" wrapText="1"/>
    </xf>
    <xf numFmtId="0" fontId="0" fillId="0" borderId="1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164" fontId="53" fillId="0" borderId="66" xfId="0" applyNumberFormat="1" applyFont="1" applyFill="1" applyBorder="1" applyAlignment="1">
      <alignment horizontal="center"/>
    </xf>
    <xf numFmtId="164" fontId="53" fillId="0" borderId="66" xfId="0" applyNumberFormat="1" applyFont="1" applyFill="1" applyBorder="1" applyAlignment="1">
      <alignment horizontal="centerContinuous"/>
    </xf>
    <xf numFmtId="164" fontId="53" fillId="0" borderId="41" xfId="0" applyNumberFormat="1" applyFont="1" applyFill="1" applyBorder="1" applyAlignment="1">
      <alignment horizontal="centerContinuous"/>
    </xf>
    <xf numFmtId="164" fontId="53" fillId="0" borderId="42" xfId="0" applyNumberFormat="1" applyFont="1" applyFill="1" applyBorder="1" applyAlignment="1">
      <alignment vertical="center"/>
    </xf>
    <xf numFmtId="164" fontId="53" fillId="0" borderId="43" xfId="0" applyNumberFormat="1" applyFont="1" applyFill="1" applyBorder="1" applyAlignment="1">
      <alignment vertical="center"/>
    </xf>
    <xf numFmtId="164" fontId="53" fillId="0" borderId="117" xfId="0" applyNumberFormat="1" applyFont="1" applyFill="1" applyBorder="1" applyAlignment="1">
      <alignment vertical="center"/>
    </xf>
    <xf numFmtId="164" fontId="53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vertical="center" wrapText="1"/>
    </xf>
    <xf numFmtId="0" fontId="42" fillId="0" borderId="42" xfId="0" applyNumberFormat="1" applyFont="1" applyFill="1" applyBorder="1" applyAlignment="1">
      <alignment horizontal="center" vertical="center"/>
    </xf>
    <xf numFmtId="164" fontId="42" fillId="0" borderId="42" xfId="0" applyNumberFormat="1" applyFont="1" applyFill="1" applyBorder="1" applyAlignment="1">
      <alignment horizontal="right" vertical="center"/>
    </xf>
    <xf numFmtId="164" fontId="42" fillId="0" borderId="42" xfId="0" applyNumberFormat="1" applyFont="1" applyFill="1" applyBorder="1" applyAlignment="1">
      <alignment vertical="center"/>
    </xf>
    <xf numFmtId="164" fontId="42" fillId="0" borderId="43" xfId="0" applyNumberFormat="1" applyFont="1" applyFill="1" applyBorder="1" applyAlignment="1">
      <alignment vertical="center"/>
    </xf>
    <xf numFmtId="164" fontId="42" fillId="0" borderId="117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66" xfId="0" applyFont="1" applyFill="1" applyBorder="1" applyAlignment="1">
      <alignment horizontal="center" vertical="center"/>
    </xf>
    <xf numFmtId="164" fontId="42" fillId="0" borderId="42" xfId="21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>
      <alignment vertical="center"/>
    </xf>
    <xf numFmtId="0" fontId="42" fillId="0" borderId="83" xfId="0" applyNumberFormat="1" applyFont="1" applyFill="1" applyBorder="1" applyAlignment="1">
      <alignment horizontal="center" vertical="center"/>
    </xf>
    <xf numFmtId="49" fontId="42" fillId="0" borderId="42" xfId="0" applyNumberFormat="1" applyFont="1" applyFill="1" applyBorder="1" applyAlignment="1">
      <alignment horizontal="center" vertical="center"/>
    </xf>
    <xf numFmtId="164" fontId="42" fillId="0" borderId="43" xfId="0" applyNumberFormat="1" applyFont="1" applyFill="1" applyBorder="1" applyAlignment="1">
      <alignment horizontal="right" vertical="center"/>
    </xf>
    <xf numFmtId="164" fontId="42" fillId="0" borderId="117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42" fillId="0" borderId="42" xfId="0" applyFont="1" applyFill="1" applyBorder="1" applyAlignment="1">
      <alignment vertical="center"/>
    </xf>
    <xf numFmtId="0" fontId="42" fillId="0" borderId="42" xfId="0" applyNumberFormat="1" applyFont="1" applyFill="1" applyBorder="1" applyAlignment="1">
      <alignment horizontal="center" vertical="center"/>
    </xf>
    <xf numFmtId="1" fontId="42" fillId="0" borderId="42" xfId="0" applyNumberFormat="1" applyFont="1" applyFill="1" applyBorder="1" applyAlignment="1">
      <alignment horizontal="center" vertical="center"/>
    </xf>
    <xf numFmtId="1" fontId="42" fillId="0" borderId="66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vertical="center"/>
    </xf>
    <xf numFmtId="164" fontId="42" fillId="0" borderId="42" xfId="0" applyNumberFormat="1" applyFont="1" applyFill="1" applyBorder="1" applyAlignment="1">
      <alignment horizontal="right" vertical="center"/>
    </xf>
    <xf numFmtId="164" fontId="42" fillId="0" borderId="42" xfId="0" applyNumberFormat="1" applyFont="1" applyFill="1" applyBorder="1" applyAlignment="1">
      <alignment vertical="center"/>
    </xf>
    <xf numFmtId="164" fontId="42" fillId="0" borderId="43" xfId="0" applyNumberFormat="1" applyFont="1" applyFill="1" applyBorder="1" applyAlignment="1">
      <alignment vertical="center"/>
    </xf>
    <xf numFmtId="164" fontId="42" fillId="0" borderId="117" xfId="0" applyNumberFormat="1" applyFont="1" applyFill="1" applyBorder="1" applyAlignment="1">
      <alignment vertical="center"/>
    </xf>
    <xf numFmtId="164" fontId="42" fillId="0" borderId="9" xfId="0" applyNumberFormat="1" applyFont="1" applyFill="1" applyBorder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166" fontId="42" fillId="0" borderId="43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42" fillId="0" borderId="4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2" fillId="0" borderId="47" xfId="0" applyNumberFormat="1" applyFont="1" applyFill="1" applyBorder="1" applyAlignment="1">
      <alignment horizontal="center" vertical="center"/>
    </xf>
    <xf numFmtId="0" fontId="42" fillId="0" borderId="47" xfId="0" applyNumberFormat="1" applyFont="1" applyFill="1" applyBorder="1" applyAlignment="1">
      <alignment horizontal="center" vertical="center"/>
    </xf>
    <xf numFmtId="164" fontId="42" fillId="0" borderId="9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 vertical="center" wrapText="1"/>
    </xf>
    <xf numFmtId="164" fontId="42" fillId="0" borderId="44" xfId="0" applyNumberFormat="1" applyFont="1" applyFill="1" applyBorder="1" applyAlignment="1">
      <alignment vertical="center"/>
    </xf>
    <xf numFmtId="164" fontId="42" fillId="0" borderId="139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4" fontId="42" fillId="0" borderId="15" xfId="0" applyNumberFormat="1" applyFont="1" applyFill="1" applyBorder="1" applyAlignment="1">
      <alignment vertical="center"/>
    </xf>
    <xf numFmtId="164" fontId="42" fillId="0" borderId="32" xfId="0" applyNumberFormat="1" applyFont="1" applyFill="1" applyBorder="1" applyAlignment="1">
      <alignment vertical="center"/>
    </xf>
    <xf numFmtId="164" fontId="42" fillId="0" borderId="140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53" fillId="0" borderId="66" xfId="0" applyNumberFormat="1" applyFont="1" applyFill="1" applyBorder="1" applyAlignment="1">
      <alignment horizontal="center" vertical="center"/>
    </xf>
    <xf numFmtId="164" fontId="53" fillId="0" borderId="66" xfId="0" applyNumberFormat="1" applyFont="1" applyFill="1" applyBorder="1" applyAlignment="1">
      <alignment horizontal="centerContinuous" vertical="center"/>
    </xf>
    <xf numFmtId="164" fontId="53" fillId="0" borderId="42" xfId="0" applyNumberFormat="1" applyFont="1" applyFill="1" applyBorder="1" applyAlignment="1">
      <alignment vertical="center"/>
    </xf>
    <xf numFmtId="164" fontId="53" fillId="0" borderId="43" xfId="0" applyNumberFormat="1" applyFont="1" applyFill="1" applyBorder="1" applyAlignment="1">
      <alignment vertical="center"/>
    </xf>
    <xf numFmtId="164" fontId="53" fillId="0" borderId="117" xfId="0" applyNumberFormat="1" applyFont="1" applyFill="1" applyBorder="1" applyAlignment="1">
      <alignment vertical="center"/>
    </xf>
    <xf numFmtId="164" fontId="53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164" fontId="53" fillId="0" borderId="9" xfId="0" applyNumberFormat="1" applyFont="1" applyFill="1" applyBorder="1" applyAlignment="1">
      <alignment vertical="center"/>
    </xf>
    <xf numFmtId="164" fontId="53" fillId="0" borderId="15" xfId="0" applyNumberFormat="1" applyFont="1" applyFill="1" applyBorder="1" applyAlignment="1">
      <alignment vertical="center"/>
    </xf>
    <xf numFmtId="164" fontId="60" fillId="0" borderId="0" xfId="0" applyNumberFormat="1" applyFont="1" applyFill="1" applyAlignment="1">
      <alignment vertical="center"/>
    </xf>
    <xf numFmtId="164" fontId="53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2" fillId="0" borderId="41" xfId="0" applyFont="1" applyFill="1" applyBorder="1" applyAlignment="1">
      <alignment horizontal="center" vertical="center"/>
    </xf>
    <xf numFmtId="164" fontId="42" fillId="0" borderId="66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left" vertical="center"/>
    </xf>
    <xf numFmtId="164" fontId="6" fillId="0" borderId="66" xfId="0" applyNumberFormat="1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right" vertical="center"/>
    </xf>
    <xf numFmtId="164" fontId="6" fillId="0" borderId="42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center" vertical="center"/>
    </xf>
    <xf numFmtId="0" fontId="53" fillId="0" borderId="71" xfId="0" applyNumberFormat="1" applyFont="1" applyFill="1" applyBorder="1" applyAlignment="1">
      <alignment horizontal="center" vertical="center"/>
    </xf>
    <xf numFmtId="164" fontId="53" fillId="0" borderId="71" xfId="0" applyNumberFormat="1" applyFont="1" applyFill="1" applyBorder="1" applyAlignment="1">
      <alignment horizontal="centerContinuous" vertical="center"/>
    </xf>
    <xf numFmtId="164" fontId="53" fillId="0" borderId="106" xfId="0" applyNumberFormat="1" applyFont="1" applyFill="1" applyBorder="1" applyAlignment="1">
      <alignment vertical="center"/>
    </xf>
    <xf numFmtId="164" fontId="42" fillId="0" borderId="0" xfId="0" applyNumberFormat="1" applyFont="1" applyFill="1" applyAlignment="1">
      <alignment vertical="center"/>
    </xf>
    <xf numFmtId="49" fontId="42" fillId="0" borderId="66" xfId="0" applyNumberFormat="1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164" fontId="42" fillId="0" borderId="36" xfId="0" applyNumberFormat="1" applyFont="1" applyFill="1" applyBorder="1" applyAlignment="1">
      <alignment horizontal="right" vertical="center"/>
    </xf>
    <xf numFmtId="164" fontId="42" fillId="0" borderId="36" xfId="0" applyNumberFormat="1" applyFont="1" applyFill="1" applyBorder="1" applyAlignment="1">
      <alignment vertical="center"/>
    </xf>
    <xf numFmtId="166" fontId="42" fillId="0" borderId="15" xfId="0" applyNumberFormat="1" applyFont="1" applyFill="1" applyBorder="1" applyAlignment="1">
      <alignment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34" fillId="0" borderId="0" xfId="0" applyFont="1" applyAlignment="1">
      <alignment horizontal="centerContinuous" vertical="center" wrapText="1"/>
    </xf>
    <xf numFmtId="0" fontId="3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2" fillId="0" borderId="0" xfId="0" applyFont="1" applyAlignment="1">
      <alignment horizontal="right"/>
    </xf>
    <xf numFmtId="0" fontId="5" fillId="0" borderId="3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top" wrapText="1"/>
    </xf>
    <xf numFmtId="0" fontId="9" fillId="0" borderId="10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4" fillId="0" borderId="136" xfId="0" applyFont="1" applyBorder="1" applyAlignment="1">
      <alignment wrapText="1"/>
    </xf>
    <xf numFmtId="0" fontId="1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62" fillId="0" borderId="10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0" fillId="0" borderId="10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right" vertical="center"/>
    </xf>
    <xf numFmtId="164" fontId="63" fillId="0" borderId="108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30" fillId="0" borderId="10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1" fontId="64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63" fillId="0" borderId="28" xfId="21" applyNumberFormat="1" applyFont="1" applyFill="1" applyBorder="1" applyAlignment="1" applyProtection="1">
      <alignment vertical="center" wrapText="1"/>
      <protection locked="0"/>
    </xf>
    <xf numFmtId="164" fontId="24" fillId="0" borderId="10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2" fillId="0" borderId="10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3" fontId="2" fillId="0" borderId="108" xfId="0" applyNumberFormat="1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62" fillId="0" borderId="22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0" fontId="24" fillId="0" borderId="26" xfId="0" applyFont="1" applyBorder="1" applyAlignment="1">
      <alignment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0" fontId="24" fillId="0" borderId="29" xfId="0" applyFont="1" applyBorder="1" applyAlignment="1">
      <alignment vertical="center" wrapText="1"/>
    </xf>
    <xf numFmtId="4" fontId="24" fillId="0" borderId="33" xfId="0" applyNumberFormat="1" applyFont="1" applyBorder="1" applyAlignment="1">
      <alignment vertical="center" wrapText="1"/>
    </xf>
    <xf numFmtId="4" fontId="24" fillId="0" borderId="48" xfId="0" applyNumberFormat="1" applyFont="1" applyBorder="1" applyAlignment="1">
      <alignment vertical="center" wrapText="1"/>
    </xf>
    <xf numFmtId="3" fontId="24" fillId="0" borderId="48" xfId="0" applyNumberFormat="1" applyFont="1" applyBorder="1" applyAlignment="1">
      <alignment vertical="center" wrapText="1"/>
    </xf>
    <xf numFmtId="4" fontId="24" fillId="0" borderId="35" xfId="0" applyNumberFormat="1" applyFont="1" applyBorder="1" applyAlignment="1">
      <alignment horizontal="right" vertical="center" wrapText="1"/>
    </xf>
    <xf numFmtId="49" fontId="4" fillId="0" borderId="38" xfId="0" applyNumberFormat="1" applyFont="1" applyFill="1" applyBorder="1" applyAlignment="1" applyProtection="1">
      <alignment horizontal="centerContinuous" vertical="center"/>
      <protection locked="0"/>
    </xf>
    <xf numFmtId="1" fontId="5" fillId="0" borderId="33" xfId="0" applyNumberFormat="1" applyFont="1" applyFill="1" applyBorder="1" applyAlignment="1" applyProtection="1">
      <alignment horizontal="centerContinuous" vertical="center"/>
      <protection locked="0"/>
    </xf>
    <xf numFmtId="1" fontId="5" fillId="0" borderId="48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" fontId="3" fillId="0" borderId="14" xfId="21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31" xfId="21" applyNumberFormat="1" applyFont="1" applyFill="1" applyBorder="1" applyAlignment="1" applyProtection="1">
      <alignment vertical="center" wrapText="1"/>
      <protection locked="0"/>
    </xf>
    <xf numFmtId="4" fontId="9" fillId="0" borderId="36" xfId="0" applyNumberFormat="1" applyFont="1" applyBorder="1" applyAlignment="1">
      <alignment vertical="center"/>
    </xf>
    <xf numFmtId="4" fontId="9" fillId="0" borderId="130" xfId="0" applyNumberFormat="1" applyFont="1" applyBorder="1" applyAlignment="1">
      <alignment vertical="center"/>
    </xf>
    <xf numFmtId="4" fontId="42" fillId="0" borderId="130" xfId="0" applyNumberFormat="1" applyFont="1" applyBorder="1" applyAlignment="1">
      <alignment vertical="center"/>
    </xf>
    <xf numFmtId="4" fontId="4" fillId="0" borderId="130" xfId="0" applyNumberFormat="1" applyFont="1" applyBorder="1" applyAlignment="1">
      <alignment vertical="center"/>
    </xf>
    <xf numFmtId="4" fontId="9" fillId="0" borderId="110" xfId="0" applyNumberFormat="1" applyFont="1" applyBorder="1" applyAlignment="1">
      <alignment vertical="center"/>
    </xf>
    <xf numFmtId="4" fontId="9" fillId="0" borderId="109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0" fontId="41" fillId="0" borderId="0" xfId="0" applyFont="1" applyAlignment="1">
      <alignment horizontal="centerContinuous" vertical="center" wrapText="1"/>
    </xf>
    <xf numFmtId="0" fontId="21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8" fillId="0" borderId="106" xfId="0" applyFont="1" applyBorder="1" applyAlignment="1">
      <alignment horizontal="left" vertical="center"/>
    </xf>
    <xf numFmtId="3" fontId="21" fillId="0" borderId="136" xfId="0" applyNumberFormat="1" applyFont="1" applyBorder="1" applyAlignment="1">
      <alignment vertical="center"/>
    </xf>
    <xf numFmtId="0" fontId="48" fillId="0" borderId="42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3" fontId="2" fillId="0" borderId="44" xfId="18" applyNumberFormat="1" applyFont="1" applyBorder="1" applyAlignment="1">
      <alignment vertical="center"/>
      <protection/>
    </xf>
    <xf numFmtId="3" fontId="5" fillId="0" borderId="48" xfId="18" applyNumberFormat="1" applyFont="1" applyBorder="1" applyAlignment="1">
      <alignment vertical="center"/>
      <protection/>
    </xf>
    <xf numFmtId="3" fontId="5" fillId="0" borderId="26" xfId="18" applyNumberFormat="1" applyFont="1" applyBorder="1" applyAlignment="1">
      <alignment vertical="center"/>
      <protection/>
    </xf>
    <xf numFmtId="0" fontId="5" fillId="0" borderId="83" xfId="18" applyFont="1" applyBorder="1" applyAlignment="1">
      <alignment horizontal="left" vertical="center" wrapText="1"/>
      <protection/>
    </xf>
    <xf numFmtId="164" fontId="32" fillId="0" borderId="44" xfId="21" applyNumberFormat="1" applyFont="1" applyFill="1" applyBorder="1" applyAlignment="1" applyProtection="1">
      <alignment vertical="center" wrapText="1"/>
      <protection locked="0"/>
    </xf>
    <xf numFmtId="3" fontId="4" fillId="0" borderId="44" xfId="18" applyNumberFormat="1" applyFont="1" applyBorder="1" applyAlignment="1">
      <alignment vertical="center"/>
      <protection/>
    </xf>
    <xf numFmtId="164" fontId="32" fillId="0" borderId="15" xfId="21" applyNumberFormat="1" applyFont="1" applyFill="1" applyBorder="1" applyAlignment="1" applyProtection="1">
      <alignment vertical="center" wrapText="1"/>
      <protection locked="0"/>
    </xf>
    <xf numFmtId="164" fontId="32" fillId="0" borderId="36" xfId="21" applyNumberFormat="1" applyFont="1" applyFill="1" applyBorder="1" applyAlignment="1" applyProtection="1">
      <alignment vertical="center" wrapText="1"/>
      <protection locked="0"/>
    </xf>
    <xf numFmtId="0" fontId="21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horizontal="centerContinuous" vertical="center"/>
    </xf>
    <xf numFmtId="0" fontId="38" fillId="0" borderId="0" xfId="0" applyFont="1" applyAlignment="1">
      <alignment vertical="center"/>
    </xf>
    <xf numFmtId="0" fontId="42" fillId="0" borderId="71" xfId="0" applyFont="1" applyFill="1" applyBorder="1" applyAlignment="1">
      <alignment horizontal="center" vertical="center"/>
    </xf>
    <xf numFmtId="0" fontId="13" fillId="0" borderId="16" xfId="18" applyFont="1" applyBorder="1" applyAlignment="1">
      <alignment horizontal="center" vertical="center"/>
      <protection/>
    </xf>
    <xf numFmtId="0" fontId="13" fillId="0" borderId="17" xfId="18" applyFont="1" applyBorder="1" applyAlignment="1">
      <alignment horizontal="left" vertical="center" wrapText="1"/>
      <protection/>
    </xf>
    <xf numFmtId="3" fontId="13" fillId="0" borderId="135" xfId="18" applyNumberFormat="1" applyFont="1" applyBorder="1" applyAlignment="1">
      <alignment horizontal="right" vertical="center"/>
      <protection/>
    </xf>
    <xf numFmtId="3" fontId="13" fillId="0" borderId="33" xfId="18" applyNumberFormat="1" applyFont="1" applyBorder="1" applyAlignment="1">
      <alignment vertical="center"/>
      <protection/>
    </xf>
    <xf numFmtId="3" fontId="9" fillId="0" borderId="26" xfId="18" applyNumberFormat="1" applyFont="1" applyBorder="1" applyAlignment="1">
      <alignment vertical="center"/>
      <protection/>
    </xf>
    <xf numFmtId="3" fontId="4" fillId="0" borderId="16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42" fillId="0" borderId="106" xfId="0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vertical="center" wrapText="1"/>
    </xf>
    <xf numFmtId="0" fontId="42" fillId="0" borderId="80" xfId="0" applyFont="1" applyFill="1" applyBorder="1" applyAlignment="1">
      <alignment horizontal="center" vertical="center"/>
    </xf>
    <xf numFmtId="164" fontId="3" fillId="0" borderId="106" xfId="21" applyNumberFormat="1" applyFont="1" applyFill="1" applyBorder="1" applyAlignment="1" applyProtection="1">
      <alignment vertical="center" wrapText="1"/>
      <protection locked="0"/>
    </xf>
    <xf numFmtId="0" fontId="42" fillId="0" borderId="66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164" fontId="5" fillId="0" borderId="28" xfId="21" applyNumberFormat="1" applyFont="1" applyFill="1" applyBorder="1" applyAlignment="1" applyProtection="1">
      <alignment vertical="center" wrapText="1"/>
      <protection locked="0"/>
    </xf>
    <xf numFmtId="0" fontId="4" fillId="0" borderId="11" xfId="18" applyFont="1" applyBorder="1" applyAlignment="1">
      <alignment horizontal="center" vertical="center"/>
      <protection/>
    </xf>
    <xf numFmtId="3" fontId="4" fillId="0" borderId="38" xfId="18" applyNumberFormat="1" applyFont="1" applyBorder="1" applyAlignment="1">
      <alignment horizontal="right" vertical="center"/>
      <protection/>
    </xf>
    <xf numFmtId="3" fontId="4" fillId="0" borderId="14" xfId="18" applyNumberFormat="1" applyFont="1" applyBorder="1" applyAlignment="1">
      <alignment horizontal="right" vertical="center"/>
      <protection/>
    </xf>
    <xf numFmtId="3" fontId="4" fillId="0" borderId="15" xfId="18" applyNumberFormat="1" applyFont="1" applyBorder="1" applyAlignment="1">
      <alignment horizontal="center" vertical="center"/>
      <protection/>
    </xf>
    <xf numFmtId="0" fontId="31" fillId="0" borderId="40" xfId="18" applyFont="1" applyBorder="1" applyAlignment="1">
      <alignment horizontal="center" vertical="center"/>
      <protection/>
    </xf>
    <xf numFmtId="0" fontId="31" fillId="0" borderId="83" xfId="18" applyFont="1" applyBorder="1" applyAlignment="1">
      <alignment vertical="center" wrapText="1"/>
      <protection/>
    </xf>
    <xf numFmtId="3" fontId="31" fillId="0" borderId="118" xfId="18" applyNumberFormat="1" applyFont="1" applyBorder="1" applyAlignment="1">
      <alignment horizontal="right" vertical="center"/>
      <protection/>
    </xf>
    <xf numFmtId="3" fontId="31" fillId="0" borderId="66" xfId="0" applyNumberFormat="1" applyFont="1" applyBorder="1" applyAlignment="1">
      <alignment vertical="center"/>
    </xf>
    <xf numFmtId="3" fontId="31" fillId="0" borderId="43" xfId="18" applyNumberFormat="1" applyFont="1" applyBorder="1" applyAlignment="1">
      <alignment vertical="center"/>
      <protection/>
    </xf>
    <xf numFmtId="0" fontId="13" fillId="0" borderId="40" xfId="18" applyFont="1" applyBorder="1" applyAlignment="1">
      <alignment horizontal="center" vertical="center"/>
      <protection/>
    </xf>
    <xf numFmtId="0" fontId="13" fillId="0" borderId="43" xfId="18" applyFont="1" applyBorder="1" applyAlignment="1">
      <alignment vertical="center" wrapText="1"/>
      <protection/>
    </xf>
    <xf numFmtId="3" fontId="13" fillId="0" borderId="118" xfId="18" applyNumberFormat="1" applyFont="1" applyBorder="1" applyAlignment="1">
      <alignment horizontal="right" vertical="center"/>
      <protection/>
    </xf>
    <xf numFmtId="3" fontId="13" fillId="0" borderId="40" xfId="18" applyNumberFormat="1" applyFont="1" applyBorder="1" applyAlignment="1">
      <alignment vertical="center"/>
      <protection/>
    </xf>
    <xf numFmtId="3" fontId="9" fillId="0" borderId="43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horizontal="center" vertical="center"/>
      <protection/>
    </xf>
    <xf numFmtId="0" fontId="9" fillId="0" borderId="4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12" fillId="0" borderId="64" xfId="21" applyNumberFormat="1" applyFont="1" applyFill="1" applyBorder="1" applyAlignment="1" applyProtection="1">
      <alignment vertical="center" wrapText="1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164" fontId="13" fillId="0" borderId="85" xfId="21" applyNumberFormat="1" applyFont="1" applyFill="1" applyBorder="1" applyAlignment="1" applyProtection="1">
      <alignment vertical="center" wrapText="1"/>
      <protection locked="0"/>
    </xf>
    <xf numFmtId="3" fontId="5" fillId="0" borderId="77" xfId="0" applyNumberFormat="1" applyFont="1" applyFill="1" applyBorder="1" applyAlignment="1" applyProtection="1">
      <alignment vertical="center"/>
      <protection locked="0"/>
    </xf>
    <xf numFmtId="1" fontId="17" fillId="0" borderId="16" xfId="0" applyNumberFormat="1" applyFont="1" applyFill="1" applyBorder="1" applyAlignment="1" applyProtection="1">
      <alignment horizontal="centerContinuous"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3" fontId="20" fillId="0" borderId="65" xfId="0" applyNumberFormat="1" applyFont="1" applyFill="1" applyBorder="1" applyAlignment="1" applyProtection="1">
      <alignment horizontal="right" vertical="center"/>
      <protection locked="0"/>
    </xf>
    <xf numFmtId="3" fontId="20" fillId="0" borderId="86" xfId="0" applyNumberFormat="1" applyFont="1" applyFill="1" applyBorder="1" applyAlignment="1" applyProtection="1">
      <alignment horizontal="right" vertical="center"/>
      <protection locked="0"/>
    </xf>
    <xf numFmtId="3" fontId="20" fillId="0" borderId="15" xfId="0" applyNumberFormat="1" applyFont="1" applyFill="1" applyBorder="1" applyAlignment="1" applyProtection="1">
      <alignment horizontal="right" vertical="center"/>
      <protection locked="0"/>
    </xf>
    <xf numFmtId="3" fontId="20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70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64" fontId="17" fillId="0" borderId="65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17" fillId="0" borderId="76" xfId="0" applyNumberFormat="1" applyFont="1" applyFill="1" applyBorder="1" applyAlignment="1">
      <alignment vertical="center"/>
    </xf>
    <xf numFmtId="3" fontId="17" fillId="0" borderId="77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114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18" xfId="0" applyNumberFormat="1" applyFont="1" applyFill="1" applyBorder="1" applyAlignment="1" applyProtection="1">
      <alignment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134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9" xfId="0" applyNumberFormat="1" applyFont="1" applyFill="1" applyBorder="1" applyAlignment="1" applyProtection="1">
      <alignment vertical="center" wrapText="1"/>
      <protection locked="0"/>
    </xf>
    <xf numFmtId="3" fontId="12" fillId="0" borderId="45" xfId="0" applyNumberFormat="1" applyFont="1" applyFill="1" applyBorder="1" applyAlignment="1" applyProtection="1">
      <alignment vertical="center" wrapText="1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134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2" fillId="0" borderId="106" xfId="0" applyNumberFormat="1" applyFont="1" applyFill="1" applyBorder="1" applyAlignment="1" applyProtection="1">
      <alignment vertical="center"/>
      <protection locked="0"/>
    </xf>
    <xf numFmtId="0" fontId="12" fillId="0" borderId="118" xfId="0" applyNumberFormat="1" applyFont="1" applyFill="1" applyBorder="1" applyAlignment="1" applyProtection="1">
      <alignment vertical="center" wrapText="1"/>
      <protection locked="0"/>
    </xf>
    <xf numFmtId="3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40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0" fontId="11" fillId="0" borderId="39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3" fillId="0" borderId="42" xfId="0" applyNumberFormat="1" applyFont="1" applyFill="1" applyBorder="1" applyAlignment="1" applyProtection="1">
      <alignment vertical="center"/>
      <protection locked="0"/>
    </xf>
    <xf numFmtId="0" fontId="12" fillId="0" borderId="38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vertical="center"/>
      <protection locked="0"/>
    </xf>
    <xf numFmtId="0" fontId="12" fillId="0" borderId="36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9" fontId="11" fillId="0" borderId="135" xfId="0" applyNumberFormat="1" applyFont="1" applyFill="1" applyBorder="1" applyAlignment="1" applyProtection="1">
      <alignment horizontal="centerContinuous" vertical="center"/>
      <protection locked="0"/>
    </xf>
    <xf numFmtId="3" fontId="3" fillId="0" borderId="3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3" fillId="0" borderId="85" xfId="0" applyNumberFormat="1" applyFont="1" applyBorder="1" applyAlignment="1">
      <alignment horizontal="right" vertical="center" wrapText="1"/>
    </xf>
    <xf numFmtId="1" fontId="3" fillId="0" borderId="131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0" xfId="0" applyNumberFormat="1" applyFont="1" applyBorder="1" applyAlignment="1">
      <alignment vertical="center" wrapText="1"/>
    </xf>
    <xf numFmtId="49" fontId="5" fillId="0" borderId="4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3" fillId="0" borderId="4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4" fillId="0" borderId="10" xfId="18" applyFont="1" applyBorder="1" applyAlignment="1">
      <alignment vertical="center" wrapText="1"/>
      <protection/>
    </xf>
    <xf numFmtId="3" fontId="4" fillId="0" borderId="38" xfId="18" applyNumberFormat="1" applyFont="1" applyBorder="1" applyAlignment="1">
      <alignment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vertical="center" wrapText="1"/>
      <protection/>
    </xf>
    <xf numFmtId="0" fontId="5" fillId="0" borderId="103" xfId="18" applyFont="1" applyBorder="1" applyAlignment="1">
      <alignment horizontal="center" vertical="center"/>
      <protection/>
    </xf>
    <xf numFmtId="0" fontId="5" fillId="0" borderId="129" xfId="18" applyFont="1" applyBorder="1" applyAlignment="1">
      <alignment vertical="center" wrapText="1"/>
      <protection/>
    </xf>
    <xf numFmtId="0" fontId="4" fillId="0" borderId="31" xfId="18" applyFont="1" applyBorder="1" applyAlignment="1">
      <alignment horizontal="center" vertical="center"/>
      <protection/>
    </xf>
    <xf numFmtId="0" fontId="32" fillId="0" borderId="102" xfId="18" applyFont="1" applyBorder="1" applyAlignment="1">
      <alignment vertical="center" wrapText="1"/>
      <protection/>
    </xf>
    <xf numFmtId="3" fontId="4" fillId="0" borderId="134" xfId="18" applyNumberFormat="1" applyFont="1" applyBorder="1" applyAlignment="1">
      <alignment horizontal="right" vertical="center"/>
      <protection/>
    </xf>
    <xf numFmtId="3" fontId="4" fillId="0" borderId="80" xfId="18" applyNumberFormat="1" applyFont="1" applyBorder="1" applyAlignment="1">
      <alignment vertical="center"/>
      <protection/>
    </xf>
    <xf numFmtId="3" fontId="4" fillId="0" borderId="32" xfId="18" applyNumberFormat="1" applyFont="1" applyBorder="1" applyAlignment="1">
      <alignment vertical="center"/>
      <protection/>
    </xf>
    <xf numFmtId="0" fontId="4" fillId="0" borderId="45" xfId="18" applyFont="1" applyBorder="1" applyAlignment="1">
      <alignment horizontal="center" vertical="center"/>
      <protection/>
    </xf>
    <xf numFmtId="3" fontId="4" fillId="0" borderId="45" xfId="18" applyNumberFormat="1" applyFont="1" applyBorder="1" applyAlignment="1">
      <alignment vertical="center"/>
      <protection/>
    </xf>
    <xf numFmtId="3" fontId="2" fillId="0" borderId="44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4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3" fontId="24" fillId="0" borderId="34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0" fontId="24" fillId="0" borderId="117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3" fontId="24" fillId="0" borderId="42" xfId="0" applyNumberFormat="1" applyFont="1" applyBorder="1" applyAlignment="1">
      <alignment vertical="center"/>
    </xf>
    <xf numFmtId="3" fontId="24" fillId="0" borderId="42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4" fontId="5" fillId="0" borderId="61" xfId="0" applyNumberFormat="1" applyFont="1" applyFill="1" applyBorder="1" applyAlignment="1" applyProtection="1">
      <alignment vertical="center"/>
      <protection locked="0"/>
    </xf>
    <xf numFmtId="4" fontId="5" fillId="0" borderId="60" xfId="0" applyNumberFormat="1" applyFont="1" applyFill="1" applyBorder="1" applyAlignment="1" applyProtection="1">
      <alignment vertical="center"/>
      <protection locked="0"/>
    </xf>
    <xf numFmtId="4" fontId="5" fillId="0" borderId="48" xfId="0" applyNumberFormat="1" applyFont="1" applyFill="1" applyBorder="1" applyAlignment="1" applyProtection="1">
      <alignment vertical="center"/>
      <protection locked="0"/>
    </xf>
    <xf numFmtId="4" fontId="5" fillId="0" borderId="92" xfId="0" applyNumberFormat="1" applyFont="1" applyFill="1" applyBorder="1" applyAlignment="1" applyProtection="1">
      <alignment vertical="center"/>
      <protection locked="0"/>
    </xf>
    <xf numFmtId="4" fontId="5" fillId="0" borderId="73" xfId="0" applyNumberFormat="1" applyFont="1" applyFill="1" applyBorder="1" applyAlignment="1">
      <alignment vertical="center"/>
    </xf>
    <xf numFmtId="4" fontId="17" fillId="0" borderId="64" xfId="0" applyNumberFormat="1" applyFont="1" applyFill="1" applyBorder="1" applyAlignment="1">
      <alignment vertical="center"/>
    </xf>
    <xf numFmtId="4" fontId="17" fillId="0" borderId="86" xfId="0" applyNumberFormat="1" applyFont="1" applyFill="1" applyBorder="1" applyAlignment="1">
      <alignment vertical="center"/>
    </xf>
    <xf numFmtId="4" fontId="12" fillId="0" borderId="86" xfId="0" applyNumberFormat="1" applyFont="1" applyFill="1" applyBorder="1" applyAlignment="1">
      <alignment vertical="center"/>
    </xf>
    <xf numFmtId="4" fontId="4" fillId="0" borderId="86" xfId="0" applyNumberFormat="1" applyFont="1" applyFill="1" applyBorder="1" applyAlignment="1">
      <alignment vertical="center"/>
    </xf>
    <xf numFmtId="4" fontId="11" fillId="0" borderId="64" xfId="0" applyNumberFormat="1" applyFont="1" applyFill="1" applyBorder="1" applyAlignment="1">
      <alignment vertical="center"/>
    </xf>
    <xf numFmtId="4" fontId="12" fillId="0" borderId="64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4" fontId="5" fillId="0" borderId="90" xfId="0" applyNumberFormat="1" applyFont="1" applyFill="1" applyBorder="1" applyAlignment="1">
      <alignment vertical="center"/>
    </xf>
    <xf numFmtId="4" fontId="17" fillId="0" borderId="63" xfId="0" applyNumberFormat="1" applyFont="1" applyFill="1" applyBorder="1" applyAlignment="1">
      <alignment vertical="center"/>
    </xf>
    <xf numFmtId="4" fontId="12" fillId="0" borderId="63" xfId="0" applyNumberFormat="1" applyFont="1" applyFill="1" applyBorder="1" applyAlignment="1">
      <alignment vertical="center"/>
    </xf>
    <xf numFmtId="4" fontId="4" fillId="0" borderId="63" xfId="0" applyNumberFormat="1" applyFont="1" applyFill="1" applyBorder="1" applyAlignment="1">
      <alignment vertical="center"/>
    </xf>
    <xf numFmtId="4" fontId="11" fillId="0" borderId="63" xfId="0" applyNumberFormat="1" applyFont="1" applyFill="1" applyBorder="1" applyAlignment="1">
      <alignment vertical="center"/>
    </xf>
    <xf numFmtId="4" fontId="13" fillId="0" borderId="63" xfId="0" applyNumberFormat="1" applyFont="1" applyFill="1" applyBorder="1" applyAlignment="1">
      <alignment vertical="center"/>
    </xf>
    <xf numFmtId="4" fontId="5" fillId="0" borderId="63" xfId="0" applyNumberFormat="1" applyFont="1" applyFill="1" applyBorder="1" applyAlignment="1">
      <alignment vertical="center"/>
    </xf>
    <xf numFmtId="4" fontId="17" fillId="0" borderId="75" xfId="0" applyNumberFormat="1" applyFont="1" applyFill="1" applyBorder="1" applyAlignment="1">
      <alignment vertical="center"/>
    </xf>
    <xf numFmtId="4" fontId="13" fillId="0" borderId="64" xfId="0" applyNumberFormat="1" applyFont="1" applyFill="1" applyBorder="1" applyAlignment="1">
      <alignment vertical="center"/>
    </xf>
    <xf numFmtId="4" fontId="5" fillId="0" borderId="64" xfId="0" applyNumberFormat="1" applyFont="1" applyFill="1" applyBorder="1" applyAlignment="1">
      <alignment vertical="center"/>
    </xf>
    <xf numFmtId="3" fontId="20" fillId="0" borderId="86" xfId="0" applyNumberFormat="1" applyFont="1" applyFill="1" applyBorder="1" applyAlignment="1" applyProtection="1">
      <alignment vertical="center"/>
      <protection locked="0"/>
    </xf>
    <xf numFmtId="3" fontId="20" fillId="0" borderId="64" xfId="0" applyNumberFormat="1" applyFont="1" applyFill="1" applyBorder="1" applyAlignment="1" applyProtection="1">
      <alignment horizontal="right" vertical="center"/>
      <protection locked="0"/>
    </xf>
    <xf numFmtId="3" fontId="20" fillId="0" borderId="7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4" fontId="16" fillId="0" borderId="35" xfId="0" applyNumberFormat="1" applyFont="1" applyFill="1" applyBorder="1" applyAlignment="1" applyProtection="1">
      <alignment horizontal="right" vertical="center"/>
      <protection/>
    </xf>
    <xf numFmtId="4" fontId="17" fillId="0" borderId="141" xfId="0" applyNumberFormat="1" applyFont="1" applyFill="1" applyBorder="1" applyAlignment="1" applyProtection="1">
      <alignment horizontal="right" vertical="center"/>
      <protection/>
    </xf>
    <xf numFmtId="4" fontId="17" fillId="0" borderId="14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17" fillId="0" borderId="8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vertical="center"/>
      <protection/>
    </xf>
    <xf numFmtId="4" fontId="5" fillId="0" borderId="48" xfId="0" applyNumberFormat="1" applyFont="1" applyFill="1" applyBorder="1" applyAlignment="1" applyProtection="1">
      <alignment vertical="center"/>
      <protection/>
    </xf>
    <xf numFmtId="4" fontId="12" fillId="0" borderId="14" xfId="0" applyNumberFormat="1" applyFont="1" applyFill="1" applyBorder="1" applyAlignment="1" applyProtection="1">
      <alignment vertical="center"/>
      <protection/>
    </xf>
    <xf numFmtId="4" fontId="12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1" fontId="3" fillId="0" borderId="0" xfId="0" applyNumberFormat="1" applyFont="1" applyFill="1" applyBorder="1" applyAlignment="1" applyProtection="1">
      <alignment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4" fontId="29" fillId="0" borderId="26" xfId="0" applyNumberFormat="1" applyFont="1" applyBorder="1" applyAlignment="1">
      <alignment horizontal="centerContinuous" vertical="center" wrapText="1"/>
    </xf>
    <xf numFmtId="0" fontId="24" fillId="0" borderId="28" xfId="0" applyFont="1" applyBorder="1" applyAlignment="1">
      <alignment horizontal="centerContinuous" vertical="center" wrapText="1"/>
    </xf>
    <xf numFmtId="4" fontId="22" fillId="0" borderId="29" xfId="0" applyNumberFormat="1" applyFont="1" applyBorder="1" applyAlignment="1">
      <alignment horizontal="centerContinuous" vertical="center"/>
    </xf>
    <xf numFmtId="4" fontId="13" fillId="0" borderId="143" xfId="0" applyNumberFormat="1" applyFont="1" applyBorder="1" applyAlignment="1">
      <alignment horizontal="centerContinuous" vertical="center" wrapText="1"/>
    </xf>
    <xf numFmtId="4" fontId="27" fillId="0" borderId="32" xfId="0" applyNumberFormat="1" applyFont="1" applyBorder="1" applyAlignment="1">
      <alignment horizontal="center" vertical="center" wrapText="1"/>
    </xf>
    <xf numFmtId="4" fontId="4" fillId="0" borderId="143" xfId="0" applyNumberFormat="1" applyFont="1" applyBorder="1" applyAlignment="1">
      <alignment horizontal="centerContinuous" vertical="center" wrapText="1"/>
    </xf>
    <xf numFmtId="4" fontId="28" fillId="0" borderId="54" xfId="0" applyNumberFormat="1" applyFont="1" applyBorder="1" applyAlignment="1">
      <alignment horizontal="center" vertical="center" wrapText="1"/>
    </xf>
    <xf numFmtId="4" fontId="28" fillId="0" borderId="32" xfId="0" applyNumberFormat="1" applyFont="1" applyBorder="1" applyAlignment="1">
      <alignment horizontal="center" vertical="center" wrapText="1"/>
    </xf>
    <xf numFmtId="1" fontId="22" fillId="0" borderId="33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1" fontId="22" fillId="0" borderId="48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2" fillId="0" borderId="9" xfId="0" applyNumberFormat="1" applyFont="1" applyBorder="1" applyAlignment="1">
      <alignment horizontal="center" vertical="center" wrapText="1"/>
    </xf>
    <xf numFmtId="165" fontId="24" fillId="0" borderId="15" xfId="0" applyNumberFormat="1" applyFont="1" applyBorder="1" applyAlignment="1">
      <alignment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5" fontId="22" fillId="0" borderId="0" xfId="0" applyNumberFormat="1" applyFont="1" applyAlignment="1">
      <alignment vertical="center"/>
    </xf>
    <xf numFmtId="0" fontId="24" fillId="0" borderId="144" xfId="0" applyFont="1" applyBorder="1" applyAlignment="1">
      <alignment horizontal="center" vertical="center" wrapText="1"/>
    </xf>
    <xf numFmtId="0" fontId="24" fillId="0" borderId="54" xfId="0" applyFont="1" applyBorder="1" applyAlignment="1">
      <alignment vertical="center" wrapText="1"/>
    </xf>
    <xf numFmtId="3" fontId="24" fillId="0" borderId="52" xfId="0" applyNumberFormat="1" applyFont="1" applyBorder="1" applyAlignment="1">
      <alignment horizontal="right" vertical="center" wrapText="1"/>
    </xf>
    <xf numFmtId="164" fontId="24" fillId="0" borderId="54" xfId="0" applyNumberFormat="1" applyFont="1" applyBorder="1" applyAlignment="1">
      <alignment horizontal="center" vertical="center" wrapText="1"/>
    </xf>
    <xf numFmtId="3" fontId="24" fillId="0" borderId="127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43" xfId="0" applyFont="1" applyBorder="1" applyAlignment="1">
      <alignment vertical="center" wrapText="1"/>
    </xf>
    <xf numFmtId="3" fontId="24" fillId="0" borderId="41" xfId="0" applyNumberFormat="1" applyFont="1" applyBorder="1" applyAlignment="1">
      <alignment horizontal="right" vertical="center" wrapText="1"/>
    </xf>
    <xf numFmtId="164" fontId="24" fillId="0" borderId="43" xfId="0" applyNumberFormat="1" applyFont="1" applyBorder="1" applyAlignment="1">
      <alignment horizontal="center" vertical="center" wrapText="1"/>
    </xf>
    <xf numFmtId="3" fontId="24" fillId="0" borderId="42" xfId="0" applyNumberFormat="1" applyFont="1" applyBorder="1" applyAlignment="1">
      <alignment vertical="center" wrapText="1"/>
    </xf>
    <xf numFmtId="164" fontId="29" fillId="0" borderId="43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0" fontId="24" fillId="0" borderId="139" xfId="0" applyFont="1" applyBorder="1" applyAlignment="1">
      <alignment horizontal="center" vertical="center" wrapText="1"/>
    </xf>
    <xf numFmtId="0" fontId="24" fillId="0" borderId="44" xfId="0" applyFont="1" applyBorder="1" applyAlignment="1">
      <alignment vertical="center" wrapText="1"/>
    </xf>
    <xf numFmtId="3" fontId="24" fillId="0" borderId="46" xfId="0" applyNumberFormat="1" applyFont="1" applyBorder="1" applyAlignment="1">
      <alignment horizontal="right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right" vertical="center" wrapText="1"/>
    </xf>
    <xf numFmtId="165" fontId="22" fillId="0" borderId="15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horizontal="right" vertical="center" wrapText="1"/>
    </xf>
    <xf numFmtId="0" fontId="22" fillId="0" borderId="140" xfId="0" applyFont="1" applyBorder="1" applyAlignment="1">
      <alignment horizontal="center" vertical="center" wrapText="1"/>
    </xf>
    <xf numFmtId="165" fontId="22" fillId="0" borderId="32" xfId="0" applyNumberFormat="1" applyFont="1" applyBorder="1" applyAlignment="1">
      <alignment vertical="center" wrapText="1"/>
    </xf>
    <xf numFmtId="3" fontId="22" fillId="0" borderId="80" xfId="0" applyNumberFormat="1" applyFont="1" applyBorder="1" applyAlignment="1">
      <alignment horizontal="right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3" fontId="22" fillId="0" borderId="10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32" xfId="0" applyFont="1" applyBorder="1" applyAlignment="1">
      <alignment vertical="center" wrapText="1"/>
    </xf>
    <xf numFmtId="3" fontId="22" fillId="0" borderId="80" xfId="0" applyNumberFormat="1" applyFont="1" applyBorder="1" applyAlignment="1">
      <alignment vertical="center" wrapText="1"/>
    </xf>
    <xf numFmtId="3" fontId="22" fillId="0" borderId="106" xfId="0" applyNumberFormat="1" applyFont="1" applyBorder="1" applyAlignment="1">
      <alignment vertical="center" wrapText="1"/>
    </xf>
    <xf numFmtId="3" fontId="24" fillId="0" borderId="40" xfId="0" applyNumberFormat="1" applyFont="1" applyBorder="1" applyAlignment="1">
      <alignment horizontal="right" vertical="center" wrapText="1"/>
    </xf>
    <xf numFmtId="3" fontId="24" fillId="0" borderId="41" xfId="0" applyNumberFormat="1" applyFont="1" applyBorder="1" applyAlignment="1">
      <alignment horizontal="right" vertical="center" wrapText="1"/>
    </xf>
    <xf numFmtId="3" fontId="24" fillId="0" borderId="42" xfId="0" applyNumberFormat="1" applyFont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164" fontId="22" fillId="0" borderId="44" xfId="0" applyNumberFormat="1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 vertical="center" wrapText="1"/>
    </xf>
    <xf numFmtId="3" fontId="22" fillId="0" borderId="47" xfId="0" applyNumberFormat="1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5" fontId="24" fillId="0" borderId="139" xfId="0" applyNumberFormat="1" applyFont="1" applyBorder="1" applyAlignment="1">
      <alignment horizontal="center" vertical="center" wrapText="1"/>
    </xf>
    <xf numFmtId="165" fontId="24" fillId="0" borderId="44" xfId="0" applyNumberFormat="1" applyFont="1" applyBorder="1" applyAlignment="1">
      <alignment vertical="center" wrapText="1"/>
    </xf>
    <xf numFmtId="165" fontId="24" fillId="0" borderId="9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vertical="center" wrapText="1"/>
    </xf>
    <xf numFmtId="3" fontId="22" fillId="0" borderId="16" xfId="0" applyNumberFormat="1" applyFont="1" applyBorder="1" applyAlignment="1">
      <alignment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vertical="center" wrapText="1"/>
    </xf>
    <xf numFmtId="3" fontId="22" fillId="0" borderId="35" xfId="0" applyNumberFormat="1" applyFont="1" applyBorder="1" applyAlignment="1">
      <alignment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0" fontId="22" fillId="0" borderId="130" xfId="0" applyFont="1" applyBorder="1" applyAlignment="1">
      <alignment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vertical="center" wrapText="1"/>
    </xf>
    <xf numFmtId="0" fontId="24" fillId="0" borderId="35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vertical="center" wrapText="1"/>
    </xf>
    <xf numFmtId="0" fontId="24" fillId="0" borderId="11" xfId="0" applyFont="1" applyBorder="1" applyAlignment="1">
      <alignment horizontal="centerContinuous" vertical="center" wrapText="1"/>
    </xf>
    <xf numFmtId="0" fontId="22" fillId="0" borderId="16" xfId="0" applyFont="1" applyBorder="1" applyAlignment="1">
      <alignment horizontal="centerContinuous" vertical="center" wrapText="1"/>
    </xf>
    <xf numFmtId="164" fontId="22" fillId="0" borderId="20" xfId="0" applyNumberFormat="1" applyFont="1" applyBorder="1" applyAlignment="1">
      <alignment horizontal="right"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2" fillId="0" borderId="130" xfId="0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0" fontId="22" fillId="0" borderId="9" xfId="0" applyFont="1" applyBorder="1" applyAlignment="1">
      <alignment horizontal="centerContinuous" vertical="center" wrapText="1"/>
    </xf>
    <xf numFmtId="165" fontId="24" fillId="0" borderId="130" xfId="0" applyNumberFormat="1" applyFont="1" applyBorder="1" applyAlignment="1">
      <alignment vertical="center" wrapText="1"/>
    </xf>
    <xf numFmtId="0" fontId="22" fillId="0" borderId="49" xfId="0" applyFont="1" applyBorder="1" applyAlignment="1">
      <alignment horizontal="centerContinuous" vertical="center" wrapText="1"/>
    </xf>
    <xf numFmtId="165" fontId="24" fillId="0" borderId="50" xfId="0" applyNumberFormat="1" applyFont="1" applyBorder="1" applyAlignment="1">
      <alignment vertical="center" wrapText="1"/>
    </xf>
    <xf numFmtId="4" fontId="22" fillId="0" borderId="16" xfId="0" applyNumberFormat="1" applyFont="1" applyBorder="1" applyAlignment="1">
      <alignment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49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" fontId="13" fillId="0" borderId="40" xfId="0" applyNumberFormat="1" applyFont="1" applyFill="1" applyBorder="1" applyAlignment="1" applyProtection="1">
      <alignment vertical="center" wrapText="1"/>
      <protection locked="0"/>
    </xf>
    <xf numFmtId="0" fontId="13" fillId="0" borderId="103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129" xfId="0" applyNumberFormat="1" applyFont="1" applyFill="1" applyBorder="1" applyAlignment="1" applyProtection="1">
      <alignment horizontal="right" vertical="center"/>
      <protection locked="0"/>
    </xf>
    <xf numFmtId="0" fontId="13" fillId="0" borderId="127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" fontId="5" fillId="0" borderId="22" xfId="0" applyNumberFormat="1" applyFont="1" applyFill="1" applyBorder="1" applyAlignment="1" applyProtection="1">
      <alignment vertical="center"/>
      <protection locked="0"/>
    </xf>
    <xf numFmtId="4" fontId="13" fillId="0" borderId="30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4" fontId="4" fillId="0" borderId="3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34" xfId="0" applyNumberFormat="1" applyFont="1" applyFill="1" applyBorder="1" applyAlignment="1" applyProtection="1">
      <alignment vertical="center"/>
      <protection locked="0"/>
    </xf>
    <xf numFmtId="4" fontId="13" fillId="0" borderId="118" xfId="0" applyNumberFormat="1" applyFont="1" applyFill="1" applyBorder="1" applyAlignment="1" applyProtection="1">
      <alignment vertical="center"/>
      <protection/>
    </xf>
    <xf numFmtId="4" fontId="13" fillId="0" borderId="42" xfId="0" applyNumberFormat="1" applyFont="1" applyFill="1" applyBorder="1" applyAlignment="1" applyProtection="1">
      <alignment vertical="center"/>
      <protection/>
    </xf>
    <xf numFmtId="4" fontId="4" fillId="0" borderId="119" xfId="0" applyNumberFormat="1" applyFont="1" applyFill="1" applyBorder="1" applyAlignment="1" applyProtection="1">
      <alignment vertical="center"/>
      <protection/>
    </xf>
    <xf numFmtId="4" fontId="4" fillId="0" borderId="120" xfId="0" applyNumberFormat="1" applyFont="1" applyFill="1" applyBorder="1" applyAlignment="1" applyProtection="1">
      <alignment vertical="center"/>
      <protection/>
    </xf>
    <xf numFmtId="4" fontId="12" fillId="0" borderId="121" xfId="0" applyNumberFormat="1" applyFont="1" applyFill="1" applyBorder="1" applyAlignment="1" applyProtection="1">
      <alignment vertical="center"/>
      <protection/>
    </xf>
    <xf numFmtId="4" fontId="4" fillId="0" borderId="41" xfId="0" applyNumberFormat="1" applyFont="1" applyFill="1" applyBorder="1" applyAlignment="1" applyProtection="1">
      <alignment vertical="center"/>
      <protection/>
    </xf>
    <xf numFmtId="4" fontId="4" fillId="0" borderId="43" xfId="0" applyNumberFormat="1" applyFont="1" applyFill="1" applyBorder="1" applyAlignment="1" applyProtection="1">
      <alignment vertical="center"/>
      <protection/>
    </xf>
    <xf numFmtId="4" fontId="5" fillId="0" borderId="114" xfId="0" applyNumberFormat="1" applyFont="1" applyFill="1" applyBorder="1" applyAlignment="1" applyProtection="1">
      <alignment vertical="center"/>
      <protection/>
    </xf>
    <xf numFmtId="4" fontId="5" fillId="0" borderId="30" xfId="0" applyNumberFormat="1" applyFont="1" applyFill="1" applyBorder="1" applyAlignment="1" applyProtection="1">
      <alignment vertical="center"/>
      <protection/>
    </xf>
    <xf numFmtId="4" fontId="13" fillId="0" borderId="48" xfId="0" applyNumberFormat="1" applyFont="1" applyFill="1" applyBorder="1" applyAlignment="1" applyProtection="1">
      <alignment vertical="center"/>
      <protection/>
    </xf>
    <xf numFmtId="49" fontId="5" fillId="0" borderId="3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30" xfId="0" applyNumberFormat="1" applyFont="1" applyBorder="1" applyAlignment="1">
      <alignment horizontal="right" vertical="center"/>
    </xf>
    <xf numFmtId="4" fontId="21" fillId="0" borderId="48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" fontId="3" fillId="0" borderId="34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Border="1" applyAlignment="1">
      <alignment vertical="center"/>
    </xf>
    <xf numFmtId="164" fontId="4" fillId="0" borderId="131" xfId="0" applyNumberFormat="1" applyFont="1" applyBorder="1" applyAlignment="1">
      <alignment/>
    </xf>
    <xf numFmtId="1" fontId="3" fillId="0" borderId="131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133" xfId="18" applyNumberFormat="1" applyFont="1" applyBorder="1" applyAlignment="1">
      <alignment vertical="center"/>
      <protection/>
    </xf>
    <xf numFmtId="3" fontId="5" fillId="0" borderId="52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0" fontId="3" fillId="0" borderId="40" xfId="18" applyFont="1" applyBorder="1" applyAlignment="1">
      <alignment horizontal="center" vertical="center"/>
      <protection/>
    </xf>
    <xf numFmtId="3" fontId="3" fillId="0" borderId="118" xfId="18" applyNumberFormat="1" applyFont="1" applyBorder="1" applyAlignment="1">
      <alignment vertical="center"/>
      <protection/>
    </xf>
    <xf numFmtId="3" fontId="3" fillId="0" borderId="41" xfId="18" applyNumberFormat="1" applyFont="1" applyBorder="1" applyAlignment="1">
      <alignment vertical="center"/>
      <protection/>
    </xf>
    <xf numFmtId="3" fontId="3" fillId="0" borderId="43" xfId="18" applyNumberFormat="1" applyFont="1" applyBorder="1" applyAlignment="1">
      <alignment vertical="center"/>
      <protection/>
    </xf>
    <xf numFmtId="3" fontId="13" fillId="0" borderId="118" xfId="18" applyNumberFormat="1" applyFont="1" applyBorder="1" applyAlignment="1">
      <alignment vertical="center"/>
      <protection/>
    </xf>
    <xf numFmtId="3" fontId="13" fillId="0" borderId="41" xfId="18" applyNumberFormat="1" applyFont="1" applyBorder="1" applyAlignment="1">
      <alignment vertical="center"/>
      <protection/>
    </xf>
    <xf numFmtId="3" fontId="9" fillId="0" borderId="43" xfId="18" applyNumberFormat="1" applyFont="1" applyBorder="1" applyAlignment="1">
      <alignment vertical="center"/>
      <protection/>
    </xf>
    <xf numFmtId="0" fontId="3" fillId="0" borderId="36" xfId="0" applyFont="1" applyBorder="1" applyAlignment="1">
      <alignment horizontal="left" vertical="center" wrapText="1"/>
    </xf>
    <xf numFmtId="164" fontId="22" fillId="0" borderId="36" xfId="21" applyNumberFormat="1" applyFont="1" applyFill="1" applyBorder="1" applyAlignment="1" applyProtection="1">
      <alignment vertical="center" wrapText="1"/>
      <protection locked="0"/>
    </xf>
    <xf numFmtId="0" fontId="9" fillId="0" borderId="48" xfId="0" applyFont="1" applyBorder="1" applyAlignment="1">
      <alignment horizontal="center" vertical="center"/>
    </xf>
    <xf numFmtId="49" fontId="63" fillId="0" borderId="30" xfId="0" applyNumberFormat="1" applyFont="1" applyFill="1" applyBorder="1" applyAlignment="1" applyProtection="1">
      <alignment horizontal="center" vertical="center"/>
      <protection locked="0"/>
    </xf>
    <xf numFmtId="3" fontId="63" fillId="0" borderId="48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49" fontId="30" fillId="0" borderId="149" xfId="0" applyNumberFormat="1" applyFont="1" applyFill="1" applyBorder="1" applyAlignment="1" applyProtection="1">
      <alignment horizontal="center" vertical="center"/>
      <protection locked="0"/>
    </xf>
    <xf numFmtId="3" fontId="30" fillId="0" borderId="148" xfId="0" applyNumberFormat="1" applyFont="1" applyFill="1" applyBorder="1" applyAlignment="1" applyProtection="1">
      <alignment vertical="center" wrapText="1"/>
      <protection locked="0"/>
    </xf>
    <xf numFmtId="0" fontId="2" fillId="0" borderId="149" xfId="0" applyFont="1" applyBorder="1" applyAlignment="1">
      <alignment horizontal="center" vertical="center" wrapText="1"/>
    </xf>
    <xf numFmtId="0" fontId="2" fillId="0" borderId="149" xfId="0" applyFont="1" applyBorder="1" applyAlignment="1">
      <alignment horizontal="center" vertical="center"/>
    </xf>
    <xf numFmtId="3" fontId="2" fillId="0" borderId="149" xfId="0" applyNumberFormat="1" applyFont="1" applyBorder="1" applyAlignment="1">
      <alignment horizontal="right" vertical="center"/>
    </xf>
    <xf numFmtId="3" fontId="2" fillId="0" borderId="150" xfId="0" applyNumberFormat="1" applyFont="1" applyBorder="1" applyAlignment="1">
      <alignment horizontal="right" vertical="center"/>
    </xf>
    <xf numFmtId="164" fontId="42" fillId="0" borderId="32" xfId="0" applyNumberFormat="1" applyFont="1" applyFill="1" applyBorder="1" applyAlignment="1">
      <alignment vertical="center"/>
    </xf>
    <xf numFmtId="164" fontId="42" fillId="0" borderId="106" xfId="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164" fontId="17" fillId="0" borderId="64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30" xfId="0" applyNumberFormat="1" applyFont="1" applyFill="1" applyBorder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 quotePrefix="1">
      <alignment horizontal="right" vertical="center"/>
      <protection/>
    </xf>
    <xf numFmtId="3" fontId="17" fillId="0" borderId="15" xfId="0" applyNumberFormat="1" applyFont="1" applyFill="1" applyBorder="1" applyAlignment="1" applyProtection="1" quotePrefix="1">
      <alignment horizontal="right" vertical="center"/>
      <protection/>
    </xf>
    <xf numFmtId="3" fontId="22" fillId="0" borderId="11" xfId="0" applyNumberFormat="1" applyFont="1" applyBorder="1" applyAlignment="1" quotePrefix="1">
      <alignment horizontal="right" vertical="center" wrapText="1"/>
    </xf>
    <xf numFmtId="49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vertical="center" wrapText="1"/>
      <protection locked="0"/>
    </xf>
    <xf numFmtId="4" fontId="12" fillId="0" borderId="45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11" fillId="0" borderId="38" xfId="0" applyNumberFormat="1" applyFont="1" applyFill="1" applyBorder="1" applyAlignment="1" applyProtection="1">
      <alignment horizontal="centerContinuous" vertical="center"/>
      <protection locked="0"/>
    </xf>
    <xf numFmtId="3" fontId="12" fillId="0" borderId="45" xfId="0" applyNumberFormat="1" applyFont="1" applyFill="1" applyBorder="1" applyAlignment="1" applyProtection="1">
      <alignment vertical="center" wrapText="1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0" fontId="12" fillId="0" borderId="134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3" fontId="12" fillId="0" borderId="106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49" fontId="11" fillId="0" borderId="134" xfId="0" applyNumberFormat="1" applyFont="1" applyFill="1" applyBorder="1" applyAlignment="1" applyProtection="1">
      <alignment horizontal="centerContinuous" vertical="center"/>
      <protection locked="0"/>
    </xf>
    <xf numFmtId="3" fontId="12" fillId="0" borderId="31" xfId="0" applyNumberFormat="1" applyFont="1" applyFill="1" applyBorder="1" applyAlignment="1" applyProtection="1">
      <alignment vertical="center" wrapText="1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3" fontId="13" fillId="0" borderId="40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0" fontId="13" fillId="0" borderId="41" xfId="0" applyNumberFormat="1" applyFont="1" applyFill="1" applyBorder="1" applyAlignment="1" applyProtection="1">
      <alignment vertical="center"/>
      <protection locked="0"/>
    </xf>
    <xf numFmtId="0" fontId="13" fillId="0" borderId="42" xfId="0" applyNumberFormat="1" applyFont="1" applyFill="1" applyBorder="1" applyAlignment="1" applyProtection="1">
      <alignment vertical="center"/>
      <protection locked="0"/>
    </xf>
    <xf numFmtId="3" fontId="4" fillId="0" borderId="87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9" xfId="18" applyNumberFormat="1" applyFont="1" applyBorder="1" applyAlignment="1">
      <alignment horizontal="right" vertical="center"/>
      <protection/>
    </xf>
    <xf numFmtId="0" fontId="13" fillId="0" borderId="30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3" fontId="3" fillId="0" borderId="151" xfId="0" applyNumberFormat="1" applyFont="1" applyBorder="1" applyAlignment="1">
      <alignment horizontal="right" vertical="center"/>
    </xf>
    <xf numFmtId="3" fontId="3" fillId="0" borderId="152" xfId="0" applyNumberFormat="1" applyFont="1" applyBorder="1" applyAlignment="1">
      <alignment horizontal="right" vertical="center"/>
    </xf>
    <xf numFmtId="0" fontId="3" fillId="0" borderId="149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left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/>
    </xf>
    <xf numFmtId="3" fontId="3" fillId="0" borderId="149" xfId="0" applyNumberFormat="1" applyFont="1" applyBorder="1" applyAlignment="1">
      <alignment horizontal="right" vertical="center"/>
    </xf>
    <xf numFmtId="3" fontId="3" fillId="0" borderId="149" xfId="0" applyNumberFormat="1" applyFont="1" applyBorder="1" applyAlignment="1">
      <alignment horizontal="center" vertical="center"/>
    </xf>
    <xf numFmtId="3" fontId="3" fillId="0" borderId="150" xfId="0" applyNumberFormat="1" applyFont="1" applyBorder="1" applyAlignment="1">
      <alignment horizontal="right" vertical="center"/>
    </xf>
    <xf numFmtId="0" fontId="3" fillId="0" borderId="153" xfId="0" applyFont="1" applyBorder="1" applyAlignment="1">
      <alignment horizontal="center" vertical="center" wrapText="1"/>
    </xf>
    <xf numFmtId="0" fontId="3" fillId="0" borderId="153" xfId="0" applyFont="1" applyBorder="1" applyAlignment="1">
      <alignment horizontal="center" vertical="center"/>
    </xf>
    <xf numFmtId="3" fontId="3" fillId="0" borderId="153" xfId="0" applyNumberFormat="1" applyFont="1" applyBorder="1" applyAlignment="1">
      <alignment horizontal="right" vertical="center"/>
    </xf>
    <xf numFmtId="3" fontId="3" fillId="0" borderId="15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2" fillId="0" borderId="34" xfId="0" applyNumberFormat="1" applyFont="1" applyFill="1" applyBorder="1" applyAlignment="1" applyProtection="1">
      <alignment vertical="center" wrapText="1"/>
      <protection locked="0"/>
    </xf>
    <xf numFmtId="0" fontId="9" fillId="0" borderId="151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/>
    </xf>
    <xf numFmtId="3" fontId="9" fillId="0" borderId="151" xfId="0" applyNumberFormat="1" applyFont="1" applyBorder="1" applyAlignment="1">
      <alignment horizontal="center" vertical="center"/>
    </xf>
    <xf numFmtId="3" fontId="2" fillId="0" borderId="152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149" xfId="0" applyFont="1" applyBorder="1" applyAlignment="1">
      <alignment horizontal="center" vertical="center" wrapText="1"/>
    </xf>
    <xf numFmtId="0" fontId="9" fillId="0" borderId="149" xfId="0" applyFont="1" applyBorder="1" applyAlignment="1">
      <alignment horizontal="center" vertical="center"/>
    </xf>
    <xf numFmtId="3" fontId="9" fillId="0" borderId="14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15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51" xfId="0" applyNumberFormat="1" applyFont="1" applyFill="1" applyBorder="1" applyAlignment="1" applyProtection="1">
      <alignment vertical="center" wrapText="1"/>
      <protection locked="0"/>
    </xf>
    <xf numFmtId="0" fontId="5" fillId="0" borderId="151" xfId="0" applyFont="1" applyBorder="1" applyAlignment="1">
      <alignment horizontal="center" vertical="center"/>
    </xf>
    <xf numFmtId="0" fontId="22" fillId="0" borderId="149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49" xfId="0" applyNumberFormat="1" applyFont="1" applyFill="1" applyBorder="1" applyAlignment="1" applyProtection="1">
      <alignment vertical="center" wrapText="1"/>
      <protection locked="0"/>
    </xf>
    <xf numFmtId="0" fontId="5" fillId="0" borderId="149" xfId="0" applyFont="1" applyBorder="1" applyAlignment="1">
      <alignment horizontal="center" vertical="center"/>
    </xf>
    <xf numFmtId="3" fontId="5" fillId="0" borderId="149" xfId="0" applyNumberFormat="1" applyFont="1" applyBorder="1" applyAlignment="1">
      <alignment horizontal="center" vertical="center"/>
    </xf>
    <xf numFmtId="49" fontId="22" fillId="0" borderId="149" xfId="0" applyNumberFormat="1" applyFont="1" applyFill="1" applyBorder="1" applyAlignment="1" applyProtection="1">
      <alignment horizontal="center" vertical="center"/>
      <protection locked="0"/>
    </xf>
    <xf numFmtId="164" fontId="22" fillId="0" borderId="149" xfId="21" applyNumberFormat="1" applyFont="1" applyFill="1" applyBorder="1" applyAlignment="1" applyProtection="1">
      <alignment vertical="center" wrapText="1"/>
      <protection locked="0"/>
    </xf>
    <xf numFmtId="3" fontId="22" fillId="0" borderId="149" xfId="0" applyNumberFormat="1" applyFont="1" applyFill="1" applyBorder="1" applyAlignment="1" applyProtection="1">
      <alignment vertical="center" wrapText="1"/>
      <protection locked="0"/>
    </xf>
    <xf numFmtId="49" fontId="22" fillId="0" borderId="153" xfId="0" applyNumberFormat="1" applyFont="1" applyFill="1" applyBorder="1" applyAlignment="1" applyProtection="1">
      <alignment horizontal="center" vertical="center"/>
      <protection locked="0"/>
    </xf>
    <xf numFmtId="3" fontId="22" fillId="0" borderId="153" xfId="0" applyNumberFormat="1" applyFont="1" applyFill="1" applyBorder="1" applyAlignment="1" applyProtection="1">
      <alignment vertical="center" wrapText="1"/>
      <protection locked="0"/>
    </xf>
    <xf numFmtId="0" fontId="2" fillId="0" borderId="151" xfId="0" applyFont="1" applyBorder="1" applyAlignment="1">
      <alignment horizontal="center" vertical="center"/>
    </xf>
    <xf numFmtId="3" fontId="2" fillId="0" borderId="151" xfId="0" applyNumberFormat="1" applyFont="1" applyBorder="1" applyAlignment="1">
      <alignment horizontal="right" vertical="center"/>
    </xf>
    <xf numFmtId="1" fontId="30" fillId="0" borderId="149" xfId="0" applyNumberFormat="1" applyFont="1" applyFill="1" applyBorder="1" applyAlignment="1" applyProtection="1">
      <alignment horizontal="centerContinuous" vertical="center"/>
      <protection locked="0"/>
    </xf>
    <xf numFmtId="0" fontId="5" fillId="0" borderId="149" xfId="0" applyFont="1" applyBorder="1" applyAlignment="1">
      <alignment horizontal="center" vertical="center" wrapText="1"/>
    </xf>
    <xf numFmtId="3" fontId="9" fillId="0" borderId="149" xfId="0" applyNumberFormat="1" applyFont="1" applyBorder="1" applyAlignment="1">
      <alignment horizontal="right" vertical="center"/>
    </xf>
    <xf numFmtId="0" fontId="30" fillId="0" borderId="149" xfId="0" applyNumberFormat="1" applyFont="1" applyFill="1" applyBorder="1" applyAlignment="1" applyProtection="1">
      <alignment horizontal="centerContinuous" vertical="center"/>
      <protection locked="0"/>
    </xf>
    <xf numFmtId="0" fontId="30" fillId="0" borderId="149" xfId="0" applyNumberFormat="1" applyFont="1" applyFill="1" applyBorder="1" applyAlignment="1" applyProtection="1">
      <alignment vertical="center" wrapText="1"/>
      <protection locked="0"/>
    </xf>
    <xf numFmtId="164" fontId="30" fillId="0" borderId="149" xfId="21" applyNumberFormat="1" applyFont="1" applyFill="1" applyBorder="1" applyAlignment="1" applyProtection="1">
      <alignment vertical="center" wrapText="1"/>
      <protection locked="0"/>
    </xf>
    <xf numFmtId="164" fontId="30" fillId="0" borderId="148" xfId="21" applyNumberFormat="1" applyFont="1" applyFill="1" applyBorder="1" applyAlignment="1" applyProtection="1">
      <alignment vertical="center" wrapText="1"/>
      <protection locked="0"/>
    </xf>
    <xf numFmtId="0" fontId="2" fillId="0" borderId="149" xfId="0" applyFont="1" applyBorder="1" applyAlignment="1">
      <alignment horizontal="center" vertical="center" wrapText="1"/>
    </xf>
    <xf numFmtId="0" fontId="2" fillId="0" borderId="148" xfId="0" applyFont="1" applyBorder="1" applyAlignment="1">
      <alignment horizontal="left" vertical="center" wrapText="1"/>
    </xf>
    <xf numFmtId="3" fontId="30" fillId="0" borderId="149" xfId="0" applyNumberFormat="1" applyFont="1" applyFill="1" applyBorder="1" applyAlignment="1" applyProtection="1">
      <alignment vertical="center" wrapText="1"/>
      <protection locked="0"/>
    </xf>
    <xf numFmtId="49" fontId="30" fillId="0" borderId="151" xfId="0" applyNumberFormat="1" applyFont="1" applyFill="1" applyBorder="1" applyAlignment="1" applyProtection="1">
      <alignment horizontal="center" vertical="center"/>
      <protection locked="0"/>
    </xf>
    <xf numFmtId="3" fontId="30" fillId="0" borderId="111" xfId="0" applyNumberFormat="1" applyFont="1" applyFill="1" applyBorder="1" applyAlignment="1" applyProtection="1">
      <alignment vertical="center" wrapText="1"/>
      <protection locked="0"/>
    </xf>
    <xf numFmtId="0" fontId="2" fillId="0" borderId="151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11" xfId="0" applyFont="1" applyBorder="1" applyAlignment="1">
      <alignment vertical="center" wrapText="1"/>
    </xf>
    <xf numFmtId="0" fontId="2" fillId="0" borderId="151" xfId="0" applyFont="1" applyBorder="1" applyAlignment="1">
      <alignment horizontal="center" vertical="center"/>
    </xf>
    <xf numFmtId="3" fontId="2" fillId="0" borderId="151" xfId="0" applyNumberFormat="1" applyFont="1" applyBorder="1" applyAlignment="1">
      <alignment vertical="center"/>
    </xf>
    <xf numFmtId="3" fontId="2" fillId="0" borderId="151" xfId="0" applyNumberFormat="1" applyFont="1" applyBorder="1" applyAlignment="1">
      <alignment vertical="center"/>
    </xf>
    <xf numFmtId="3" fontId="2" fillId="0" borderId="152" xfId="0" applyNumberFormat="1" applyFont="1" applyBorder="1" applyAlignment="1">
      <alignment vertical="center"/>
    </xf>
    <xf numFmtId="0" fontId="2" fillId="0" borderId="148" xfId="0" applyFont="1" applyBorder="1" applyAlignment="1">
      <alignment vertical="center" wrapText="1"/>
    </xf>
    <xf numFmtId="0" fontId="2" fillId="0" borderId="149" xfId="0" applyFont="1" applyBorder="1" applyAlignment="1">
      <alignment horizontal="center" vertical="center"/>
    </xf>
    <xf numFmtId="3" fontId="2" fillId="0" borderId="149" xfId="0" applyNumberFormat="1" applyFont="1" applyBorder="1" applyAlignment="1">
      <alignment vertical="center"/>
    </xf>
    <xf numFmtId="3" fontId="2" fillId="0" borderId="149" xfId="0" applyNumberFormat="1" applyFont="1" applyBorder="1" applyAlignment="1">
      <alignment vertical="center"/>
    </xf>
    <xf numFmtId="3" fontId="2" fillId="0" borderId="150" xfId="0" applyNumberFormat="1" applyFont="1" applyBorder="1" applyAlignment="1">
      <alignment vertical="center"/>
    </xf>
    <xf numFmtId="0" fontId="2" fillId="0" borderId="148" xfId="0" applyFont="1" applyBorder="1" applyAlignment="1">
      <alignment horizontal="center" vertical="center" wrapText="1"/>
    </xf>
    <xf numFmtId="0" fontId="24" fillId="0" borderId="144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139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63" fillId="0" borderId="155" xfId="0" applyNumberFormat="1" applyFont="1" applyFill="1" applyBorder="1" applyAlignment="1" applyProtection="1">
      <alignment horizontal="center" vertical="center"/>
      <protection locked="0"/>
    </xf>
    <xf numFmtId="0" fontId="63" fillId="0" borderId="155" xfId="0" applyNumberFormat="1" applyFont="1" applyFill="1" applyBorder="1" applyAlignment="1" applyProtection="1">
      <alignment vertical="center" wrapText="1"/>
      <protection locked="0"/>
    </xf>
    <xf numFmtId="0" fontId="5" fillId="0" borderId="155" xfId="0" applyFont="1" applyBorder="1" applyAlignment="1">
      <alignment horizontal="center" vertical="center" wrapText="1"/>
    </xf>
    <xf numFmtId="0" fontId="24" fillId="0" borderId="155" xfId="0" applyFont="1" applyBorder="1" applyAlignment="1">
      <alignment vertical="center"/>
    </xf>
    <xf numFmtId="3" fontId="63" fillId="0" borderId="155" xfId="0" applyNumberFormat="1" applyFont="1" applyFill="1" applyBorder="1" applyAlignment="1" applyProtection="1">
      <alignment vertical="center"/>
      <protection locked="0"/>
    </xf>
    <xf numFmtId="3" fontId="22" fillId="0" borderId="155" xfId="0" applyNumberFormat="1" applyFont="1" applyBorder="1" applyAlignment="1">
      <alignment vertical="center"/>
    </xf>
    <xf numFmtId="3" fontId="22" fillId="0" borderId="156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0" fillId="0" borderId="149" xfId="0" applyNumberFormat="1" applyFont="1" applyFill="1" applyBorder="1" applyAlignment="1" applyProtection="1">
      <alignment horizontal="center" vertical="center"/>
      <protection locked="0"/>
    </xf>
    <xf numFmtId="0" fontId="5" fillId="0" borderId="149" xfId="0" applyFont="1" applyBorder="1" applyAlignment="1">
      <alignment horizontal="center" vertical="center" wrapText="1"/>
    </xf>
    <xf numFmtId="0" fontId="24" fillId="0" borderId="149" xfId="0" applyFont="1" applyBorder="1" applyAlignment="1">
      <alignment vertical="center"/>
    </xf>
    <xf numFmtId="3" fontId="22" fillId="0" borderId="149" xfId="0" applyNumberFormat="1" applyFont="1" applyBorder="1" applyAlignment="1">
      <alignment vertical="center"/>
    </xf>
    <xf numFmtId="3" fontId="22" fillId="0" borderId="150" xfId="0" applyNumberFormat="1" applyFont="1" applyBorder="1" applyAlignment="1">
      <alignment vertical="center"/>
    </xf>
    <xf numFmtId="0" fontId="22" fillId="0" borderId="149" xfId="0" applyNumberFormat="1" applyFont="1" applyFill="1" applyBorder="1" applyAlignment="1" applyProtection="1">
      <alignment horizontal="center" vertical="center"/>
      <protection locked="0"/>
    </xf>
    <xf numFmtId="3" fontId="16" fillId="0" borderId="63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70" xfId="0" applyNumberFormat="1" applyFont="1" applyFill="1" applyBorder="1" applyAlignment="1" applyProtection="1">
      <alignment vertical="center"/>
      <protection locked="0"/>
    </xf>
    <xf numFmtId="164" fontId="42" fillId="0" borderId="4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164" fontId="42" fillId="0" borderId="47" xfId="0" applyNumberFormat="1" applyFont="1" applyFill="1" applyBorder="1" applyAlignment="1">
      <alignment horizontal="right" vertical="center"/>
    </xf>
    <xf numFmtId="164" fontId="42" fillId="0" borderId="47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2" fillId="0" borderId="157" xfId="0" applyNumberFormat="1" applyFont="1" applyBorder="1" applyAlignment="1">
      <alignment horizontal="right" vertical="center"/>
    </xf>
    <xf numFmtId="0" fontId="63" fillId="0" borderId="0" xfId="0" applyFont="1" applyAlignment="1">
      <alignment horizontal="fill" wrapText="1"/>
    </xf>
    <xf numFmtId="0" fontId="30" fillId="0" borderId="0" xfId="0" applyFont="1" applyAlignment="1">
      <alignment horizontal="fill" wrapText="1"/>
    </xf>
    <xf numFmtId="4" fontId="30" fillId="0" borderId="0" xfId="0" applyNumberFormat="1" applyFont="1" applyAlignment="1">
      <alignment horizontal="fill" wrapText="1"/>
    </xf>
    <xf numFmtId="4" fontId="69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4" fontId="30" fillId="0" borderId="0" xfId="0" applyNumberFormat="1" applyFont="1" applyAlignment="1">
      <alignment horizontal="centerContinuous" wrapText="1"/>
    </xf>
    <xf numFmtId="0" fontId="30" fillId="0" borderId="0" xfId="0" applyFont="1" applyAlignment="1">
      <alignment wrapText="1"/>
    </xf>
    <xf numFmtId="0" fontId="63" fillId="0" borderId="0" xfId="0" applyFont="1" applyAlignment="1">
      <alignment horizontal="left" vertical="top"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4" fontId="30" fillId="0" borderId="0" xfId="0" applyNumberFormat="1" applyFont="1" applyAlignment="1">
      <alignment horizontal="centerContinuous" vertical="top"/>
    </xf>
    <xf numFmtId="4" fontId="69" fillId="0" borderId="0" xfId="0" applyNumberFormat="1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4" fontId="30" fillId="0" borderId="0" xfId="0" applyNumberFormat="1" applyFont="1" applyBorder="1" applyAlignment="1">
      <alignment horizontal="centerContinuous" vertical="top"/>
    </xf>
    <xf numFmtId="4" fontId="25" fillId="0" borderId="11" xfId="0" applyNumberFormat="1" applyFont="1" applyBorder="1" applyAlignment="1">
      <alignment vertical="center" wrapText="1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64" fontId="17" fillId="0" borderId="17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164" fontId="13" fillId="0" borderId="66" xfId="0" applyNumberFormat="1" applyFont="1" applyFill="1" applyBorder="1" applyAlignment="1">
      <alignment vertical="center" wrapText="1"/>
    </xf>
    <xf numFmtId="0" fontId="5" fillId="0" borderId="100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1" fontId="17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3" fillId="0" borderId="11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vertical="center"/>
    </xf>
    <xf numFmtId="1" fontId="17" fillId="0" borderId="16" xfId="0" applyNumberFormat="1" applyFont="1" applyFill="1" applyBorder="1" applyAlignment="1">
      <alignment vertical="center"/>
    </xf>
    <xf numFmtId="164" fontId="17" fillId="0" borderId="85" xfId="0" applyNumberFormat="1" applyFont="1" applyFill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1" fontId="3" fillId="0" borderId="48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" fontId="3" fillId="0" borderId="34" xfId="21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0" xfId="21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>
      <alignment vertical="center"/>
    </xf>
    <xf numFmtId="0" fontId="2" fillId="0" borderId="0" xfId="18" applyFont="1" applyBorder="1" applyAlignment="1">
      <alignment vertical="center"/>
      <protection/>
    </xf>
    <xf numFmtId="3" fontId="4" fillId="0" borderId="134" xfId="18" applyNumberFormat="1" applyFont="1" applyBorder="1" applyAlignment="1">
      <alignment vertical="center"/>
      <protection/>
    </xf>
    <xf numFmtId="3" fontId="13" fillId="0" borderId="43" xfId="18" applyNumberFormat="1" applyFont="1" applyBorder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left" vertical="center" wrapText="1"/>
      <protection/>
    </xf>
    <xf numFmtId="3" fontId="3" fillId="0" borderId="38" xfId="18" applyNumberFormat="1" applyFont="1" applyBorder="1" applyAlignment="1">
      <alignment vertical="center"/>
      <protection/>
    </xf>
    <xf numFmtId="3" fontId="3" fillId="0" borderId="14" xfId="18" applyNumberFormat="1" applyFont="1" applyBorder="1" applyAlignment="1">
      <alignment vertical="center"/>
      <protection/>
    </xf>
    <xf numFmtId="3" fontId="3" fillId="0" borderId="15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justify"/>
    </xf>
    <xf numFmtId="0" fontId="2" fillId="0" borderId="5" xfId="0" applyFont="1" applyBorder="1" applyAlignment="1">
      <alignment horizontal="center" vertical="center"/>
    </xf>
    <xf numFmtId="0" fontId="62" fillId="0" borderId="10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63" fillId="0" borderId="13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3" fontId="3" fillId="0" borderId="36" xfId="0" applyNumberFormat="1" applyFont="1" applyBorder="1" applyAlignment="1">
      <alignment horizontal="center" vertical="center"/>
    </xf>
    <xf numFmtId="164" fontId="22" fillId="0" borderId="13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63" fillId="0" borderId="136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right" vertical="center"/>
    </xf>
    <xf numFmtId="164" fontId="70" fillId="0" borderId="108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49" fontId="22" fillId="0" borderId="158" xfId="0" applyNumberFormat="1" applyFont="1" applyFill="1" applyBorder="1" applyAlignment="1" applyProtection="1">
      <alignment horizontal="center" vertical="center"/>
      <protection locked="0"/>
    </xf>
    <xf numFmtId="3" fontId="22" fillId="0" borderId="158" xfId="0" applyNumberFormat="1" applyFont="1" applyFill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center" vertical="center"/>
    </xf>
    <xf numFmtId="1" fontId="30" fillId="0" borderId="15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151" xfId="21" applyNumberFormat="1" applyFont="1" applyFill="1" applyBorder="1" applyAlignment="1" applyProtection="1">
      <alignment vertical="center" wrapText="1"/>
      <protection locked="0"/>
    </xf>
    <xf numFmtId="0" fontId="5" fillId="0" borderId="151" xfId="0" applyFont="1" applyBorder="1" applyAlignment="1">
      <alignment horizontal="center" vertical="center" wrapText="1"/>
    </xf>
    <xf numFmtId="3" fontId="9" fillId="0" borderId="151" xfId="0" applyNumberFormat="1" applyFont="1" applyBorder="1" applyAlignment="1">
      <alignment horizontal="right" vertical="center"/>
    </xf>
    <xf numFmtId="3" fontId="5" fillId="0" borderId="149" xfId="0" applyNumberFormat="1" applyFont="1" applyBorder="1" applyAlignment="1">
      <alignment horizontal="center" vertical="center" wrapText="1"/>
    </xf>
    <xf numFmtId="3" fontId="63" fillId="0" borderId="0" xfId="0" applyNumberFormat="1" applyFont="1" applyAlignment="1">
      <alignment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left" vertical="center" wrapText="1"/>
    </xf>
    <xf numFmtId="0" fontId="2" fillId="0" borderId="158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/>
    </xf>
    <xf numFmtId="3" fontId="2" fillId="0" borderId="158" xfId="0" applyNumberFormat="1" applyFont="1" applyBorder="1" applyAlignment="1">
      <alignment horizontal="right" vertical="center"/>
    </xf>
    <xf numFmtId="3" fontId="2" fillId="0" borderId="161" xfId="0" applyNumberFormat="1" applyFont="1" applyBorder="1" applyAlignment="1">
      <alignment horizontal="right" vertical="center"/>
    </xf>
    <xf numFmtId="164" fontId="30" fillId="0" borderId="109" xfId="0" applyNumberFormat="1" applyFont="1" applyBorder="1" applyAlignment="1">
      <alignment vertical="center"/>
    </xf>
    <xf numFmtId="3" fontId="30" fillId="0" borderId="36" xfId="0" applyNumberFormat="1" applyFont="1" applyFill="1" applyBorder="1" applyAlignment="1" applyProtection="1">
      <alignment vertical="center" wrapText="1"/>
      <protection locked="0"/>
    </xf>
    <xf numFmtId="164" fontId="30" fillId="0" borderId="13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13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64" fontId="30" fillId="0" borderId="136" xfId="0" applyNumberFormat="1" applyFont="1" applyBorder="1" applyAlignment="1">
      <alignment vertical="center"/>
    </xf>
    <xf numFmtId="0" fontId="9" fillId="0" borderId="14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2" xfId="0" applyFont="1" applyBorder="1" applyAlignment="1">
      <alignment vertical="center" wrapText="1"/>
    </xf>
    <xf numFmtId="0" fontId="2" fillId="0" borderId="153" xfId="0" applyFont="1" applyBorder="1" applyAlignment="1">
      <alignment horizontal="center" vertical="center"/>
    </xf>
    <xf numFmtId="3" fontId="2" fillId="0" borderId="153" xfId="0" applyNumberFormat="1" applyFont="1" applyBorder="1" applyAlignment="1">
      <alignment vertical="center"/>
    </xf>
    <xf numFmtId="3" fontId="2" fillId="0" borderId="153" xfId="0" applyNumberFormat="1" applyFont="1" applyBorder="1" applyAlignment="1">
      <alignment vertical="center"/>
    </xf>
    <xf numFmtId="3" fontId="2" fillId="0" borderId="154" xfId="0" applyNumberFormat="1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48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/>
    </xf>
    <xf numFmtId="3" fontId="63" fillId="0" borderId="30" xfId="0" applyNumberFormat="1" applyFont="1" applyBorder="1" applyAlignment="1">
      <alignment vertical="center"/>
    </xf>
    <xf numFmtId="3" fontId="63" fillId="0" borderId="26" xfId="0" applyNumberFormat="1" applyFont="1" applyBorder="1" applyAlignment="1">
      <alignment vertical="center"/>
    </xf>
    <xf numFmtId="3" fontId="30" fillId="0" borderId="149" xfId="0" applyNumberFormat="1" applyFont="1" applyFill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center" vertical="center"/>
    </xf>
    <xf numFmtId="164" fontId="42" fillId="0" borderId="36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 wrapText="1"/>
    </xf>
    <xf numFmtId="0" fontId="42" fillId="0" borderId="132" xfId="0" applyNumberFormat="1" applyFont="1" applyFill="1" applyBorder="1" applyAlignment="1">
      <alignment horizontal="center" vertical="center"/>
    </xf>
    <xf numFmtId="0" fontId="42" fillId="0" borderId="132" xfId="0" applyFont="1" applyFill="1" applyBorder="1" applyAlignment="1">
      <alignment horizontal="center" vertical="center"/>
    </xf>
    <xf numFmtId="4" fontId="13" fillId="0" borderId="127" xfId="0" applyNumberFormat="1" applyFont="1" applyFill="1" applyBorder="1" applyAlignment="1" applyProtection="1">
      <alignment horizontal="right" vertical="center"/>
      <protection locked="0"/>
    </xf>
    <xf numFmtId="4" fontId="12" fillId="0" borderId="36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17" fillId="0" borderId="63" xfId="0" applyNumberFormat="1" applyFont="1" applyFill="1" applyBorder="1" applyAlignment="1" applyProtection="1">
      <alignment vertical="center"/>
      <protection locked="0"/>
    </xf>
    <xf numFmtId="164" fontId="42" fillId="0" borderId="47" xfId="0" applyNumberFormat="1" applyFont="1" applyFill="1" applyBorder="1" applyAlignment="1">
      <alignment vertical="center"/>
    </xf>
    <xf numFmtId="166" fontId="42" fillId="0" borderId="47" xfId="0" applyNumberFormat="1" applyFont="1" applyFill="1" applyBorder="1" applyAlignment="1">
      <alignment horizontal="right" vertical="center"/>
    </xf>
    <xf numFmtId="3" fontId="42" fillId="2" borderId="70" xfId="0" applyNumberFormat="1" applyFont="1" applyFill="1" applyBorder="1" applyAlignment="1" applyProtection="1">
      <alignment vertical="center"/>
      <protection locked="0"/>
    </xf>
    <xf numFmtId="3" fontId="42" fillId="2" borderId="65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103" xfId="18" applyFont="1" applyBorder="1" applyAlignment="1">
      <alignment horizontal="center" vertical="center"/>
      <protection/>
    </xf>
    <xf numFmtId="0" fontId="13" fillId="0" borderId="129" xfId="18" applyFont="1" applyBorder="1" applyAlignment="1">
      <alignment horizontal="left" vertical="center" wrapText="1"/>
      <protection/>
    </xf>
    <xf numFmtId="3" fontId="13" fillId="0" borderId="133" xfId="18" applyNumberFormat="1" applyFont="1" applyBorder="1" applyAlignment="1">
      <alignment horizontal="right" vertical="center"/>
      <protection/>
    </xf>
    <xf numFmtId="3" fontId="13" fillId="0" borderId="103" xfId="18" applyNumberFormat="1" applyFont="1" applyBorder="1" applyAlignment="1">
      <alignment vertical="center"/>
      <protection/>
    </xf>
    <xf numFmtId="3" fontId="9" fillId="0" borderId="54" xfId="18" applyNumberFormat="1" applyFont="1" applyBorder="1" applyAlignment="1">
      <alignment vertical="center"/>
      <protection/>
    </xf>
    <xf numFmtId="3" fontId="4" fillId="0" borderId="11" xfId="18" applyNumberFormat="1" applyFont="1" applyBorder="1" applyAlignment="1">
      <alignment vertical="center"/>
      <protection/>
    </xf>
    <xf numFmtId="3" fontId="2" fillId="0" borderId="15" xfId="18" applyNumberFormat="1" applyFont="1" applyBorder="1" applyAlignment="1">
      <alignment vertical="center"/>
      <protection/>
    </xf>
    <xf numFmtId="3" fontId="9" fillId="0" borderId="108" xfId="18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21" fillId="0" borderId="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1" fontId="13" fillId="0" borderId="34" xfId="0" applyNumberFormat="1" applyFont="1" applyBorder="1" applyAlignment="1">
      <alignment horizontal="center" vertical="center" wrapText="1"/>
    </xf>
    <xf numFmtId="0" fontId="47" fillId="0" borderId="131" xfId="0" applyFont="1" applyBorder="1" applyAlignment="1">
      <alignment vertical="center"/>
    </xf>
    <xf numFmtId="0" fontId="6" fillId="0" borderId="129" xfId="0" applyFont="1" applyBorder="1" applyAlignment="1">
      <alignment horizontal="center" vertical="center"/>
    </xf>
    <xf numFmtId="3" fontId="2" fillId="0" borderId="50" xfId="18" applyNumberFormat="1" applyFont="1" applyBorder="1" applyAlignment="1">
      <alignment vertical="center"/>
      <protection/>
    </xf>
    <xf numFmtId="0" fontId="4" fillId="0" borderId="85" xfId="0" applyNumberFormat="1" applyFont="1" applyFill="1" applyBorder="1" applyAlignment="1" applyProtection="1">
      <alignment horizontal="left" vertical="center" wrapText="1"/>
      <protection/>
    </xf>
    <xf numFmtId="0" fontId="47" fillId="0" borderId="85" xfId="0" applyFont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vertical="center"/>
    </xf>
    <xf numFmtId="4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42" fillId="0" borderId="47" xfId="0" applyNumberFormat="1" applyFont="1" applyFill="1" applyBorder="1" applyAlignment="1">
      <alignment vertical="center"/>
    </xf>
    <xf numFmtId="164" fontId="42" fillId="0" borderId="36" xfId="0" applyNumberFormat="1" applyFont="1" applyFill="1" applyBorder="1" applyAlignment="1">
      <alignment vertical="center"/>
    </xf>
    <xf numFmtId="164" fontId="42" fillId="0" borderId="106" xfId="0" applyNumberFormat="1" applyFont="1" applyFill="1" applyBorder="1" applyAlignment="1">
      <alignment vertical="center"/>
    </xf>
    <xf numFmtId="164" fontId="42" fillId="0" borderId="44" xfId="0" applyNumberFormat="1" applyFont="1" applyFill="1" applyBorder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164" fontId="42" fillId="0" borderId="32" xfId="0" applyNumberFormat="1" applyFont="1" applyFill="1" applyBorder="1" applyAlignment="1">
      <alignment vertical="center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128" xfId="0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42" fillId="0" borderId="47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7" xfId="0" applyNumberFormat="1" applyFont="1" applyFill="1" applyBorder="1" applyAlignment="1">
      <alignment horizontal="center" vertical="center"/>
    </xf>
    <xf numFmtId="0" fontId="42" fillId="0" borderId="8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64" fontId="42" fillId="0" borderId="47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106" xfId="0" applyFill="1" applyBorder="1" applyAlignment="1">
      <alignment horizontal="right" vertical="center"/>
    </xf>
    <xf numFmtId="0" fontId="9" fillId="0" borderId="12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164" fontId="22" fillId="0" borderId="10" xfId="21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Border="1" applyAlignment="1">
      <alignment horizontal="right" vertical="center"/>
    </xf>
    <xf numFmtId="49" fontId="30" fillId="0" borderId="158" xfId="0" applyNumberFormat="1" applyFont="1" applyFill="1" applyBorder="1" applyAlignment="1" applyProtection="1">
      <alignment horizontal="center" vertical="center"/>
      <protection locked="0"/>
    </xf>
    <xf numFmtId="3" fontId="30" fillId="0" borderId="158" xfId="0" applyNumberFormat="1" applyFont="1" applyFill="1" applyBorder="1" applyAlignment="1" applyProtection="1">
      <alignment vertical="center" wrapText="1"/>
      <protection locked="0"/>
    </xf>
    <xf numFmtId="0" fontId="2" fillId="0" borderId="1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4" fillId="0" borderId="42" xfId="0" applyNumberFormat="1" applyFont="1" applyFill="1" applyBorder="1" applyAlignment="1" applyProtection="1">
      <alignment horizontal="center" vertical="center"/>
      <protection locked="0"/>
    </xf>
    <xf numFmtId="0" fontId="71" fillId="0" borderId="41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Border="1" applyAlignment="1">
      <alignment horizontal="right" vertical="center"/>
    </xf>
    <xf numFmtId="0" fontId="73" fillId="0" borderId="36" xfId="0" applyNumberFormat="1" applyFont="1" applyFill="1" applyBorder="1" applyAlignment="1" applyProtection="1">
      <alignment horizontal="center" vertical="center"/>
      <protection locked="0"/>
    </xf>
    <xf numFmtId="0" fontId="73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right" vertical="center"/>
    </xf>
    <xf numFmtId="3" fontId="73" fillId="0" borderId="86" xfId="0" applyNumberFormat="1" applyFont="1" applyFill="1" applyBorder="1" applyAlignment="1" applyProtection="1">
      <alignment horizontal="right" vertical="center"/>
      <protection locked="0"/>
    </xf>
    <xf numFmtId="49" fontId="73" fillId="0" borderId="36" xfId="0" applyNumberFormat="1" applyFont="1" applyFill="1" applyBorder="1" applyAlignment="1" applyProtection="1">
      <alignment horizontal="center" vertical="center"/>
      <protection locked="0"/>
    </xf>
    <xf numFmtId="3" fontId="73" fillId="0" borderId="36" xfId="0" applyNumberFormat="1" applyFont="1" applyFill="1" applyBorder="1" applyAlignment="1" applyProtection="1">
      <alignment vertical="center" wrapText="1"/>
      <protection locked="0"/>
    </xf>
    <xf numFmtId="0" fontId="73" fillId="0" borderId="131" xfId="0" applyNumberFormat="1" applyFont="1" applyFill="1" applyBorder="1" applyAlignment="1" applyProtection="1">
      <alignment horizontal="center" vertical="center"/>
      <protection locked="0"/>
    </xf>
    <xf numFmtId="3" fontId="73" fillId="0" borderId="163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19">
      <selection activeCell="A39" sqref="A39: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75390625" style="1" customWidth="1"/>
    <col min="4" max="4" width="11.125" style="1" customWidth="1"/>
    <col min="5" max="5" width="9.25390625" style="1" customWidth="1"/>
    <col min="6" max="6" width="12.625" style="1" customWidth="1"/>
    <col min="7" max="7" width="10.625" style="1" customWidth="1"/>
    <col min="8" max="8" width="13.625" style="1" customWidth="1"/>
    <col min="9" max="9" width="11.75390625" style="1" customWidth="1"/>
    <col min="10" max="10" width="8.875" style="1" customWidth="1"/>
    <col min="11" max="11" width="12.7539062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118</v>
      </c>
      <c r="K1" s="4"/>
      <c r="L1" s="5"/>
    </row>
    <row r="2" spans="9:12" ht="12" customHeight="1">
      <c r="I2" s="2"/>
      <c r="J2" s="215" t="s">
        <v>168</v>
      </c>
      <c r="K2" s="4"/>
      <c r="L2" s="5"/>
    </row>
    <row r="3" spans="9:12" ht="12" customHeight="1">
      <c r="I3" s="2"/>
      <c r="J3" s="4" t="s">
        <v>169</v>
      </c>
      <c r="K3" s="4"/>
      <c r="L3" s="5"/>
    </row>
    <row r="4" spans="9:225" ht="12" customHeight="1">
      <c r="I4" s="2"/>
      <c r="J4" s="101"/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11" customFormat="1" ht="15" customHeight="1">
      <c r="A5" s="7" t="s">
        <v>119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8" customFormat="1" ht="14.25" customHeight="1">
      <c r="A6" s="12" t="s">
        <v>120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6" t="s">
        <v>121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</row>
    <row r="7" spans="1:225" s="22" customFormat="1" ht="15.75" customHeight="1" thickBot="1">
      <c r="A7" s="2482" t="s">
        <v>525</v>
      </c>
      <c r="B7" s="2483"/>
      <c r="C7" s="19"/>
      <c r="D7" s="20"/>
      <c r="E7" s="20"/>
      <c r="F7" s="20"/>
      <c r="G7" s="20"/>
      <c r="H7" s="20"/>
      <c r="I7" s="20"/>
      <c r="J7" s="20"/>
      <c r="K7" s="20"/>
      <c r="L7" s="1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2490" t="s">
        <v>122</v>
      </c>
      <c r="B8" s="2493" t="s">
        <v>123</v>
      </c>
      <c r="C8" s="23" t="s">
        <v>124</v>
      </c>
      <c r="D8" s="24"/>
      <c r="E8" s="25"/>
      <c r="F8" s="25"/>
      <c r="G8" s="26"/>
      <c r="H8" s="27" t="s">
        <v>125</v>
      </c>
      <c r="I8" s="25"/>
      <c r="J8" s="25"/>
      <c r="K8" s="25"/>
      <c r="L8" s="28"/>
    </row>
    <row r="9" spans="1:12" s="22" customFormat="1" ht="12" customHeight="1" thickTop="1">
      <c r="A9" s="2491"/>
      <c r="B9" s="2494"/>
      <c r="C9" s="2496" t="s">
        <v>126</v>
      </c>
      <c r="D9" s="2498" t="s">
        <v>127</v>
      </c>
      <c r="E9" s="29" t="s">
        <v>128</v>
      </c>
      <c r="F9" s="2486" t="s">
        <v>129</v>
      </c>
      <c r="G9" s="2488" t="s">
        <v>130</v>
      </c>
      <c r="H9" s="2500" t="s">
        <v>126</v>
      </c>
      <c r="I9" s="2498" t="s">
        <v>127</v>
      </c>
      <c r="J9" s="29" t="s">
        <v>128</v>
      </c>
      <c r="K9" s="2486" t="s">
        <v>129</v>
      </c>
      <c r="L9" s="2488" t="s">
        <v>130</v>
      </c>
    </row>
    <row r="10" spans="1:12" s="22" customFormat="1" ht="40.5" customHeight="1" thickBot="1">
      <c r="A10" s="2492"/>
      <c r="B10" s="2495"/>
      <c r="C10" s="2497"/>
      <c r="D10" s="2499"/>
      <c r="E10" s="30" t="s">
        <v>131</v>
      </c>
      <c r="F10" s="2487"/>
      <c r="G10" s="2489"/>
      <c r="H10" s="2501"/>
      <c r="I10" s="2499"/>
      <c r="J10" s="30" t="s">
        <v>131</v>
      </c>
      <c r="K10" s="2487"/>
      <c r="L10" s="2489"/>
    </row>
    <row r="11" spans="1:12" s="72" customFormat="1" ht="9.75" customHeight="1" thickBot="1" thickTop="1">
      <c r="A11" s="1860">
        <v>1</v>
      </c>
      <c r="B11" s="1861">
        <v>2</v>
      </c>
      <c r="C11" s="1862">
        <v>3</v>
      </c>
      <c r="D11" s="1863">
        <v>4</v>
      </c>
      <c r="E11" s="1864">
        <v>5</v>
      </c>
      <c r="F11" s="1865">
        <v>6</v>
      </c>
      <c r="G11" s="1866">
        <v>7</v>
      </c>
      <c r="H11" s="1865">
        <v>8</v>
      </c>
      <c r="I11" s="1863">
        <v>9</v>
      </c>
      <c r="J11" s="1864">
        <v>10</v>
      </c>
      <c r="K11" s="1865">
        <v>11</v>
      </c>
      <c r="L11" s="1867">
        <v>12</v>
      </c>
    </row>
    <row r="12" spans="1:12" s="35" customFormat="1" ht="13.5" customHeight="1" thickTop="1">
      <c r="A12" s="32" t="s">
        <v>132</v>
      </c>
      <c r="B12" s="33" t="s">
        <v>133</v>
      </c>
      <c r="C12" s="1976">
        <f>F12</f>
        <v>13772.83</v>
      </c>
      <c r="D12" s="1977"/>
      <c r="E12" s="1978"/>
      <c r="F12" s="1979">
        <v>13772.83</v>
      </c>
      <c r="G12" s="1980"/>
      <c r="H12" s="1981">
        <f>I12+K12+L12</f>
        <v>27687.83</v>
      </c>
      <c r="I12" s="1977">
        <v>13915</v>
      </c>
      <c r="J12" s="1978"/>
      <c r="K12" s="1979">
        <v>13772.83</v>
      </c>
      <c r="L12" s="34"/>
    </row>
    <row r="13" spans="1:12" s="35" customFormat="1" ht="11.25" customHeight="1">
      <c r="A13" s="36">
        <v>500</v>
      </c>
      <c r="B13" s="37" t="s">
        <v>134</v>
      </c>
      <c r="C13" s="38"/>
      <c r="D13" s="39"/>
      <c r="E13" s="40"/>
      <c r="F13" s="41"/>
      <c r="G13" s="42"/>
      <c r="H13" s="1806">
        <f aca="true" t="shared" si="0" ref="H13:H32">I13+K13+L13</f>
        <v>194000</v>
      </c>
      <c r="I13" s="39">
        <v>194000</v>
      </c>
      <c r="J13" s="40"/>
      <c r="K13" s="41"/>
      <c r="L13" s="42"/>
    </row>
    <row r="14" spans="1:12" s="35" customFormat="1" ht="12.75" customHeight="1">
      <c r="A14" s="36" t="s">
        <v>135</v>
      </c>
      <c r="B14" s="37" t="s">
        <v>136</v>
      </c>
      <c r="C14" s="38">
        <f>D14+F14+G14</f>
        <v>18030</v>
      </c>
      <c r="D14" s="39">
        <v>18030</v>
      </c>
      <c r="E14" s="40"/>
      <c r="F14" s="41"/>
      <c r="G14" s="42"/>
      <c r="H14" s="1806">
        <f t="shared" si="0"/>
        <v>51949920</v>
      </c>
      <c r="I14" s="39">
        <v>51949920</v>
      </c>
      <c r="J14" s="40"/>
      <c r="K14" s="41"/>
      <c r="L14" s="42"/>
    </row>
    <row r="15" spans="1:12" s="35" customFormat="1" ht="11.25" customHeight="1">
      <c r="A15" s="36" t="s">
        <v>137</v>
      </c>
      <c r="B15" s="37" t="s">
        <v>138</v>
      </c>
      <c r="C15" s="38"/>
      <c r="D15" s="39"/>
      <c r="E15" s="40"/>
      <c r="F15" s="41"/>
      <c r="G15" s="42"/>
      <c r="H15" s="1806">
        <f t="shared" si="0"/>
        <v>64000</v>
      </c>
      <c r="I15" s="39">
        <v>64000</v>
      </c>
      <c r="J15" s="40"/>
      <c r="K15" s="41"/>
      <c r="L15" s="42"/>
    </row>
    <row r="16" spans="1:12" s="35" customFormat="1" ht="12" customHeight="1">
      <c r="A16" s="36" t="s">
        <v>139</v>
      </c>
      <c r="B16" s="37" t="s">
        <v>140</v>
      </c>
      <c r="C16" s="38">
        <f aca="true" t="shared" si="1" ref="C16:C32">D16+F16+G16</f>
        <v>30354000</v>
      </c>
      <c r="D16" s="39">
        <f>29365000+950000</f>
        <v>30315000</v>
      </c>
      <c r="E16" s="40"/>
      <c r="F16" s="41">
        <f>43500-4500</f>
        <v>39000</v>
      </c>
      <c r="G16" s="42"/>
      <c r="H16" s="1806">
        <f t="shared" si="0"/>
        <v>22924815</v>
      </c>
      <c r="I16" s="39">
        <v>22885815</v>
      </c>
      <c r="J16" s="40"/>
      <c r="K16" s="41">
        <f>43500-4500</f>
        <v>39000</v>
      </c>
      <c r="L16" s="42"/>
    </row>
    <row r="17" spans="1:12" s="35" customFormat="1" ht="13.5" customHeight="1">
      <c r="A17" s="36" t="s">
        <v>141</v>
      </c>
      <c r="B17" s="37" t="s">
        <v>142</v>
      </c>
      <c r="C17" s="38">
        <f t="shared" si="1"/>
        <v>1944266</v>
      </c>
      <c r="D17" s="39">
        <f>1389000+111000</f>
        <v>1500000</v>
      </c>
      <c r="E17" s="40"/>
      <c r="F17" s="41">
        <v>427666</v>
      </c>
      <c r="G17" s="42">
        <v>16600</v>
      </c>
      <c r="H17" s="1806">
        <f t="shared" si="0"/>
        <v>3764966</v>
      </c>
      <c r="I17" s="39">
        <f>3120700+200000</f>
        <v>3320700</v>
      </c>
      <c r="J17" s="40"/>
      <c r="K17" s="41">
        <v>427666</v>
      </c>
      <c r="L17" s="42">
        <v>16600</v>
      </c>
    </row>
    <row r="18" spans="1:12" s="35" customFormat="1" ht="12.75" customHeight="1">
      <c r="A18" s="36" t="s">
        <v>143</v>
      </c>
      <c r="B18" s="37" t="s">
        <v>144</v>
      </c>
      <c r="C18" s="38">
        <f t="shared" si="1"/>
        <v>1402275</v>
      </c>
      <c r="D18" s="39">
        <f>362743+2000</f>
        <v>364743</v>
      </c>
      <c r="E18" s="40"/>
      <c r="F18" s="41">
        <f>757900+275198</f>
        <v>1033098</v>
      </c>
      <c r="G18" s="42">
        <f>5500-1066</f>
        <v>4434</v>
      </c>
      <c r="H18" s="1806">
        <f t="shared" si="0"/>
        <v>34771508</v>
      </c>
      <c r="I18" s="39">
        <f>30541976+3192000</f>
        <v>33733976</v>
      </c>
      <c r="J18" s="43">
        <f>15000</f>
        <v>15000</v>
      </c>
      <c r="K18" s="41">
        <f>757900+275198</f>
        <v>1033098</v>
      </c>
      <c r="L18" s="42">
        <f>5500-1066</f>
        <v>4434</v>
      </c>
    </row>
    <row r="19" spans="1:12" s="35" customFormat="1" ht="31.5" customHeight="1">
      <c r="A19" s="36" t="s">
        <v>145</v>
      </c>
      <c r="B19" s="44" t="s">
        <v>146</v>
      </c>
      <c r="C19" s="38">
        <f t="shared" si="1"/>
        <v>132897</v>
      </c>
      <c r="D19" s="39"/>
      <c r="E19" s="40"/>
      <c r="F19" s="41">
        <v>132897</v>
      </c>
      <c r="G19" s="42"/>
      <c r="H19" s="1806">
        <f t="shared" si="0"/>
        <v>132897</v>
      </c>
      <c r="I19" s="39"/>
      <c r="J19" s="43"/>
      <c r="K19" s="41">
        <v>132897</v>
      </c>
      <c r="L19" s="42"/>
    </row>
    <row r="20" spans="1:12" s="35" customFormat="1" ht="18.75" customHeight="1">
      <c r="A20" s="36" t="s">
        <v>147</v>
      </c>
      <c r="B20" s="45" t="s">
        <v>148</v>
      </c>
      <c r="C20" s="38">
        <f t="shared" si="1"/>
        <v>8634946</v>
      </c>
      <c r="D20" s="39"/>
      <c r="E20" s="40"/>
      <c r="F20" s="41">
        <f>10000+8573810</f>
        <v>8583810</v>
      </c>
      <c r="G20" s="42">
        <v>51136</v>
      </c>
      <c r="H20" s="1806">
        <f t="shared" si="0"/>
        <v>10092446</v>
      </c>
      <c r="I20" s="39">
        <f>179500+1278000</f>
        <v>1457500</v>
      </c>
      <c r="J20" s="43"/>
      <c r="K20" s="41">
        <f>10000+8573810</f>
        <v>8583810</v>
      </c>
      <c r="L20" s="42">
        <v>51136</v>
      </c>
    </row>
    <row r="21" spans="1:12" s="35" customFormat="1" ht="41.25" customHeight="1">
      <c r="A21" s="36" t="s">
        <v>149</v>
      </c>
      <c r="B21" s="45" t="s">
        <v>150</v>
      </c>
      <c r="C21" s="38">
        <f t="shared" si="1"/>
        <v>170953575</v>
      </c>
      <c r="D21" s="39">
        <v>170953575</v>
      </c>
      <c r="E21" s="40"/>
      <c r="F21" s="41"/>
      <c r="G21" s="42"/>
      <c r="H21" s="1806">
        <f t="shared" si="0"/>
        <v>674700</v>
      </c>
      <c r="I21" s="39">
        <v>674700</v>
      </c>
      <c r="J21" s="43"/>
      <c r="K21" s="41"/>
      <c r="L21" s="42"/>
    </row>
    <row r="22" spans="1:12" s="46" customFormat="1" ht="13.5" customHeight="1">
      <c r="A22" s="36" t="s">
        <v>151</v>
      </c>
      <c r="B22" s="37" t="s">
        <v>152</v>
      </c>
      <c r="C22" s="38">
        <f t="shared" si="1"/>
        <v>0</v>
      </c>
      <c r="D22" s="39"/>
      <c r="E22" s="40"/>
      <c r="F22" s="41"/>
      <c r="G22" s="42"/>
      <c r="H22" s="1806">
        <f t="shared" si="0"/>
        <v>4250000</v>
      </c>
      <c r="I22" s="39">
        <v>4250000</v>
      </c>
      <c r="J22" s="43"/>
      <c r="K22" s="41"/>
      <c r="L22" s="42"/>
    </row>
    <row r="23" spans="1:12" s="46" customFormat="1" ht="14.25" customHeight="1">
      <c r="A23" s="36" t="s">
        <v>153</v>
      </c>
      <c r="B23" s="37" t="s">
        <v>154</v>
      </c>
      <c r="C23" s="38">
        <f t="shared" si="1"/>
        <v>103479812</v>
      </c>
      <c r="D23" s="39">
        <v>103479812</v>
      </c>
      <c r="E23" s="40"/>
      <c r="F23" s="41"/>
      <c r="G23" s="42"/>
      <c r="H23" s="1806">
        <f t="shared" si="0"/>
        <v>6518729</v>
      </c>
      <c r="I23" s="39">
        <v>6518729</v>
      </c>
      <c r="J23" s="43"/>
      <c r="K23" s="41"/>
      <c r="L23" s="42"/>
    </row>
    <row r="24" spans="1:12" s="46" customFormat="1" ht="14.25" customHeight="1">
      <c r="A24" s="36" t="s">
        <v>155</v>
      </c>
      <c r="B24" s="37" t="s">
        <v>156</v>
      </c>
      <c r="C24" s="38">
        <f t="shared" si="1"/>
        <v>3078303</v>
      </c>
      <c r="D24" s="39">
        <f>1610697+1185106</f>
        <v>2795803</v>
      </c>
      <c r="E24" s="40"/>
      <c r="F24" s="41"/>
      <c r="G24" s="42">
        <v>282500</v>
      </c>
      <c r="H24" s="1806">
        <f t="shared" si="0"/>
        <v>142199073</v>
      </c>
      <c r="I24" s="39">
        <f>82950448+58966125</f>
        <v>141916573</v>
      </c>
      <c r="J24" s="43"/>
      <c r="K24" s="41"/>
      <c r="L24" s="42">
        <v>282500</v>
      </c>
    </row>
    <row r="25" spans="1:225" ht="14.25" customHeight="1">
      <c r="A25" s="36" t="s">
        <v>157</v>
      </c>
      <c r="B25" s="37" t="s">
        <v>158</v>
      </c>
      <c r="C25" s="38"/>
      <c r="D25" s="39"/>
      <c r="E25" s="40"/>
      <c r="F25" s="41"/>
      <c r="G25" s="42"/>
      <c r="H25" s="1806">
        <f t="shared" si="0"/>
        <v>730000</v>
      </c>
      <c r="I25" s="39">
        <v>730000</v>
      </c>
      <c r="J25" s="43"/>
      <c r="K25" s="41"/>
      <c r="L25" s="42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</row>
    <row r="26" spans="1:12" s="46" customFormat="1" ht="12.75" customHeight="1">
      <c r="A26" s="36" t="s">
        <v>159</v>
      </c>
      <c r="B26" s="37" t="s">
        <v>160</v>
      </c>
      <c r="C26" s="38">
        <f t="shared" si="1"/>
        <v>9900</v>
      </c>
      <c r="D26" s="39"/>
      <c r="E26" s="40"/>
      <c r="F26" s="41">
        <v>9900</v>
      </c>
      <c r="G26" s="42"/>
      <c r="H26" s="1806">
        <f t="shared" si="0"/>
        <v>4200531</v>
      </c>
      <c r="I26" s="39">
        <v>4190631</v>
      </c>
      <c r="J26" s="43"/>
      <c r="K26" s="41">
        <v>9900</v>
      </c>
      <c r="L26" s="42"/>
    </row>
    <row r="27" spans="1:12" s="46" customFormat="1" ht="13.5" customHeight="1">
      <c r="A27" s="36" t="s">
        <v>161</v>
      </c>
      <c r="B27" s="37" t="s">
        <v>162</v>
      </c>
      <c r="C27" s="38">
        <f t="shared" si="1"/>
        <v>25547871</v>
      </c>
      <c r="D27" s="2177">
        <f>6176251+434681</f>
        <v>6610932</v>
      </c>
      <c r="E27" s="43">
        <v>395000</v>
      </c>
      <c r="F27" s="41">
        <f>18920439+16500</f>
        <v>18936939</v>
      </c>
      <c r="G27" s="42"/>
      <c r="H27" s="1806">
        <f t="shared" si="0"/>
        <v>44992449</v>
      </c>
      <c r="I27" s="39">
        <f>20117401+5938109</f>
        <v>26055510</v>
      </c>
      <c r="J27" s="43">
        <v>594800</v>
      </c>
      <c r="K27" s="41">
        <f>18920439+16500</f>
        <v>18936939</v>
      </c>
      <c r="L27" s="42"/>
    </row>
    <row r="28" spans="1:12" s="46" customFormat="1" ht="21.75" customHeight="1">
      <c r="A28" s="48" t="s">
        <v>163</v>
      </c>
      <c r="B28" s="44" t="s">
        <v>164</v>
      </c>
      <c r="C28" s="38">
        <f t="shared" si="1"/>
        <v>1745030</v>
      </c>
      <c r="D28" s="39">
        <f>906293+712737</f>
        <v>1619030</v>
      </c>
      <c r="E28" s="40">
        <v>82852</v>
      </c>
      <c r="F28" s="41">
        <v>126000</v>
      </c>
      <c r="G28" s="42"/>
      <c r="H28" s="1806">
        <f t="shared" si="0"/>
        <v>7150033</v>
      </c>
      <c r="I28" s="39">
        <f>4347234+2676799</f>
        <v>7024033</v>
      </c>
      <c r="J28" s="40">
        <v>1880967</v>
      </c>
      <c r="K28" s="41">
        <v>126000</v>
      </c>
      <c r="L28" s="42"/>
    </row>
    <row r="29" spans="1:12" s="46" customFormat="1" ht="12.75" customHeight="1">
      <c r="A29" s="36" t="s">
        <v>165</v>
      </c>
      <c r="B29" s="44" t="s">
        <v>166</v>
      </c>
      <c r="C29" s="38">
        <f t="shared" si="1"/>
        <v>2469785</v>
      </c>
      <c r="D29" s="39">
        <f>973625+1496160</f>
        <v>2469785</v>
      </c>
      <c r="E29" s="40">
        <v>1152490</v>
      </c>
      <c r="F29" s="41"/>
      <c r="G29" s="42"/>
      <c r="H29" s="1806">
        <f t="shared" si="0"/>
        <v>13575039</v>
      </c>
      <c r="I29" s="39">
        <v>13575039</v>
      </c>
      <c r="J29" s="40"/>
      <c r="K29" s="41"/>
      <c r="L29" s="42"/>
    </row>
    <row r="30" spans="1:12" s="46" customFormat="1" ht="13.5" customHeight="1">
      <c r="A30" s="36" t="s">
        <v>167</v>
      </c>
      <c r="B30" s="44" t="s">
        <v>170</v>
      </c>
      <c r="C30" s="38">
        <f t="shared" si="1"/>
        <v>50300</v>
      </c>
      <c r="D30" s="39">
        <f>50000+300</f>
        <v>50300</v>
      </c>
      <c r="E30" s="40"/>
      <c r="F30" s="41"/>
      <c r="G30" s="42"/>
      <c r="H30" s="1806">
        <f t="shared" si="0"/>
        <v>27310800</v>
      </c>
      <c r="I30" s="39">
        <v>27310800</v>
      </c>
      <c r="J30" s="40"/>
      <c r="K30" s="41"/>
      <c r="L30" s="42"/>
    </row>
    <row r="31" spans="1:12" s="46" customFormat="1" ht="13.5" customHeight="1">
      <c r="A31" s="36" t="s">
        <v>171</v>
      </c>
      <c r="B31" s="44" t="s">
        <v>172</v>
      </c>
      <c r="C31" s="38">
        <f t="shared" si="1"/>
        <v>689144</v>
      </c>
      <c r="D31" s="39">
        <f>76144+540000</f>
        <v>616144</v>
      </c>
      <c r="E31" s="40">
        <v>40000</v>
      </c>
      <c r="F31" s="41"/>
      <c r="G31" s="2178">
        <f>5000+68000</f>
        <v>73000</v>
      </c>
      <c r="H31" s="1806">
        <f t="shared" si="0"/>
        <v>20881841</v>
      </c>
      <c r="I31" s="39">
        <f>7538441+13270400</f>
        <v>20808841</v>
      </c>
      <c r="J31" s="40">
        <v>40000</v>
      </c>
      <c r="K31" s="41"/>
      <c r="L31" s="42">
        <v>73000</v>
      </c>
    </row>
    <row r="32" spans="1:12" s="46" customFormat="1" ht="15" customHeight="1" thickBot="1">
      <c r="A32" s="49" t="s">
        <v>173</v>
      </c>
      <c r="B32" s="50" t="s">
        <v>174</v>
      </c>
      <c r="C32" s="38">
        <f t="shared" si="1"/>
        <v>2416000</v>
      </c>
      <c r="D32" s="51">
        <v>2416000</v>
      </c>
      <c r="E32" s="52"/>
      <c r="F32" s="53"/>
      <c r="G32" s="54"/>
      <c r="H32" s="1807">
        <f t="shared" si="0"/>
        <v>19967830</v>
      </c>
      <c r="I32" s="51">
        <v>19967830</v>
      </c>
      <c r="J32" s="52"/>
      <c r="K32" s="53"/>
      <c r="L32" s="54"/>
    </row>
    <row r="33" spans="1:12" s="60" customFormat="1" ht="17.25" thickBot="1" thickTop="1">
      <c r="A33" s="55"/>
      <c r="B33" s="56" t="s">
        <v>175</v>
      </c>
      <c r="C33" s="1982">
        <f>SUM(C12:C32)</f>
        <v>352939906.83</v>
      </c>
      <c r="D33" s="57">
        <f aca="true" t="shared" si="2" ref="D33:L33">SUM(D12:D32)</f>
        <v>323209154</v>
      </c>
      <c r="E33" s="58">
        <f t="shared" si="2"/>
        <v>1670342</v>
      </c>
      <c r="F33" s="1983">
        <f t="shared" si="2"/>
        <v>29303082.83</v>
      </c>
      <c r="G33" s="59">
        <f t="shared" si="2"/>
        <v>427670</v>
      </c>
      <c r="H33" s="1983">
        <f t="shared" si="2"/>
        <v>416373264.83</v>
      </c>
      <c r="I33" s="57">
        <f t="shared" si="2"/>
        <v>386642512</v>
      </c>
      <c r="J33" s="58">
        <f t="shared" si="2"/>
        <v>2530767</v>
      </c>
      <c r="K33" s="1983">
        <f t="shared" si="2"/>
        <v>29303082.83</v>
      </c>
      <c r="L33" s="59">
        <f t="shared" si="2"/>
        <v>427670</v>
      </c>
    </row>
    <row r="34" spans="1:12" s="68" customFormat="1" ht="13.5" customHeight="1" thickTop="1">
      <c r="A34" s="61"/>
      <c r="B34" s="62" t="s">
        <v>176</v>
      </c>
      <c r="C34" s="63"/>
      <c r="D34" s="64"/>
      <c r="E34" s="65"/>
      <c r="F34" s="66"/>
      <c r="G34" s="67"/>
      <c r="H34" s="1984">
        <v>8973100</v>
      </c>
      <c r="I34" s="64"/>
      <c r="J34" s="65"/>
      <c r="K34" s="66"/>
      <c r="L34" s="67"/>
    </row>
    <row r="35" spans="1:12" s="68" customFormat="1" ht="10.5" customHeight="1">
      <c r="A35" s="69"/>
      <c r="B35" s="70" t="s">
        <v>177</v>
      </c>
      <c r="C35" s="1985">
        <v>37406458</v>
      </c>
      <c r="D35" s="64"/>
      <c r="E35" s="65"/>
      <c r="F35" s="66"/>
      <c r="G35" s="67"/>
      <c r="H35" s="66"/>
      <c r="I35" s="64"/>
      <c r="J35" s="65"/>
      <c r="K35" s="66"/>
      <c r="L35" s="67"/>
    </row>
    <row r="36" spans="1:12" s="68" customFormat="1" ht="13.5" customHeight="1" thickBot="1">
      <c r="A36" s="71"/>
      <c r="B36" s="72" t="s">
        <v>178</v>
      </c>
      <c r="C36" s="1985">
        <v>35000000</v>
      </c>
      <c r="D36" s="64"/>
      <c r="E36" s="65"/>
      <c r="F36" s="66"/>
      <c r="G36" s="67"/>
      <c r="H36" s="66"/>
      <c r="I36" s="64"/>
      <c r="J36" s="65"/>
      <c r="K36" s="66"/>
      <c r="L36" s="67"/>
    </row>
    <row r="37" spans="1:12" s="22" customFormat="1" ht="15.75" hidden="1" thickBot="1">
      <c r="A37" s="73"/>
      <c r="B37" s="74" t="s">
        <v>179</v>
      </c>
      <c r="C37" s="1986"/>
      <c r="D37" s="75"/>
      <c r="E37" s="76"/>
      <c r="F37" s="77"/>
      <c r="G37" s="78"/>
      <c r="H37" s="79">
        <f>I37+L37</f>
        <v>0</v>
      </c>
      <c r="I37" s="80">
        <v>0</v>
      </c>
      <c r="J37" s="81"/>
      <c r="K37" s="82"/>
      <c r="L37" s="83"/>
    </row>
    <row r="38" spans="1:12" s="60" customFormat="1" ht="15" customHeight="1" thickBot="1" thickTop="1">
      <c r="A38" s="2484" t="s">
        <v>180</v>
      </c>
      <c r="B38" s="2485"/>
      <c r="C38" s="1982">
        <f>SUM(C33:C36)</f>
        <v>425346364.83</v>
      </c>
      <c r="D38" s="84"/>
      <c r="E38" s="85"/>
      <c r="F38" s="85"/>
      <c r="G38" s="86"/>
      <c r="H38" s="1983">
        <f>SUM(H33:H36)</f>
        <v>425346364.83</v>
      </c>
      <c r="I38" s="84"/>
      <c r="J38" s="85"/>
      <c r="K38" s="85"/>
      <c r="L38" s="86"/>
    </row>
    <row r="39" spans="1:2" ht="15.75" thickTop="1">
      <c r="A39" s="87" t="s">
        <v>423</v>
      </c>
      <c r="B39" s="88"/>
    </row>
    <row r="40" spans="1:2" ht="15">
      <c r="A40" s="87" t="s">
        <v>181</v>
      </c>
      <c r="B40" s="88"/>
    </row>
    <row r="41" ht="15">
      <c r="A41" s="87" t="s">
        <v>40</v>
      </c>
    </row>
    <row r="42" ht="15">
      <c r="B42" s="89"/>
    </row>
  </sheetData>
  <mergeCells count="12">
    <mergeCell ref="K9:K10"/>
    <mergeCell ref="L9:L10"/>
    <mergeCell ref="I9:I10"/>
    <mergeCell ref="H9:H10"/>
    <mergeCell ref="A7:B7"/>
    <mergeCell ref="A38:B38"/>
    <mergeCell ref="F9:F10"/>
    <mergeCell ref="G9:G10"/>
    <mergeCell ref="A8:A10"/>
    <mergeCell ref="B8:B10"/>
    <mergeCell ref="C9:C10"/>
    <mergeCell ref="D9:D10"/>
  </mergeCells>
  <printOptions horizontalCentered="1"/>
  <pageMargins left="0.1968503937007874" right="0.1968503937007874" top="0.17" bottom="0.16" header="0.17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3">
      <selection activeCell="A33" sqref="A3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6" t="s">
        <v>471</v>
      </c>
      <c r="D1" s="737"/>
    </row>
    <row r="2" ht="14.25" customHeight="1">
      <c r="C2" s="215" t="s">
        <v>746</v>
      </c>
    </row>
    <row r="3" spans="1:4" ht="15.75" customHeight="1">
      <c r="A3" s="978"/>
      <c r="B3" s="978"/>
      <c r="C3" s="4" t="s">
        <v>747</v>
      </c>
      <c r="D3" s="928"/>
    </row>
    <row r="4" spans="1:4" ht="13.5" customHeight="1">
      <c r="A4" s="978"/>
      <c r="B4" s="978"/>
      <c r="C4" s="101"/>
      <c r="D4" s="928"/>
    </row>
    <row r="5" spans="1:4" ht="6.75" customHeight="1">
      <c r="A5" s="978"/>
      <c r="B5" s="978"/>
      <c r="C5" s="736"/>
      <c r="D5" s="928"/>
    </row>
    <row r="6" spans="1:4" ht="18.75">
      <c r="A6" s="908" t="s">
        <v>472</v>
      </c>
      <c r="B6" s="979"/>
      <c r="C6" s="979"/>
      <c r="D6" s="928"/>
    </row>
    <row r="7" spans="1:4" ht="23.25" customHeight="1">
      <c r="A7" s="908" t="s">
        <v>473</v>
      </c>
      <c r="B7" s="979"/>
      <c r="C7" s="978"/>
      <c r="D7" s="928"/>
    </row>
    <row r="8" spans="1:4" ht="18.75">
      <c r="A8" s="739" t="s">
        <v>474</v>
      </c>
      <c r="B8" s="979"/>
      <c r="C8" s="978"/>
      <c r="D8" s="928"/>
    </row>
    <row r="9" spans="1:4" ht="18.75">
      <c r="A9" s="739" t="s">
        <v>475</v>
      </c>
      <c r="B9" s="979"/>
      <c r="C9" s="978"/>
      <c r="D9" s="928"/>
    </row>
    <row r="10" spans="1:4" ht="18" customHeight="1" thickBot="1">
      <c r="A10" s="223" t="s">
        <v>525</v>
      </c>
      <c r="D10" s="733" t="s">
        <v>121</v>
      </c>
    </row>
    <row r="11" spans="1:4" ht="28.5" customHeight="1" thickBot="1" thickTop="1">
      <c r="A11" s="980" t="s">
        <v>412</v>
      </c>
      <c r="B11" s="981" t="s">
        <v>123</v>
      </c>
      <c r="C11" s="981" t="s">
        <v>476</v>
      </c>
      <c r="D11" s="982" t="s">
        <v>477</v>
      </c>
    </row>
    <row r="12" spans="1:4" s="986" customFormat="1" ht="12" customHeight="1" thickBot="1" thickTop="1">
      <c r="A12" s="983">
        <v>1</v>
      </c>
      <c r="B12" s="984">
        <v>2</v>
      </c>
      <c r="C12" s="984">
        <v>3</v>
      </c>
      <c r="D12" s="985">
        <v>4</v>
      </c>
    </row>
    <row r="13" spans="1:4" s="920" customFormat="1" ht="45" customHeight="1" thickTop="1">
      <c r="A13" s="987">
        <v>952</v>
      </c>
      <c r="B13" s="988" t="s">
        <v>478</v>
      </c>
      <c r="C13" s="989">
        <f>SUM(C16:C19)</f>
        <v>35000000</v>
      </c>
      <c r="D13" s="990"/>
    </row>
    <row r="14" spans="1:4" ht="9.75" customHeight="1">
      <c r="A14" s="991"/>
      <c r="B14" s="992" t="s">
        <v>479</v>
      </c>
      <c r="C14" s="993"/>
      <c r="D14" s="994"/>
    </row>
    <row r="15" spans="1:4" ht="12" customHeight="1">
      <c r="A15" s="991"/>
      <c r="B15" s="992"/>
      <c r="C15" s="993"/>
      <c r="D15" s="994"/>
    </row>
    <row r="16" spans="1:4" s="916" customFormat="1" ht="28.5" customHeight="1">
      <c r="A16" s="991"/>
      <c r="B16" s="995" t="s">
        <v>480</v>
      </c>
      <c r="C16" s="996">
        <v>35000000</v>
      </c>
      <c r="D16" s="994"/>
    </row>
    <row r="17" spans="1:4" ht="6" customHeight="1">
      <c r="A17" s="991"/>
      <c r="B17" s="997"/>
      <c r="C17" s="998"/>
      <c r="D17" s="999"/>
    </row>
    <row r="18" spans="1:4" s="1001" customFormat="1" ht="6" customHeight="1">
      <c r="A18" s="991"/>
      <c r="B18" s="997"/>
      <c r="C18" s="1000"/>
      <c r="D18" s="994"/>
    </row>
    <row r="19" spans="1:4" ht="6" customHeight="1">
      <c r="A19" s="991"/>
      <c r="B19" s="997"/>
      <c r="C19" s="1000"/>
      <c r="D19" s="999"/>
    </row>
    <row r="20" spans="1:4" s="920" customFormat="1" ht="24.75" customHeight="1">
      <c r="A20" s="987">
        <v>955</v>
      </c>
      <c r="B20" s="1002" t="s">
        <v>177</v>
      </c>
      <c r="C20" s="1003">
        <v>37406458</v>
      </c>
      <c r="D20" s="1004"/>
    </row>
    <row r="21" spans="1:4" s="920" customFormat="1" ht="16.5" customHeight="1">
      <c r="A21" s="1005"/>
      <c r="B21" s="1006"/>
      <c r="C21" s="1007"/>
      <c r="D21" s="990"/>
    </row>
    <row r="22" spans="1:4" s="920" customFormat="1" ht="15">
      <c r="A22" s="987">
        <v>992</v>
      </c>
      <c r="B22" s="1002" t="s">
        <v>481</v>
      </c>
      <c r="C22" s="1008"/>
      <c r="D22" s="1009">
        <f>SUM(D24:D27)</f>
        <v>8973100</v>
      </c>
    </row>
    <row r="23" spans="1:4" ht="15.75" customHeight="1">
      <c r="A23" s="991"/>
      <c r="B23" s="992" t="s">
        <v>479</v>
      </c>
      <c r="C23" s="1010"/>
      <c r="D23" s="1011"/>
    </row>
    <row r="24" spans="1:4" s="1001" customFormat="1" ht="19.5" customHeight="1">
      <c r="A24" s="991"/>
      <c r="B24" s="1012" t="s">
        <v>482</v>
      </c>
      <c r="C24" s="1013"/>
      <c r="D24" s="1014">
        <v>6166700</v>
      </c>
    </row>
    <row r="25" spans="1:4" s="1001" customFormat="1" ht="19.5" customHeight="1">
      <c r="A25" s="991"/>
      <c r="B25" s="1012" t="s">
        <v>483</v>
      </c>
      <c r="C25" s="1015"/>
      <c r="D25" s="1016">
        <v>1666700</v>
      </c>
    </row>
    <row r="26" spans="1:4" s="1001" customFormat="1" ht="19.5" customHeight="1">
      <c r="A26" s="991"/>
      <c r="B26" s="1017" t="s">
        <v>484</v>
      </c>
      <c r="C26" s="1018"/>
      <c r="D26" s="1016">
        <v>200000</v>
      </c>
    </row>
    <row r="27" spans="1:4" s="1001" customFormat="1" ht="19.5" customHeight="1">
      <c r="A27" s="991"/>
      <c r="B27" s="1017" t="s">
        <v>485</v>
      </c>
      <c r="C27" s="1018"/>
      <c r="D27" s="1016">
        <v>939700</v>
      </c>
    </row>
    <row r="28" spans="1:4" ht="5.25" customHeight="1" thickBot="1">
      <c r="A28" s="1019"/>
      <c r="B28" s="1020"/>
      <c r="C28" s="1021"/>
      <c r="D28" s="1022"/>
    </row>
    <row r="29" spans="1:4" s="920" customFormat="1" ht="19.5" customHeight="1" thickBot="1" thickTop="1">
      <c r="A29" s="1023"/>
      <c r="B29" s="1024" t="s">
        <v>255</v>
      </c>
      <c r="C29" s="1025">
        <f>C20+C13+C21</f>
        <v>72406458</v>
      </c>
      <c r="D29" s="848">
        <f>D22</f>
        <v>8973100</v>
      </c>
    </row>
    <row r="30" spans="1:4" s="920" customFormat="1" ht="24" customHeight="1" thickBot="1" thickTop="1">
      <c r="A30" s="1023"/>
      <c r="B30" s="1024" t="s">
        <v>486</v>
      </c>
      <c r="C30" s="1026">
        <f>D29-C29</f>
        <v>-63433358</v>
      </c>
      <c r="D30" s="1027"/>
    </row>
    <row r="31" spans="1:4" ht="16.5" thickTop="1">
      <c r="A31" s="87" t="s">
        <v>423</v>
      </c>
      <c r="B31" s="88"/>
      <c r="C31" s="1028"/>
      <c r="D31" s="1028"/>
    </row>
    <row r="32" spans="1:4" ht="15.75">
      <c r="A32" s="87" t="s">
        <v>181</v>
      </c>
      <c r="B32" s="88"/>
      <c r="C32" s="1028"/>
      <c r="D32" s="1028"/>
    </row>
    <row r="33" spans="1:4" ht="15.75">
      <c r="A33" s="87" t="s">
        <v>40</v>
      </c>
      <c r="B33" s="1029"/>
      <c r="C33" s="1028"/>
      <c r="D33" s="1028"/>
    </row>
    <row r="34" spans="1:4" ht="15.75">
      <c r="A34" s="1030"/>
      <c r="B34" s="1029"/>
      <c r="C34" s="1028"/>
      <c r="D34" s="1028"/>
    </row>
    <row r="35" spans="1:4" ht="15.75">
      <c r="A35" s="1030"/>
      <c r="B35" s="1029"/>
      <c r="C35" s="1028"/>
      <c r="D35" s="1028"/>
    </row>
    <row r="36" spans="1:4" ht="15.75">
      <c r="A36" s="1030"/>
      <c r="B36" s="1029"/>
      <c r="C36" s="1028"/>
      <c r="D36" s="1028"/>
    </row>
    <row r="37" spans="1:4" ht="12.75">
      <c r="A37" s="1030"/>
      <c r="B37" s="1030"/>
      <c r="C37" s="1031"/>
      <c r="D37" s="1031"/>
    </row>
    <row r="38" spans="1:4" ht="12.75">
      <c r="A38" s="1030"/>
      <c r="B38" s="1030"/>
      <c r="C38" s="1031"/>
      <c r="D38" s="1031"/>
    </row>
    <row r="39" spans="1:4" ht="12.75">
      <c r="A39" s="1030"/>
      <c r="B39" s="1030"/>
      <c r="C39" s="1031"/>
      <c r="D39" s="1031"/>
    </row>
    <row r="40" spans="1:4" ht="12.75">
      <c r="A40" s="737"/>
      <c r="B40" s="737"/>
      <c r="C40" s="1032"/>
      <c r="D40" s="1032"/>
    </row>
    <row r="41" spans="1:4" ht="12.75">
      <c r="A41" s="737"/>
      <c r="B41" s="737"/>
      <c r="C41" s="1032"/>
      <c r="D41" s="1032"/>
    </row>
    <row r="42" spans="1:4" ht="12.75">
      <c r="A42" s="737"/>
      <c r="B42" s="737"/>
      <c r="C42" s="1032"/>
      <c r="D42" s="1032"/>
    </row>
    <row r="43" spans="1:4" ht="12.75">
      <c r="A43" s="737"/>
      <c r="B43" s="737"/>
      <c r="C43" s="1032"/>
      <c r="D43" s="1032"/>
    </row>
    <row r="44" spans="3:4" ht="12.75">
      <c r="C44" s="1033"/>
      <c r="D44" s="1033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24" sqref="A24"/>
    </sheetView>
  </sheetViews>
  <sheetFormatPr defaultColWidth="9.00390625" defaultRowHeight="12.75"/>
  <cols>
    <col min="1" max="1" width="24.125" style="737" customWidth="1"/>
    <col min="2" max="2" width="17.75390625" style="737" customWidth="1"/>
    <col min="3" max="3" width="25.625" style="737" customWidth="1"/>
    <col min="4" max="4" width="21.75390625" style="737" customWidth="1"/>
    <col min="5" max="16384" width="9.125" style="737" customWidth="1"/>
  </cols>
  <sheetData>
    <row r="1" spans="3:4" ht="12.75">
      <c r="C1" s="4"/>
      <c r="D1" s="4" t="s">
        <v>487</v>
      </c>
    </row>
    <row r="2" spans="3:4" ht="12.75">
      <c r="C2" s="4"/>
      <c r="D2" s="4" t="s">
        <v>746</v>
      </c>
    </row>
    <row r="3" spans="3:4" ht="12.75">
      <c r="C3" s="4"/>
      <c r="D3" s="4" t="s">
        <v>747</v>
      </c>
    </row>
    <row r="4" ht="9.75" customHeight="1"/>
    <row r="5" spans="1:4" ht="22.5" customHeight="1">
      <c r="A5" s="908" t="s">
        <v>488</v>
      </c>
      <c r="B5" s="979"/>
      <c r="C5" s="979"/>
      <c r="D5" s="979"/>
    </row>
    <row r="6" spans="1:4" ht="22.5" customHeight="1">
      <c r="A6" s="908" t="s">
        <v>760</v>
      </c>
      <c r="B6" s="979"/>
      <c r="C6" s="979"/>
      <c r="D6" s="979"/>
    </row>
    <row r="7" spans="1:4" s="1036" customFormat="1" ht="18.75" customHeight="1">
      <c r="A7" s="1034" t="s">
        <v>489</v>
      </c>
      <c r="B7" s="1035"/>
      <c r="C7" s="1035"/>
      <c r="D7" s="1035"/>
    </row>
    <row r="8" spans="1:4" s="806" customFormat="1" ht="18" customHeight="1" thickBot="1">
      <c r="A8" s="223" t="s">
        <v>656</v>
      </c>
      <c r="D8" s="811" t="s">
        <v>121</v>
      </c>
    </row>
    <row r="9" spans="1:4" s="766" customFormat="1" ht="41.25" customHeight="1" thickBot="1" thickTop="1">
      <c r="A9" s="843" t="s">
        <v>123</v>
      </c>
      <c r="B9" s="1037" t="s">
        <v>490</v>
      </c>
      <c r="C9" s="1038" t="s">
        <v>123</v>
      </c>
      <c r="D9" s="1039" t="s">
        <v>490</v>
      </c>
    </row>
    <row r="10" spans="1:4" s="733" customFormat="1" ht="15" customHeight="1" thickBot="1" thickTop="1">
      <c r="A10" s="1040">
        <v>1</v>
      </c>
      <c r="B10" s="1041">
        <v>2</v>
      </c>
      <c r="C10" s="1041">
        <v>3</v>
      </c>
      <c r="D10" s="1042">
        <v>4</v>
      </c>
    </row>
    <row r="11" spans="1:4" s="796" customFormat="1" ht="46.5" customHeight="1" thickTop="1">
      <c r="A11" s="1043" t="s">
        <v>491</v>
      </c>
      <c r="B11" s="1764">
        <f>B14+B16</f>
        <v>352939906.83000004</v>
      </c>
      <c r="C11" s="1044" t="s">
        <v>492</v>
      </c>
      <c r="D11" s="1765">
        <f>SUM(D14:D16)</f>
        <v>416373264.83</v>
      </c>
    </row>
    <row r="12" spans="1:4" s="1048" customFormat="1" ht="21" customHeight="1">
      <c r="A12" s="1045" t="s">
        <v>493</v>
      </c>
      <c r="B12" s="1046">
        <f>B15+B17</f>
        <v>-63433357.99999997</v>
      </c>
      <c r="C12" s="1046"/>
      <c r="D12" s="1766"/>
    </row>
    <row r="13" spans="1:4" s="1051" customFormat="1" ht="13.5" customHeight="1">
      <c r="A13" s="1049" t="s">
        <v>494</v>
      </c>
      <c r="B13" s="1050"/>
      <c r="C13" s="1050" t="s">
        <v>494</v>
      </c>
      <c r="D13" s="1767"/>
    </row>
    <row r="14" spans="1:4" s="782" customFormat="1" ht="21.75" customHeight="1">
      <c r="A14" s="1052" t="s">
        <v>495</v>
      </c>
      <c r="B14" s="1768">
        <v>251339549.83</v>
      </c>
      <c r="C14" s="1053" t="s">
        <v>495</v>
      </c>
      <c r="D14" s="1769">
        <v>276880355.83</v>
      </c>
    </row>
    <row r="15" spans="1:4" s="1048" customFormat="1" ht="22.5" customHeight="1">
      <c r="A15" s="1045" t="s">
        <v>496</v>
      </c>
      <c r="B15" s="1046">
        <f>B14-D14</f>
        <v>-25540805.99999997</v>
      </c>
      <c r="C15" s="1055"/>
      <c r="D15" s="1056"/>
    </row>
    <row r="16" spans="1:4" s="782" customFormat="1" ht="24" customHeight="1">
      <c r="A16" s="1052" t="s">
        <v>497</v>
      </c>
      <c r="B16" s="1057">
        <v>101600357</v>
      </c>
      <c r="C16" s="1058" t="s">
        <v>497</v>
      </c>
      <c r="D16" s="1054">
        <v>139492909</v>
      </c>
    </row>
    <row r="17" spans="1:4" s="1048" customFormat="1" ht="24" customHeight="1" thickBot="1">
      <c r="A17" s="1045" t="s">
        <v>496</v>
      </c>
      <c r="B17" s="1046">
        <f>B16-D16</f>
        <v>-37892552</v>
      </c>
      <c r="C17" s="1046"/>
      <c r="D17" s="1047"/>
    </row>
    <row r="18" spans="1:4" s="796" customFormat="1" ht="42.75" customHeight="1" thickTop="1">
      <c r="A18" s="1059" t="s">
        <v>498</v>
      </c>
      <c r="B18" s="1060">
        <f>B19</f>
        <v>72406458</v>
      </c>
      <c r="C18" s="1060" t="s">
        <v>499</v>
      </c>
      <c r="D18" s="1061">
        <f>SUM(D19)</f>
        <v>8973100</v>
      </c>
    </row>
    <row r="19" spans="1:4" s="1048" customFormat="1" ht="75" customHeight="1" thickBot="1">
      <c r="A19" s="1062" t="s">
        <v>500</v>
      </c>
      <c r="B19" s="1046">
        <v>72406458</v>
      </c>
      <c r="C19" s="767" t="s">
        <v>501</v>
      </c>
      <c r="D19" s="1047">
        <v>8973100</v>
      </c>
    </row>
    <row r="20" spans="1:4" s="1066" customFormat="1" ht="53.25" customHeight="1" thickBot="1" thickTop="1">
      <c r="A20" s="1063" t="s">
        <v>502</v>
      </c>
      <c r="B20" s="1770">
        <f>SUM(B11+B18)</f>
        <v>425346364.83000004</v>
      </c>
      <c r="C20" s="1065" t="s">
        <v>503</v>
      </c>
      <c r="D20" s="1771">
        <f>D11+D18</f>
        <v>425346364.83</v>
      </c>
    </row>
    <row r="21" ht="13.5" thickTop="1">
      <c r="A21" s="88"/>
    </row>
    <row r="22" ht="12.75">
      <c r="A22" s="87" t="s">
        <v>423</v>
      </c>
    </row>
    <row r="23" ht="12.75">
      <c r="A23" s="87" t="s">
        <v>181</v>
      </c>
    </row>
    <row r="24" ht="12.75">
      <c r="A24" s="87" t="s">
        <v>40</v>
      </c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9">
      <selection activeCell="A32" sqref="A32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672" t="s">
        <v>504</v>
      </c>
      <c r="K1" s="672"/>
    </row>
    <row r="2" spans="10:11" ht="12.75">
      <c r="J2" s="4" t="s">
        <v>761</v>
      </c>
      <c r="K2" s="4"/>
    </row>
    <row r="3" spans="10:11" ht="12.75">
      <c r="J3" s="4" t="s">
        <v>747</v>
      </c>
      <c r="K3" s="4"/>
    </row>
    <row r="4" spans="10:11" ht="12.75">
      <c r="J4" s="4"/>
      <c r="K4" s="4"/>
    </row>
    <row r="5" ht="12.75" customHeight="1"/>
    <row r="6" spans="1:12" ht="21.75" customHeight="1">
      <c r="A6" s="1067" t="s">
        <v>505</v>
      </c>
      <c r="B6" s="1067"/>
      <c r="C6" s="1067"/>
      <c r="D6" s="1067"/>
      <c r="E6" s="1067"/>
      <c r="F6" s="1067"/>
      <c r="G6" s="1067"/>
      <c r="H6" s="1067"/>
      <c r="I6" s="1067"/>
      <c r="J6" s="1068"/>
      <c r="K6" s="928"/>
      <c r="L6" s="928"/>
    </row>
    <row r="7" spans="1:12" ht="39.75" customHeight="1">
      <c r="A7" s="1772" t="s">
        <v>762</v>
      </c>
      <c r="B7" s="1067"/>
      <c r="C7" s="1067"/>
      <c r="D7" s="1067"/>
      <c r="E7" s="1067"/>
      <c r="F7" s="1067"/>
      <c r="G7" s="1067"/>
      <c r="H7" s="1067"/>
      <c r="I7" s="1067"/>
      <c r="J7" s="1068"/>
      <c r="K7" s="928"/>
      <c r="L7" s="928"/>
    </row>
    <row r="8" spans="1:12" ht="14.25" customHeight="1" thickBot="1">
      <c r="A8" s="737" t="s">
        <v>66</v>
      </c>
      <c r="L8" s="733" t="s">
        <v>121</v>
      </c>
    </row>
    <row r="9" spans="1:12" ht="30" customHeight="1" thickTop="1">
      <c r="A9" s="1069" t="s">
        <v>506</v>
      </c>
      <c r="B9" s="1070" t="s">
        <v>123</v>
      </c>
      <c r="C9" s="2480" t="s">
        <v>507</v>
      </c>
      <c r="D9" s="2460"/>
      <c r="E9" s="2460"/>
      <c r="F9" s="2460"/>
      <c r="G9" s="2460"/>
      <c r="H9" s="2460"/>
      <c r="I9" s="2460"/>
      <c r="J9" s="2460"/>
      <c r="K9" s="2461"/>
      <c r="L9" s="1773" t="s">
        <v>126</v>
      </c>
    </row>
    <row r="10" spans="1:12" ht="19.5" customHeight="1" thickBot="1">
      <c r="A10" s="1071"/>
      <c r="B10" s="1072"/>
      <c r="C10" s="1073">
        <v>600</v>
      </c>
      <c r="D10" s="1074">
        <v>700</v>
      </c>
      <c r="E10" s="1075">
        <v>750</v>
      </c>
      <c r="F10" s="1076">
        <v>801</v>
      </c>
      <c r="G10" s="1076">
        <v>852</v>
      </c>
      <c r="H10" s="1075">
        <v>854</v>
      </c>
      <c r="I10" s="1076">
        <v>900</v>
      </c>
      <c r="J10" s="1076">
        <v>921</v>
      </c>
      <c r="K10" s="1076">
        <v>926</v>
      </c>
      <c r="L10" s="1077"/>
    </row>
    <row r="11" spans="1:12" s="986" customFormat="1" ht="11.25" customHeight="1" thickBot="1" thickTop="1">
      <c r="A11" s="1774">
        <v>1</v>
      </c>
      <c r="B11" s="1775">
        <v>2</v>
      </c>
      <c r="C11" s="1775">
        <v>3</v>
      </c>
      <c r="D11" s="984">
        <v>4</v>
      </c>
      <c r="E11" s="984">
        <v>5</v>
      </c>
      <c r="F11" s="984">
        <v>6</v>
      </c>
      <c r="G11" s="984">
        <v>7</v>
      </c>
      <c r="H11" s="984">
        <v>7</v>
      </c>
      <c r="I11" s="984">
        <v>8</v>
      </c>
      <c r="J11" s="984">
        <v>9</v>
      </c>
      <c r="K11" s="984">
        <v>10</v>
      </c>
      <c r="L11" s="985">
        <v>11</v>
      </c>
    </row>
    <row r="12" spans="1:12" s="934" customFormat="1" ht="30" customHeight="1" thickTop="1">
      <c r="A12" s="1078">
        <v>1</v>
      </c>
      <c r="B12" s="1776" t="s">
        <v>508</v>
      </c>
      <c r="C12" s="1079">
        <f>31900+9000-2000</f>
        <v>38900</v>
      </c>
      <c r="D12" s="1079"/>
      <c r="E12" s="1079">
        <f>7500+5100</f>
        <v>12600</v>
      </c>
      <c r="F12" s="1079"/>
      <c r="G12" s="1079"/>
      <c r="H12" s="1079">
        <f>200+100</f>
        <v>300</v>
      </c>
      <c r="I12" s="1079">
        <f>37500-37500+2000+2000-2000</f>
        <v>2000</v>
      </c>
      <c r="J12" s="1079">
        <f>800+200</f>
        <v>1000</v>
      </c>
      <c r="K12" s="1079">
        <f>800+200</f>
        <v>1000</v>
      </c>
      <c r="L12" s="1777">
        <f>SUM(C12:K12)</f>
        <v>55800</v>
      </c>
    </row>
    <row r="13" spans="1:12" s="934" customFormat="1" ht="30" customHeight="1">
      <c r="A13" s="1080">
        <v>2</v>
      </c>
      <c r="B13" s="1778" t="s">
        <v>509</v>
      </c>
      <c r="C13" s="1079"/>
      <c r="D13" s="1081">
        <v>700</v>
      </c>
      <c r="E13" s="1081">
        <v>8100</v>
      </c>
      <c r="F13" s="1081"/>
      <c r="G13" s="1081"/>
      <c r="H13" s="1081"/>
      <c r="I13" s="1081">
        <f>24000+6500</f>
        <v>30500</v>
      </c>
      <c r="J13" s="1081"/>
      <c r="K13" s="1081">
        <v>1200</v>
      </c>
      <c r="L13" s="1777">
        <f aca="true" t="shared" si="0" ref="L13:L28">SUM(C13:K13)</f>
        <v>40500</v>
      </c>
    </row>
    <row r="14" spans="1:12" s="934" customFormat="1" ht="30" customHeight="1" hidden="1">
      <c r="A14" s="1080"/>
      <c r="B14" s="1778"/>
      <c r="C14" s="1079"/>
      <c r="D14" s="1081"/>
      <c r="E14" s="1081"/>
      <c r="F14" s="1081"/>
      <c r="G14" s="1081"/>
      <c r="H14" s="1081"/>
      <c r="I14" s="1081"/>
      <c r="J14" s="1081"/>
      <c r="K14" s="1081"/>
      <c r="L14" s="1777">
        <f t="shared" si="0"/>
        <v>0</v>
      </c>
    </row>
    <row r="15" spans="1:12" s="934" customFormat="1" ht="30" customHeight="1">
      <c r="A15" s="1080">
        <v>3</v>
      </c>
      <c r="B15" s="1778" t="s">
        <v>763</v>
      </c>
      <c r="C15" s="1081">
        <f>42000+11000</f>
        <v>53000</v>
      </c>
      <c r="D15" s="1081">
        <v>2000</v>
      </c>
      <c r="E15" s="1081">
        <f>7400+300</f>
        <v>7700</v>
      </c>
      <c r="F15" s="1081"/>
      <c r="G15" s="1081"/>
      <c r="H15" s="1081">
        <v>1500</v>
      </c>
      <c r="I15" s="1081"/>
      <c r="J15" s="1081">
        <v>1400</v>
      </c>
      <c r="K15" s="1081">
        <f>4300-300</f>
        <v>4000</v>
      </c>
      <c r="L15" s="1777">
        <f t="shared" si="0"/>
        <v>69600</v>
      </c>
    </row>
    <row r="16" spans="1:12" s="934" customFormat="1" ht="30" customHeight="1">
      <c r="A16" s="1080">
        <v>4</v>
      </c>
      <c r="B16" s="1778" t="s">
        <v>764</v>
      </c>
      <c r="C16" s="1081">
        <v>18000</v>
      </c>
      <c r="D16" s="1081"/>
      <c r="E16" s="1081">
        <v>12400</v>
      </c>
      <c r="F16" s="1081"/>
      <c r="G16" s="1081"/>
      <c r="H16" s="1081">
        <v>500</v>
      </c>
      <c r="I16" s="1081">
        <v>75000</v>
      </c>
      <c r="J16" s="1081">
        <v>2000</v>
      </c>
      <c r="K16" s="1081">
        <v>3600</v>
      </c>
      <c r="L16" s="1777">
        <f t="shared" si="0"/>
        <v>111500</v>
      </c>
    </row>
    <row r="17" spans="1:12" s="934" customFormat="1" ht="30" customHeight="1">
      <c r="A17" s="1080">
        <v>5</v>
      </c>
      <c r="B17" s="1778" t="s">
        <v>510</v>
      </c>
      <c r="C17" s="1081">
        <f>7400+4000-600</f>
        <v>10800</v>
      </c>
      <c r="D17" s="1081"/>
      <c r="E17" s="1081">
        <v>1600</v>
      </c>
      <c r="F17" s="1081"/>
      <c r="G17" s="1081"/>
      <c r="H17" s="1081"/>
      <c r="I17" s="1081"/>
      <c r="J17" s="1081">
        <f>500+600</f>
        <v>1100</v>
      </c>
      <c r="K17" s="1081">
        <v>500</v>
      </c>
      <c r="L17" s="1777">
        <f>SUM(C17:K17)</f>
        <v>14000</v>
      </c>
    </row>
    <row r="18" spans="1:12" s="934" customFormat="1" ht="30" customHeight="1">
      <c r="A18" s="1080">
        <v>6</v>
      </c>
      <c r="B18" s="1778" t="s">
        <v>511</v>
      </c>
      <c r="C18" s="1081"/>
      <c r="D18" s="1081">
        <v>1300</v>
      </c>
      <c r="E18" s="1081">
        <f>5100-800</f>
        <v>4300</v>
      </c>
      <c r="F18" s="1081"/>
      <c r="G18" s="1081"/>
      <c r="H18" s="1081">
        <f>2300+800</f>
        <v>3100</v>
      </c>
      <c r="I18" s="1081">
        <f>48000+12000</f>
        <v>60000</v>
      </c>
      <c r="J18" s="1081">
        <v>2900</v>
      </c>
      <c r="K18" s="1081">
        <v>1000</v>
      </c>
      <c r="L18" s="1777">
        <f t="shared" si="0"/>
        <v>72600</v>
      </c>
    </row>
    <row r="19" spans="1:12" s="934" customFormat="1" ht="30" customHeight="1">
      <c r="A19" s="1080">
        <v>7</v>
      </c>
      <c r="B19" s="1778" t="s">
        <v>512</v>
      </c>
      <c r="C19" s="1081">
        <v>70000</v>
      </c>
      <c r="D19" s="1081">
        <f>2000-200</f>
        <v>1800</v>
      </c>
      <c r="E19" s="1081">
        <f>6000-450</f>
        <v>5550</v>
      </c>
      <c r="F19" s="1081"/>
      <c r="G19" s="1081"/>
      <c r="H19" s="1081">
        <f>1300+750</f>
        <v>2050</v>
      </c>
      <c r="I19" s="1081">
        <v>16000</v>
      </c>
      <c r="J19" s="1081">
        <v>2300</v>
      </c>
      <c r="K19" s="1081">
        <f>1400-100</f>
        <v>1300</v>
      </c>
      <c r="L19" s="1777">
        <f t="shared" si="0"/>
        <v>99000</v>
      </c>
    </row>
    <row r="20" spans="1:12" s="934" customFormat="1" ht="30" customHeight="1">
      <c r="A20" s="1080">
        <v>8</v>
      </c>
      <c r="B20" s="1778" t="s">
        <v>765</v>
      </c>
      <c r="C20" s="1081">
        <f>40300-3700+15000+18000</f>
        <v>69600</v>
      </c>
      <c r="D20" s="1081"/>
      <c r="E20" s="1081">
        <f>16000+3700-1000</f>
        <v>18700</v>
      </c>
      <c r="F20" s="1081"/>
      <c r="G20" s="1081"/>
      <c r="H20" s="1081">
        <v>800</v>
      </c>
      <c r="I20" s="1081">
        <f>17000-17000</f>
        <v>0</v>
      </c>
      <c r="J20" s="1081">
        <v>1000</v>
      </c>
      <c r="K20" s="1081">
        <v>1800</v>
      </c>
      <c r="L20" s="1777">
        <f t="shared" si="0"/>
        <v>91900</v>
      </c>
    </row>
    <row r="21" spans="1:12" s="934" customFormat="1" ht="30" customHeight="1">
      <c r="A21" s="1080">
        <v>9</v>
      </c>
      <c r="B21" s="1778" t="s">
        <v>513</v>
      </c>
      <c r="C21" s="1081">
        <f>11000+6000</f>
        <v>17000</v>
      </c>
      <c r="D21" s="1081"/>
      <c r="E21" s="1081">
        <v>3700</v>
      </c>
      <c r="F21" s="1081"/>
      <c r="G21" s="1081"/>
      <c r="H21" s="1081"/>
      <c r="I21" s="1081"/>
      <c r="J21" s="1081"/>
      <c r="K21" s="1081">
        <v>2700</v>
      </c>
      <c r="L21" s="1777">
        <f t="shared" si="0"/>
        <v>23400</v>
      </c>
    </row>
    <row r="22" spans="1:12" s="934" customFormat="1" ht="30" customHeight="1">
      <c r="A22" s="1080">
        <v>10</v>
      </c>
      <c r="B22" s="1778" t="s">
        <v>766</v>
      </c>
      <c r="C22" s="1081"/>
      <c r="D22" s="1081"/>
      <c r="E22" s="1081">
        <f>27100+801</f>
        <v>27901</v>
      </c>
      <c r="F22" s="1081"/>
      <c r="G22" s="1081"/>
      <c r="H22" s="1081">
        <f>2000-801</f>
        <v>1199</v>
      </c>
      <c r="I22" s="1081">
        <f>30000+13000</f>
        <v>43000</v>
      </c>
      <c r="J22" s="1081">
        <v>5000</v>
      </c>
      <c r="K22" s="1081">
        <v>4000</v>
      </c>
      <c r="L22" s="1777">
        <f t="shared" si="0"/>
        <v>81100</v>
      </c>
    </row>
    <row r="23" spans="1:12" s="934" customFormat="1" ht="30" customHeight="1">
      <c r="A23" s="1080">
        <v>11</v>
      </c>
      <c r="B23" s="1778" t="s">
        <v>767</v>
      </c>
      <c r="C23" s="1081">
        <f>64300+16500</f>
        <v>80800</v>
      </c>
      <c r="D23" s="1081">
        <v>2600</v>
      </c>
      <c r="E23" s="1081">
        <v>6500</v>
      </c>
      <c r="F23" s="1081"/>
      <c r="G23" s="1081"/>
      <c r="H23" s="1081"/>
      <c r="I23" s="1081"/>
      <c r="J23" s="1081">
        <f>5700+600</f>
        <v>6300</v>
      </c>
      <c r="K23" s="1081">
        <f>5300-600</f>
        <v>4700</v>
      </c>
      <c r="L23" s="1777">
        <f>SUM(C23:K23)</f>
        <v>100900</v>
      </c>
    </row>
    <row r="24" spans="1:12" s="934" customFormat="1" ht="30" customHeight="1">
      <c r="A24" s="1080">
        <v>12</v>
      </c>
      <c r="B24" s="1778" t="s">
        <v>514</v>
      </c>
      <c r="C24" s="1081"/>
      <c r="D24" s="1081">
        <v>5300</v>
      </c>
      <c r="E24" s="1081">
        <v>28100</v>
      </c>
      <c r="F24" s="1081">
        <v>15000</v>
      </c>
      <c r="G24" s="1081"/>
      <c r="H24" s="1081">
        <v>3500</v>
      </c>
      <c r="I24" s="1081">
        <f>20000+16500</f>
        <v>36500</v>
      </c>
      <c r="J24" s="1081">
        <v>9100</v>
      </c>
      <c r="K24" s="1081">
        <v>3300</v>
      </c>
      <c r="L24" s="1777">
        <f t="shared" si="0"/>
        <v>100800</v>
      </c>
    </row>
    <row r="25" spans="1:12" s="934" customFormat="1" ht="30" customHeight="1">
      <c r="A25" s="1080">
        <v>13</v>
      </c>
      <c r="B25" s="1778" t="s">
        <v>768</v>
      </c>
      <c r="C25" s="1081">
        <f>25700+13000</f>
        <v>38700</v>
      </c>
      <c r="D25" s="1081">
        <v>1500</v>
      </c>
      <c r="E25" s="1081">
        <f>18800-2000</f>
        <v>16800</v>
      </c>
      <c r="F25" s="1081">
        <v>8000</v>
      </c>
      <c r="G25" s="1081"/>
      <c r="H25" s="1081"/>
      <c r="I25" s="1081">
        <v>4000</v>
      </c>
      <c r="J25" s="1081">
        <f>4000+2000</f>
        <v>6000</v>
      </c>
      <c r="K25" s="1081">
        <v>4000</v>
      </c>
      <c r="L25" s="1777">
        <f t="shared" si="0"/>
        <v>79000</v>
      </c>
    </row>
    <row r="26" spans="1:12" s="934" customFormat="1" ht="30" customHeight="1">
      <c r="A26" s="1080">
        <v>14</v>
      </c>
      <c r="B26" s="1778" t="s">
        <v>515</v>
      </c>
      <c r="C26" s="1081">
        <f>5000-2000</f>
        <v>3000</v>
      </c>
      <c r="D26" s="1083">
        <f>1000-1000</f>
        <v>0</v>
      </c>
      <c r="E26" s="1083">
        <f>3000+1000+3600+4000+2427</f>
        <v>14027</v>
      </c>
      <c r="F26" s="1083"/>
      <c r="G26" s="1083"/>
      <c r="H26" s="1083"/>
      <c r="I26" s="1083">
        <f>5500+360</f>
        <v>5860</v>
      </c>
      <c r="J26" s="1083"/>
      <c r="K26" s="1083">
        <f>2000-1787</f>
        <v>213</v>
      </c>
      <c r="L26" s="1777">
        <f t="shared" si="0"/>
        <v>23100</v>
      </c>
    </row>
    <row r="27" spans="1:12" s="934" customFormat="1" ht="30" customHeight="1">
      <c r="A27" s="1080">
        <v>15</v>
      </c>
      <c r="B27" s="1778" t="s">
        <v>516</v>
      </c>
      <c r="C27" s="1081">
        <v>63000</v>
      </c>
      <c r="D27" s="1083">
        <f>2000+1000</f>
        <v>3000</v>
      </c>
      <c r="E27" s="1083">
        <v>7950</v>
      </c>
      <c r="F27" s="1083"/>
      <c r="G27" s="1083"/>
      <c r="H27" s="1083">
        <f>4500+2000</f>
        <v>6500</v>
      </c>
      <c r="I27" s="1083">
        <f>67000-4000+17000-63000</f>
        <v>17000</v>
      </c>
      <c r="J27" s="1083">
        <f>4000+1000</f>
        <v>5000</v>
      </c>
      <c r="K27" s="1083">
        <v>2050</v>
      </c>
      <c r="L27" s="1777">
        <f t="shared" si="0"/>
        <v>104500</v>
      </c>
    </row>
    <row r="28" spans="1:12" s="934" customFormat="1" ht="30" customHeight="1" thickBot="1">
      <c r="A28" s="1082">
        <v>16</v>
      </c>
      <c r="B28" s="1779" t="s">
        <v>517</v>
      </c>
      <c r="C28" s="1081">
        <f>93000+24000</f>
        <v>117000</v>
      </c>
      <c r="D28" s="1083">
        <v>1500</v>
      </c>
      <c r="E28" s="1083">
        <f>24200+100-1900</f>
        <v>22400</v>
      </c>
      <c r="F28" s="1083">
        <v>7000</v>
      </c>
      <c r="G28" s="1083"/>
      <c r="H28" s="1083">
        <f>2600-1300</f>
        <v>1300</v>
      </c>
      <c r="I28" s="1083">
        <v>30000</v>
      </c>
      <c r="J28" s="1083">
        <f>4400+2400-1200+1900</f>
        <v>7500</v>
      </c>
      <c r="K28" s="1083">
        <v>2300</v>
      </c>
      <c r="L28" s="1777">
        <f t="shared" si="0"/>
        <v>189000</v>
      </c>
    </row>
    <row r="29" spans="1:12" s="1086" customFormat="1" ht="29.25" customHeight="1" thickBot="1" thickTop="1">
      <c r="A29" s="1084"/>
      <c r="B29" s="1780" t="s">
        <v>126</v>
      </c>
      <c r="C29" s="1025">
        <f>SUM(C12:C28)</f>
        <v>579800</v>
      </c>
      <c r="D29" s="1025">
        <f>SUM(D12:D28)</f>
        <v>19700</v>
      </c>
      <c r="E29" s="1025">
        <f aca="true" t="shared" si="1" ref="E29:K29">SUM(E12:E28)</f>
        <v>198328</v>
      </c>
      <c r="F29" s="1025">
        <f t="shared" si="1"/>
        <v>30000</v>
      </c>
      <c r="G29" s="1025">
        <f t="shared" si="1"/>
        <v>0</v>
      </c>
      <c r="H29" s="1025">
        <f t="shared" si="1"/>
        <v>20749</v>
      </c>
      <c r="I29" s="1025">
        <f t="shared" si="1"/>
        <v>319860</v>
      </c>
      <c r="J29" s="1025">
        <f t="shared" si="1"/>
        <v>50600</v>
      </c>
      <c r="K29" s="1025">
        <f t="shared" si="1"/>
        <v>37663</v>
      </c>
      <c r="L29" s="802">
        <f>SUM(C29:K29)</f>
        <v>1256700</v>
      </c>
    </row>
    <row r="30" spans="1:2" s="737" customFormat="1" ht="13.5" thickTop="1">
      <c r="A30" s="737" t="s">
        <v>518</v>
      </c>
      <c r="B30" s="672"/>
    </row>
    <row r="31" spans="1:2" ht="12.75">
      <c r="A31" s="87" t="s">
        <v>181</v>
      </c>
      <c r="B31" s="88"/>
    </row>
    <row r="32" ht="12.75">
      <c r="A32" s="87" t="s">
        <v>40</v>
      </c>
    </row>
  </sheetData>
  <mergeCells count="1">
    <mergeCell ref="C9:K9"/>
  </mergeCells>
  <printOptions horizontalCentered="1"/>
  <pageMargins left="0.2362204724409449" right="0.2362204724409449" top="0.68" bottom="0.6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58"/>
  <sheetViews>
    <sheetView workbookViewId="0" topLeftCell="A122">
      <selection activeCell="A137" sqref="A137"/>
    </sheetView>
  </sheetViews>
  <sheetFormatPr defaultColWidth="9.00390625" defaultRowHeight="12.75"/>
  <cols>
    <col min="1" max="1" width="6.375" style="1087" customWidth="1"/>
    <col min="2" max="2" width="46.375" style="1088" customWidth="1"/>
    <col min="3" max="4" width="11.375" style="1089" customWidth="1"/>
    <col min="5" max="5" width="11.25390625" style="1089" customWidth="1"/>
    <col min="6" max="189" width="10.00390625" style="1089" customWidth="1"/>
    <col min="190" max="16384" width="10.00390625" style="1091" customWidth="1"/>
  </cols>
  <sheetData>
    <row r="1" spans="4:5" ht="12" customHeight="1">
      <c r="D1" s="1090" t="s">
        <v>519</v>
      </c>
      <c r="E1"/>
    </row>
    <row r="2" spans="4:5" ht="12" customHeight="1">
      <c r="D2" s="215" t="s">
        <v>746</v>
      </c>
      <c r="E2"/>
    </row>
    <row r="3" spans="4:5" ht="12" customHeight="1">
      <c r="D3" s="4" t="s">
        <v>747</v>
      </c>
      <c r="E3"/>
    </row>
    <row r="4" spans="4:5" ht="12" customHeight="1">
      <c r="D4" s="101"/>
      <c r="E4"/>
    </row>
    <row r="5" spans="4:5" ht="5.25" customHeight="1">
      <c r="D5" s="4"/>
      <c r="E5"/>
    </row>
    <row r="6" spans="1:5" s="1096" customFormat="1" ht="18" customHeight="1">
      <c r="A6" s="1092" t="s">
        <v>520</v>
      </c>
      <c r="B6" s="1093"/>
      <c r="C6" s="1094"/>
      <c r="D6" s="1094"/>
      <c r="E6" s="1095"/>
    </row>
    <row r="7" spans="1:5" s="1099" customFormat="1" ht="33" customHeight="1">
      <c r="A7" s="1097" t="s">
        <v>521</v>
      </c>
      <c r="B7" s="1093"/>
      <c r="C7" s="1094"/>
      <c r="D7" s="1094"/>
      <c r="E7" s="1098"/>
    </row>
    <row r="8" spans="1:189" s="1104" customFormat="1" ht="13.5" customHeight="1" thickBot="1">
      <c r="A8" s="223" t="s">
        <v>525</v>
      </c>
      <c r="B8" s="1100"/>
      <c r="C8" s="1101"/>
      <c r="D8" s="1101"/>
      <c r="E8" s="1102" t="s">
        <v>121</v>
      </c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3"/>
      <c r="U8" s="1103"/>
      <c r="V8" s="1103"/>
      <c r="W8" s="1103"/>
      <c r="X8" s="1103"/>
      <c r="Y8" s="1103"/>
      <c r="Z8" s="1103"/>
      <c r="AA8" s="1103"/>
      <c r="AB8" s="1103"/>
      <c r="AC8" s="1103"/>
      <c r="AD8" s="1103"/>
      <c r="AE8" s="1103"/>
      <c r="AF8" s="1103"/>
      <c r="AG8" s="1103"/>
      <c r="AH8" s="1103"/>
      <c r="AI8" s="1103"/>
      <c r="AJ8" s="1103"/>
      <c r="AK8" s="1103"/>
      <c r="AL8" s="1103"/>
      <c r="AM8" s="1103"/>
      <c r="AN8" s="1103"/>
      <c r="AO8" s="1103"/>
      <c r="AP8" s="1103"/>
      <c r="AQ8" s="1103"/>
      <c r="AR8" s="1103"/>
      <c r="AS8" s="1103"/>
      <c r="AT8" s="1103"/>
      <c r="AU8" s="1103"/>
      <c r="AV8" s="1103"/>
      <c r="AW8" s="1103"/>
      <c r="AX8" s="1103"/>
      <c r="AY8" s="1103"/>
      <c r="AZ8" s="1103"/>
      <c r="BA8" s="1103"/>
      <c r="BB8" s="1103"/>
      <c r="BC8" s="1103"/>
      <c r="BD8" s="1103"/>
      <c r="BE8" s="1103"/>
      <c r="BF8" s="1103"/>
      <c r="BG8" s="1103"/>
      <c r="BH8" s="1103"/>
      <c r="BI8" s="1103"/>
      <c r="BJ8" s="1103"/>
      <c r="BK8" s="1103"/>
      <c r="BL8" s="1103"/>
      <c r="BM8" s="1103"/>
      <c r="BN8" s="1103"/>
      <c r="BO8" s="1103"/>
      <c r="BP8" s="1103"/>
      <c r="BQ8" s="1103"/>
      <c r="BR8" s="1103"/>
      <c r="BS8" s="1103"/>
      <c r="BT8" s="1103"/>
      <c r="BU8" s="1103"/>
      <c r="BV8" s="1103"/>
      <c r="BW8" s="1103"/>
      <c r="BX8" s="1103"/>
      <c r="BY8" s="1103"/>
      <c r="BZ8" s="1103"/>
      <c r="CA8" s="1103"/>
      <c r="CB8" s="1103"/>
      <c r="CC8" s="1103"/>
      <c r="CD8" s="1103"/>
      <c r="CE8" s="1103"/>
      <c r="CF8" s="1103"/>
      <c r="CG8" s="1103"/>
      <c r="CH8" s="1103"/>
      <c r="CI8" s="1103"/>
      <c r="CJ8" s="1103"/>
      <c r="CK8" s="1103"/>
      <c r="CL8" s="1103"/>
      <c r="CM8" s="1103"/>
      <c r="CN8" s="1103"/>
      <c r="CO8" s="1103"/>
      <c r="CP8" s="1103"/>
      <c r="CQ8" s="1103"/>
      <c r="CR8" s="1103"/>
      <c r="CS8" s="1103"/>
      <c r="CT8" s="1103"/>
      <c r="CU8" s="1103"/>
      <c r="CV8" s="1103"/>
      <c r="CW8" s="1103"/>
      <c r="CX8" s="1103"/>
      <c r="CY8" s="1103"/>
      <c r="CZ8" s="1103"/>
      <c r="DA8" s="1103"/>
      <c r="DB8" s="1103"/>
      <c r="DC8" s="1103"/>
      <c r="DD8" s="1103"/>
      <c r="DE8" s="1103"/>
      <c r="DF8" s="1103"/>
      <c r="DG8" s="1103"/>
      <c r="DH8" s="1103"/>
      <c r="DI8" s="1103"/>
      <c r="DJ8" s="1103"/>
      <c r="DK8" s="1103"/>
      <c r="DL8" s="1103"/>
      <c r="DM8" s="1103"/>
      <c r="DN8" s="1103"/>
      <c r="DO8" s="1103"/>
      <c r="DP8" s="1103"/>
      <c r="DQ8" s="1103"/>
      <c r="DR8" s="1103"/>
      <c r="DS8" s="1103"/>
      <c r="DT8" s="1103"/>
      <c r="DU8" s="1103"/>
      <c r="DV8" s="1103"/>
      <c r="DW8" s="1103"/>
      <c r="DX8" s="1103"/>
      <c r="DY8" s="1103"/>
      <c r="DZ8" s="1103"/>
      <c r="EA8" s="1103"/>
      <c r="EB8" s="1103"/>
      <c r="EC8" s="1103"/>
      <c r="ED8" s="1103"/>
      <c r="EE8" s="1103"/>
      <c r="EF8" s="1103"/>
      <c r="EG8" s="1103"/>
      <c r="EH8" s="1103"/>
      <c r="EI8" s="1103"/>
      <c r="EJ8" s="1103"/>
      <c r="EK8" s="1103"/>
      <c r="EL8" s="1103"/>
      <c r="EM8" s="1103"/>
      <c r="EN8" s="1103"/>
      <c r="EO8" s="1103"/>
      <c r="EP8" s="1103"/>
      <c r="EQ8" s="1103"/>
      <c r="ER8" s="1103"/>
      <c r="ES8" s="1103"/>
      <c r="ET8" s="1103"/>
      <c r="EU8" s="1103"/>
      <c r="EV8" s="1103"/>
      <c r="EW8" s="1103"/>
      <c r="EX8" s="1103"/>
      <c r="EY8" s="1103"/>
      <c r="EZ8" s="1103"/>
      <c r="FA8" s="1103"/>
      <c r="FB8" s="1103"/>
      <c r="FC8" s="1103"/>
      <c r="FD8" s="1103"/>
      <c r="FE8" s="1103"/>
      <c r="FF8" s="1103"/>
      <c r="FG8" s="1103"/>
      <c r="FH8" s="1103"/>
      <c r="FI8" s="1103"/>
      <c r="FJ8" s="1103"/>
      <c r="FK8" s="1103"/>
      <c r="FL8" s="1103"/>
      <c r="FM8" s="1103"/>
      <c r="FN8" s="1103"/>
      <c r="FO8" s="1103"/>
      <c r="FP8" s="1103"/>
      <c r="FQ8" s="1103"/>
      <c r="FR8" s="1103"/>
      <c r="FS8" s="1103"/>
      <c r="FT8" s="1103"/>
      <c r="FU8" s="1103"/>
      <c r="FV8" s="1103"/>
      <c r="FW8" s="1103"/>
      <c r="FX8" s="1103"/>
      <c r="FY8" s="1103"/>
      <c r="FZ8" s="1103"/>
      <c r="GA8" s="1103"/>
      <c r="GB8" s="1103"/>
      <c r="GC8" s="1103"/>
      <c r="GD8" s="1103"/>
      <c r="GE8" s="1103"/>
      <c r="GF8" s="1103"/>
      <c r="GG8" s="1103"/>
    </row>
    <row r="9" spans="1:5" ht="25.5" customHeight="1" thickBot="1" thickTop="1">
      <c r="A9" s="1105" t="s">
        <v>522</v>
      </c>
      <c r="B9" s="1106" t="s">
        <v>455</v>
      </c>
      <c r="C9" s="1107" t="s">
        <v>126</v>
      </c>
      <c r="D9" s="1108" t="s">
        <v>186</v>
      </c>
      <c r="E9" s="1109" t="s">
        <v>187</v>
      </c>
    </row>
    <row r="10" spans="1:5" s="1115" customFormat="1" ht="9" customHeight="1" thickBot="1" thickTop="1">
      <c r="A10" s="1110">
        <v>1</v>
      </c>
      <c r="B10" s="1111">
        <v>2</v>
      </c>
      <c r="C10" s="1112">
        <v>3</v>
      </c>
      <c r="D10" s="1113">
        <v>4</v>
      </c>
      <c r="E10" s="1114">
        <v>5</v>
      </c>
    </row>
    <row r="11" spans="1:5" s="1121" customFormat="1" ht="18.75" customHeight="1" thickBot="1" thickTop="1">
      <c r="A11" s="1116">
        <v>600</v>
      </c>
      <c r="B11" s="1117" t="s">
        <v>136</v>
      </c>
      <c r="C11" s="1118">
        <f>C12</f>
        <v>330000</v>
      </c>
      <c r="D11" s="1119">
        <f>D12</f>
        <v>330000</v>
      </c>
      <c r="E11" s="1120"/>
    </row>
    <row r="12" spans="1:5" s="1121" customFormat="1" ht="18.75" customHeight="1" thickBot="1" thickTop="1">
      <c r="A12" s="1122">
        <v>60002</v>
      </c>
      <c r="B12" s="1123" t="s">
        <v>276</v>
      </c>
      <c r="C12" s="1124">
        <f>C13</f>
        <v>330000</v>
      </c>
      <c r="D12" s="1125">
        <f>D13</f>
        <v>330000</v>
      </c>
      <c r="E12" s="1126"/>
    </row>
    <row r="13" spans="1:5" s="1132" customFormat="1" ht="31.5" customHeight="1" thickBot="1" thickTop="1">
      <c r="A13" s="1127">
        <v>2710</v>
      </c>
      <c r="B13" s="1128" t="s">
        <v>523</v>
      </c>
      <c r="C13" s="1129">
        <f>D13</f>
        <v>330000</v>
      </c>
      <c r="D13" s="1130">
        <f>100000+230000</f>
        <v>330000</v>
      </c>
      <c r="E13" s="1131"/>
    </row>
    <row r="14" spans="1:5" s="1121" customFormat="1" ht="18.75" customHeight="1" thickBot="1" thickTop="1">
      <c r="A14" s="1116">
        <v>630</v>
      </c>
      <c r="B14" s="1117" t="s">
        <v>283</v>
      </c>
      <c r="C14" s="1118">
        <f>C15</f>
        <v>19000</v>
      </c>
      <c r="D14" s="1119">
        <f>D15</f>
        <v>19000</v>
      </c>
      <c r="E14" s="1120"/>
    </row>
    <row r="15" spans="1:5" s="1121" customFormat="1" ht="18" customHeight="1" thickTop="1">
      <c r="A15" s="1133">
        <v>63003</v>
      </c>
      <c r="B15" s="1134" t="s">
        <v>524</v>
      </c>
      <c r="C15" s="1135">
        <f>SUM(C16:C17)</f>
        <v>19000</v>
      </c>
      <c r="D15" s="1136">
        <f>SUM(D16:D17)</f>
        <v>19000</v>
      </c>
      <c r="E15" s="1137"/>
    </row>
    <row r="16" spans="1:5" s="1264" customFormat="1" ht="26.25" customHeight="1">
      <c r="A16" s="1809">
        <v>2810</v>
      </c>
      <c r="B16" s="1168" t="s">
        <v>530</v>
      </c>
      <c r="C16" s="1810">
        <f>SUM(D16:E16)</f>
        <v>4000</v>
      </c>
      <c r="D16" s="1811">
        <v>4000</v>
      </c>
      <c r="E16" s="1812"/>
    </row>
    <row r="17" spans="1:5" s="1143" customFormat="1" ht="26.25" customHeight="1" thickBot="1">
      <c r="A17" s="1138">
        <v>2820</v>
      </c>
      <c r="B17" s="1139" t="s">
        <v>526</v>
      </c>
      <c r="C17" s="1140">
        <f>SUM(D17:E17)</f>
        <v>15000</v>
      </c>
      <c r="D17" s="1141">
        <f>3000+12000</f>
        <v>15000</v>
      </c>
      <c r="E17" s="1142"/>
    </row>
    <row r="18" spans="1:5" s="1121" customFormat="1" ht="21" customHeight="1" thickBot="1" thickTop="1">
      <c r="A18" s="1116">
        <v>700</v>
      </c>
      <c r="B18" s="1117" t="s">
        <v>285</v>
      </c>
      <c r="C18" s="1118">
        <f>D18</f>
        <v>6800000</v>
      </c>
      <c r="D18" s="1144">
        <f>D19</f>
        <v>6800000</v>
      </c>
      <c r="E18" s="1145"/>
    </row>
    <row r="19" spans="1:5" s="1148" customFormat="1" ht="19.5" customHeight="1" thickTop="1">
      <c r="A19" s="1133">
        <v>70001</v>
      </c>
      <c r="B19" s="1134" t="s">
        <v>527</v>
      </c>
      <c r="C19" s="1135">
        <f>SUM(C20:C21)</f>
        <v>6800000</v>
      </c>
      <c r="D19" s="1146">
        <f>SUM(D20:D21)</f>
        <v>6800000</v>
      </c>
      <c r="E19" s="1147"/>
    </row>
    <row r="20" spans="1:5" s="1143" customFormat="1" ht="15.75" customHeight="1">
      <c r="A20" s="1138">
        <v>2650</v>
      </c>
      <c r="B20" s="1139" t="s">
        <v>528</v>
      </c>
      <c r="C20" s="1140">
        <f>D20</f>
        <v>6700000</v>
      </c>
      <c r="D20" s="1149">
        <f>6700000</f>
        <v>6700000</v>
      </c>
      <c r="E20" s="1150"/>
    </row>
    <row r="21" spans="1:5" s="1143" customFormat="1" ht="39.75" customHeight="1" thickBot="1">
      <c r="A21" s="1189">
        <v>6210</v>
      </c>
      <c r="B21" s="1190" t="s">
        <v>534</v>
      </c>
      <c r="C21" s="1140">
        <f>D21</f>
        <v>100000</v>
      </c>
      <c r="D21" s="1149">
        <v>100000</v>
      </c>
      <c r="E21" s="1150"/>
    </row>
    <row r="22" spans="1:5" s="1121" customFormat="1" ht="18.75" customHeight="1" thickBot="1" thickTop="1">
      <c r="A22" s="1116">
        <v>750</v>
      </c>
      <c r="B22" s="1151" t="s">
        <v>144</v>
      </c>
      <c r="C22" s="1152">
        <f>C23+C26</f>
        <v>859600</v>
      </c>
      <c r="D22" s="1153">
        <f>D23+D26</f>
        <v>668000</v>
      </c>
      <c r="E22" s="1154">
        <f>E23+E26</f>
        <v>191600</v>
      </c>
    </row>
    <row r="23" spans="1:5" s="1121" customFormat="1" ht="16.5" customHeight="1" thickTop="1">
      <c r="A23" s="1155">
        <v>75020</v>
      </c>
      <c r="B23" s="1156" t="s">
        <v>303</v>
      </c>
      <c r="C23" s="1157">
        <f>SUM(C24:C25)</f>
        <v>191600</v>
      </c>
      <c r="D23" s="1158"/>
      <c r="E23" s="1159">
        <f>SUM(E24:E25)</f>
        <v>191600</v>
      </c>
    </row>
    <row r="24" spans="1:5" s="2352" customFormat="1" ht="36" customHeight="1">
      <c r="A24" s="1188">
        <v>2320</v>
      </c>
      <c r="B24" s="1198" t="s">
        <v>529</v>
      </c>
      <c r="C24" s="1169">
        <f>SUM(D24:E24)</f>
        <v>15000</v>
      </c>
      <c r="D24" s="1200"/>
      <c r="E24" s="1201">
        <f>1977180-1962180</f>
        <v>15000</v>
      </c>
    </row>
    <row r="25" spans="1:5" s="2352" customFormat="1" ht="38.25" customHeight="1">
      <c r="A25" s="1189">
        <v>6300</v>
      </c>
      <c r="B25" s="1184" t="s">
        <v>717</v>
      </c>
      <c r="C25" s="2353">
        <f>E25</f>
        <v>176600</v>
      </c>
      <c r="D25" s="1186"/>
      <c r="E25" s="1203">
        <v>176600</v>
      </c>
    </row>
    <row r="26" spans="1:5" s="1121" customFormat="1" ht="15.75" customHeight="1">
      <c r="A26" s="1163">
        <v>75095</v>
      </c>
      <c r="B26" s="1164" t="s">
        <v>268</v>
      </c>
      <c r="C26" s="1165">
        <f>SUM(C27:C28)</f>
        <v>668000</v>
      </c>
      <c r="D26" s="1166">
        <f>SUM(D27:D28)</f>
        <v>668000</v>
      </c>
      <c r="E26" s="1167"/>
    </row>
    <row r="27" spans="1:5" s="1132" customFormat="1" ht="28.5" customHeight="1">
      <c r="A27" s="1138">
        <v>2810</v>
      </c>
      <c r="B27" s="1168" t="s">
        <v>530</v>
      </c>
      <c r="C27" s="1169">
        <f>SUM(D27:E27)</f>
        <v>0</v>
      </c>
      <c r="D27" s="1170">
        <f>668000-668000</f>
        <v>0</v>
      </c>
      <c r="E27" s="1171"/>
    </row>
    <row r="28" spans="1:5" s="1132" customFormat="1" ht="28.5" customHeight="1" thickBot="1">
      <c r="A28" s="1138">
        <v>2820</v>
      </c>
      <c r="B28" s="1139" t="s">
        <v>526</v>
      </c>
      <c r="C28" s="1266">
        <f>D28</f>
        <v>668000</v>
      </c>
      <c r="D28" s="1170">
        <v>668000</v>
      </c>
      <c r="E28" s="1171"/>
    </row>
    <row r="29" spans="1:5" s="1121" customFormat="1" ht="31.5" customHeight="1" thickBot="1" thickTop="1">
      <c r="A29" s="1116">
        <v>754</v>
      </c>
      <c r="B29" s="1151" t="s">
        <v>148</v>
      </c>
      <c r="C29" s="1152">
        <f>D29+E29</f>
        <v>242000</v>
      </c>
      <c r="D29" s="1172">
        <f>D32</f>
        <v>22000</v>
      </c>
      <c r="E29" s="1173">
        <f>E31</f>
        <v>220000</v>
      </c>
    </row>
    <row r="30" spans="1:5" s="1121" customFormat="1" ht="16.5" customHeight="1" thickTop="1">
      <c r="A30" s="1133">
        <v>75411</v>
      </c>
      <c r="B30" s="1255" t="s">
        <v>314</v>
      </c>
      <c r="C30" s="1256">
        <f>E30</f>
        <v>220000</v>
      </c>
      <c r="D30" s="1257"/>
      <c r="E30" s="1258">
        <f>E31</f>
        <v>220000</v>
      </c>
    </row>
    <row r="31" spans="1:5" s="1264" customFormat="1" ht="39.75" customHeight="1">
      <c r="A31" s="1809">
        <v>6220</v>
      </c>
      <c r="B31" s="1921" t="s">
        <v>668</v>
      </c>
      <c r="C31" s="1922">
        <f>E31</f>
        <v>220000</v>
      </c>
      <c r="D31" s="1268"/>
      <c r="E31" s="1250">
        <v>220000</v>
      </c>
    </row>
    <row r="32" spans="1:5" s="1121" customFormat="1" ht="18.75" customHeight="1">
      <c r="A32" s="1163">
        <v>75412</v>
      </c>
      <c r="B32" s="1164" t="s">
        <v>531</v>
      </c>
      <c r="C32" s="1165">
        <f>SUM(D32:E32)</f>
        <v>22000</v>
      </c>
      <c r="D32" s="1166">
        <f>D33</f>
        <v>22000</v>
      </c>
      <c r="E32" s="1167"/>
    </row>
    <row r="33" spans="1:5" s="1132" customFormat="1" ht="27" customHeight="1" thickBot="1">
      <c r="A33" s="1138">
        <v>2820</v>
      </c>
      <c r="B33" s="1139" t="s">
        <v>526</v>
      </c>
      <c r="C33" s="1140">
        <f>SUM(D33:E33)</f>
        <v>22000</v>
      </c>
      <c r="D33" s="1170">
        <v>22000</v>
      </c>
      <c r="E33" s="1174"/>
    </row>
    <row r="34" spans="1:5" s="1121" customFormat="1" ht="19.5" customHeight="1" thickBot="1" thickTop="1">
      <c r="A34" s="1116">
        <v>801</v>
      </c>
      <c r="B34" s="1151" t="s">
        <v>156</v>
      </c>
      <c r="C34" s="1152">
        <f>C35+C39+C43+C45+C47+C50+C37</f>
        <v>24275975</v>
      </c>
      <c r="D34" s="1153">
        <f>D35+D39+D43+D45+D47+D50+D37</f>
        <v>16613726</v>
      </c>
      <c r="E34" s="1154">
        <f>E35+E39+E43+E45+E47+E50</f>
        <v>7662249</v>
      </c>
    </row>
    <row r="35" spans="1:5" s="1121" customFormat="1" ht="19.5" customHeight="1" thickTop="1">
      <c r="A35" s="1175">
        <v>80101</v>
      </c>
      <c r="B35" s="1176" t="s">
        <v>325</v>
      </c>
      <c r="C35" s="1177">
        <f>D35+E35</f>
        <v>811839</v>
      </c>
      <c r="D35" s="1178">
        <f>D36</f>
        <v>811839</v>
      </c>
      <c r="E35" s="1179"/>
    </row>
    <row r="36" spans="1:5" s="1132" customFormat="1" ht="26.25" customHeight="1">
      <c r="A36" s="1180">
        <v>2540</v>
      </c>
      <c r="B36" s="1181" t="s">
        <v>532</v>
      </c>
      <c r="C36" s="1140">
        <f>SUM(D36:E36)</f>
        <v>811839</v>
      </c>
      <c r="D36" s="1170">
        <f>850000-42200+4039</f>
        <v>811839</v>
      </c>
      <c r="E36" s="1171"/>
    </row>
    <row r="37" spans="1:5" s="1148" customFormat="1" ht="19.5" customHeight="1">
      <c r="A37" s="1163">
        <v>80103</v>
      </c>
      <c r="B37" s="1164" t="s">
        <v>327</v>
      </c>
      <c r="C37" s="1165">
        <f>C38</f>
        <v>114103</v>
      </c>
      <c r="D37" s="1182">
        <f>D38</f>
        <v>114103</v>
      </c>
      <c r="E37" s="1183"/>
    </row>
    <row r="38" spans="1:5" s="1132" customFormat="1" ht="27.75" customHeight="1">
      <c r="A38" s="1138">
        <v>2540</v>
      </c>
      <c r="B38" s="1184" t="s">
        <v>532</v>
      </c>
      <c r="C38" s="1185">
        <f>SUM(D38:E38)</f>
        <v>114103</v>
      </c>
      <c r="D38" s="1186">
        <f>72000+13128+28975</f>
        <v>114103</v>
      </c>
      <c r="E38" s="1171"/>
    </row>
    <row r="39" spans="1:5" s="1121" customFormat="1" ht="18" customHeight="1">
      <c r="A39" s="1187">
        <v>80104</v>
      </c>
      <c r="B39" s="1176" t="s">
        <v>328</v>
      </c>
      <c r="C39" s="1177">
        <f>D39</f>
        <v>15012170</v>
      </c>
      <c r="D39" s="1178">
        <f>SUM(D40:D42)</f>
        <v>15012170</v>
      </c>
      <c r="E39" s="1167"/>
    </row>
    <row r="40" spans="1:5" s="1148" customFormat="1" ht="15" customHeight="1">
      <c r="A40" s="1188">
        <v>2510</v>
      </c>
      <c r="B40" s="1168" t="s">
        <v>533</v>
      </c>
      <c r="C40" s="1140">
        <f>SUM(D40:E40)</f>
        <v>13966300</v>
      </c>
      <c r="D40" s="1170">
        <f>13116300+850000</f>
        <v>13966300</v>
      </c>
      <c r="E40" s="1171"/>
    </row>
    <row r="41" spans="1:5" s="1148" customFormat="1" ht="24.75" customHeight="1">
      <c r="A41" s="1138">
        <v>2540</v>
      </c>
      <c r="B41" s="1139" t="s">
        <v>532</v>
      </c>
      <c r="C41" s="1140">
        <f>SUM(D41:E41)</f>
        <v>660570</v>
      </c>
      <c r="D41" s="1170">
        <f>315000+82626+88374+174570</f>
        <v>660570</v>
      </c>
      <c r="E41" s="1171"/>
    </row>
    <row r="42" spans="1:5" s="1148" customFormat="1" ht="39.75" customHeight="1">
      <c r="A42" s="1189">
        <v>6210</v>
      </c>
      <c r="B42" s="1190" t="s">
        <v>534</v>
      </c>
      <c r="C42" s="1191">
        <f>SUM(D42:E42)</f>
        <v>385300</v>
      </c>
      <c r="D42" s="1186">
        <f>1610000-1250000+7000+18300</f>
        <v>385300</v>
      </c>
      <c r="E42" s="1192"/>
    </row>
    <row r="43" spans="1:5" s="1121" customFormat="1" ht="18" customHeight="1">
      <c r="A43" s="1163">
        <v>80110</v>
      </c>
      <c r="B43" s="1164" t="s">
        <v>535</v>
      </c>
      <c r="C43" s="1165">
        <f>C44</f>
        <v>564114</v>
      </c>
      <c r="D43" s="1166">
        <f>D44</f>
        <v>564114</v>
      </c>
      <c r="E43" s="1167"/>
    </row>
    <row r="44" spans="1:5" s="1132" customFormat="1" ht="24.75" customHeight="1">
      <c r="A44" s="1160">
        <v>2540</v>
      </c>
      <c r="B44" s="1161" t="s">
        <v>532</v>
      </c>
      <c r="C44" s="1185">
        <f>SUM(D44:E44)</f>
        <v>564114</v>
      </c>
      <c r="D44" s="1162">
        <f>600000-35886</f>
        <v>564114</v>
      </c>
      <c r="E44" s="1193"/>
    </row>
    <row r="45" spans="1:5" s="1121" customFormat="1" ht="18" customHeight="1">
      <c r="A45" s="1194">
        <v>80120</v>
      </c>
      <c r="B45" s="1164" t="s">
        <v>333</v>
      </c>
      <c r="C45" s="1165">
        <f>C46</f>
        <v>2320705</v>
      </c>
      <c r="D45" s="1166"/>
      <c r="E45" s="1167">
        <f>E46</f>
        <v>2320705</v>
      </c>
    </row>
    <row r="46" spans="1:5" s="1132" customFormat="1" ht="26.25" customHeight="1">
      <c r="A46" s="1195">
        <v>2540</v>
      </c>
      <c r="B46" s="1196" t="s">
        <v>532</v>
      </c>
      <c r="C46" s="1191">
        <f>SUM(D46:E46)</f>
        <v>2320705</v>
      </c>
      <c r="D46" s="1162"/>
      <c r="E46" s="1197">
        <f>1500000+170985+68283+178286+403151</f>
        <v>2320705</v>
      </c>
    </row>
    <row r="47" spans="1:5" s="1121" customFormat="1" ht="15.75" customHeight="1">
      <c r="A47" s="1163">
        <v>80130</v>
      </c>
      <c r="B47" s="1164" t="s">
        <v>536</v>
      </c>
      <c r="C47" s="1165">
        <f>D47+E47</f>
        <v>5341544</v>
      </c>
      <c r="D47" s="1166"/>
      <c r="E47" s="1167">
        <f>SUM(E48:E49)</f>
        <v>5341544</v>
      </c>
    </row>
    <row r="48" spans="1:5" s="1202" customFormat="1" ht="24" customHeight="1">
      <c r="A48" s="1188">
        <v>2540</v>
      </c>
      <c r="B48" s="1198" t="s">
        <v>532</v>
      </c>
      <c r="C48" s="1199">
        <f>SUM(D48:E48)</f>
        <v>4816544</v>
      </c>
      <c r="D48" s="1200"/>
      <c r="E48" s="1201">
        <f>3300000+894502-68283+690325</f>
        <v>4816544</v>
      </c>
    </row>
    <row r="49" spans="1:5" s="1132" customFormat="1" ht="37.5" customHeight="1">
      <c r="A49" s="1189">
        <v>2590</v>
      </c>
      <c r="B49" s="1184" t="s">
        <v>537</v>
      </c>
      <c r="C49" s="1191">
        <f>E49</f>
        <v>525000</v>
      </c>
      <c r="D49" s="1186"/>
      <c r="E49" s="1203">
        <v>525000</v>
      </c>
    </row>
    <row r="50" spans="1:5" s="1121" customFormat="1" ht="16.5" customHeight="1">
      <c r="A50" s="1175">
        <v>80195</v>
      </c>
      <c r="B50" s="1176" t="s">
        <v>268</v>
      </c>
      <c r="C50" s="1165">
        <f>SUM(C51:C53)</f>
        <v>111500</v>
      </c>
      <c r="D50" s="1178">
        <f>SUM(D51:D53)</f>
        <v>111500</v>
      </c>
      <c r="E50" s="1179"/>
    </row>
    <row r="51" spans="1:5" s="1202" customFormat="1" ht="24">
      <c r="A51" s="1138">
        <v>2540</v>
      </c>
      <c r="B51" s="1168" t="s">
        <v>538</v>
      </c>
      <c r="C51" s="1140">
        <f>SUM(D51:E51)</f>
        <v>71500</v>
      </c>
      <c r="D51" s="1170">
        <f>1500+70000</f>
        <v>71500</v>
      </c>
      <c r="E51" s="1171"/>
    </row>
    <row r="52" spans="1:5" s="1202" customFormat="1" ht="27.75" customHeight="1">
      <c r="A52" s="1138">
        <v>2570</v>
      </c>
      <c r="B52" s="1168" t="s">
        <v>539</v>
      </c>
      <c r="C52" s="1140">
        <f>SUM(D52:E52)</f>
        <v>16000</v>
      </c>
      <c r="D52" s="1170">
        <f>15000+1000</f>
        <v>16000</v>
      </c>
      <c r="E52" s="1171"/>
    </row>
    <row r="53" spans="1:5" s="1202" customFormat="1" ht="27.75" customHeight="1" thickBot="1">
      <c r="A53" s="1204">
        <v>2820</v>
      </c>
      <c r="B53" s="1205" t="s">
        <v>526</v>
      </c>
      <c r="C53" s="1206">
        <f>SUM(D53:E53)</f>
        <v>24000</v>
      </c>
      <c r="D53" s="1207">
        <v>24000</v>
      </c>
      <c r="E53" s="1208"/>
    </row>
    <row r="54" spans="1:5" s="1202" customFormat="1" ht="15.75" customHeight="1" thickBot="1" thickTop="1">
      <c r="A54" s="1794">
        <v>803</v>
      </c>
      <c r="B54" s="1795" t="s">
        <v>158</v>
      </c>
      <c r="C54" s="1796">
        <f>C55+C57</f>
        <v>218000</v>
      </c>
      <c r="D54" s="1797">
        <f>D55+D57</f>
        <v>218000</v>
      </c>
      <c r="E54" s="1798"/>
    </row>
    <row r="55" spans="1:5" s="1202" customFormat="1" ht="15" customHeight="1" thickTop="1">
      <c r="A55" s="2463">
        <v>80309</v>
      </c>
      <c r="B55" s="2464" t="s">
        <v>647</v>
      </c>
      <c r="C55" s="2465">
        <f>D55</f>
        <v>18000</v>
      </c>
      <c r="D55" s="2466">
        <f>D56</f>
        <v>18000</v>
      </c>
      <c r="E55" s="2467"/>
    </row>
    <row r="56" spans="1:5" s="1202" customFormat="1" ht="21.75" customHeight="1">
      <c r="A56" s="1138">
        <v>2520</v>
      </c>
      <c r="B56" s="1139" t="s">
        <v>648</v>
      </c>
      <c r="C56" s="1140">
        <f>D56</f>
        <v>18000</v>
      </c>
      <c r="D56" s="2468">
        <f>10000+8000</f>
        <v>18000</v>
      </c>
      <c r="E56" s="2469"/>
    </row>
    <row r="57" spans="1:5" s="1202" customFormat="1" ht="17.25" customHeight="1">
      <c r="A57" s="1251">
        <v>80395</v>
      </c>
      <c r="B57" s="1252" t="s">
        <v>268</v>
      </c>
      <c r="C57" s="1820">
        <f>D57</f>
        <v>200000</v>
      </c>
      <c r="D57" s="1821">
        <f>D58</f>
        <v>200000</v>
      </c>
      <c r="E57" s="2470"/>
    </row>
    <row r="58" spans="1:5" s="1202" customFormat="1" ht="28.5" customHeight="1" thickBot="1">
      <c r="A58" s="1204">
        <v>2800</v>
      </c>
      <c r="B58" s="1205" t="s">
        <v>67</v>
      </c>
      <c r="C58" s="1206">
        <f>D58</f>
        <v>200000</v>
      </c>
      <c r="D58" s="1799">
        <v>200000</v>
      </c>
      <c r="E58" s="2481"/>
    </row>
    <row r="59" spans="1:5" s="1121" customFormat="1" ht="20.25" customHeight="1" thickBot="1" thickTop="1">
      <c r="A59" s="1116">
        <v>851</v>
      </c>
      <c r="B59" s="1151" t="s">
        <v>160</v>
      </c>
      <c r="C59" s="1152">
        <f>C62+C64+C66</f>
        <v>1080000</v>
      </c>
      <c r="D59" s="1153">
        <f>D62+D64+D66</f>
        <v>1080000</v>
      </c>
      <c r="E59" s="1154"/>
    </row>
    <row r="60" spans="1:5" s="1214" customFormat="1" ht="19.5" customHeight="1" hidden="1" thickTop="1">
      <c r="A60" s="1209">
        <v>85111</v>
      </c>
      <c r="B60" s="1210" t="s">
        <v>345</v>
      </c>
      <c r="C60" s="1211">
        <f>C61</f>
        <v>0</v>
      </c>
      <c r="D60" s="1212">
        <f>D61</f>
        <v>0</v>
      </c>
      <c r="E60" s="1213"/>
    </row>
    <row r="61" spans="1:5" s="1214" customFormat="1" ht="27" customHeight="1" hidden="1">
      <c r="A61" s="1189">
        <v>2330</v>
      </c>
      <c r="B61" s="1184" t="s">
        <v>540</v>
      </c>
      <c r="C61" s="1215">
        <f>SUM(D61:E61)</f>
        <v>0</v>
      </c>
      <c r="D61" s="1216">
        <v>0</v>
      </c>
      <c r="E61" s="1217"/>
    </row>
    <row r="62" spans="1:5" s="1202" customFormat="1" ht="16.5" customHeight="1" thickTop="1">
      <c r="A62" s="1218">
        <v>85153</v>
      </c>
      <c r="B62" s="1219" t="s">
        <v>348</v>
      </c>
      <c r="C62" s="1220">
        <f>C63</f>
        <v>100000</v>
      </c>
      <c r="D62" s="1221">
        <f>SUM(D63:D63)</f>
        <v>100000</v>
      </c>
      <c r="E62" s="1222"/>
    </row>
    <row r="63" spans="1:5" s="1132" customFormat="1" ht="27" customHeight="1">
      <c r="A63" s="1223">
        <v>2820</v>
      </c>
      <c r="B63" s="1161" t="s">
        <v>541</v>
      </c>
      <c r="C63" s="1140">
        <f>SUM(D63:E63)</f>
        <v>100000</v>
      </c>
      <c r="D63" s="1162">
        <v>100000</v>
      </c>
      <c r="E63" s="1224"/>
    </row>
    <row r="64" spans="1:5" s="1202" customFormat="1" ht="17.25" customHeight="1">
      <c r="A64" s="1218">
        <v>85154</v>
      </c>
      <c r="B64" s="1219" t="s">
        <v>349</v>
      </c>
      <c r="C64" s="1220">
        <f>C65</f>
        <v>800000</v>
      </c>
      <c r="D64" s="1221">
        <f>D65</f>
        <v>800000</v>
      </c>
      <c r="E64" s="1222"/>
    </row>
    <row r="65" spans="1:5" s="1132" customFormat="1" ht="25.5" customHeight="1">
      <c r="A65" s="1189">
        <v>2820</v>
      </c>
      <c r="B65" s="1184" t="s">
        <v>542</v>
      </c>
      <c r="C65" s="1191">
        <f>SUM(D65:E65)</f>
        <v>800000</v>
      </c>
      <c r="D65" s="1186">
        <f>500000+300000</f>
        <v>800000</v>
      </c>
      <c r="E65" s="1192"/>
    </row>
    <row r="66" spans="1:5" s="1202" customFormat="1" ht="16.5" customHeight="1">
      <c r="A66" s="1225">
        <v>85195</v>
      </c>
      <c r="B66" s="1219" t="s">
        <v>268</v>
      </c>
      <c r="C66" s="1220">
        <f>D66</f>
        <v>180000</v>
      </c>
      <c r="D66" s="1221">
        <f>SUM(D67:D68)</f>
        <v>180000</v>
      </c>
      <c r="E66" s="1226"/>
    </row>
    <row r="67" spans="1:5" s="942" customFormat="1" ht="24.75" customHeight="1">
      <c r="A67" s="1180">
        <v>2820</v>
      </c>
      <c r="B67" s="1198" t="s">
        <v>526</v>
      </c>
      <c r="C67" s="1199">
        <f>SUM(D67:E67)</f>
        <v>144000</v>
      </c>
      <c r="D67" s="2210">
        <v>144000</v>
      </c>
      <c r="E67" s="1227"/>
    </row>
    <row r="68" spans="1:5" s="942" customFormat="1" ht="41.25" customHeight="1" thickBot="1">
      <c r="A68" s="1189">
        <v>6210</v>
      </c>
      <c r="B68" s="1190" t="s">
        <v>534</v>
      </c>
      <c r="C68" s="1206">
        <f>D68</f>
        <v>36000</v>
      </c>
      <c r="D68" s="2211">
        <v>36000</v>
      </c>
      <c r="E68" s="2212"/>
    </row>
    <row r="69" spans="1:5" s="1231" customFormat="1" ht="21" customHeight="1" thickBot="1" thickTop="1">
      <c r="A69" s="1116">
        <v>852</v>
      </c>
      <c r="B69" s="1151" t="s">
        <v>162</v>
      </c>
      <c r="C69" s="1228">
        <f>C70+C75+C77+C79+C73</f>
        <v>1494000</v>
      </c>
      <c r="D69" s="1229">
        <f>D70+D75+D79+D73</f>
        <v>657200</v>
      </c>
      <c r="E69" s="1230">
        <f>E70+E75+E79+E77</f>
        <v>836800</v>
      </c>
    </row>
    <row r="70" spans="1:5" s="1231" customFormat="1" ht="18.75" customHeight="1" thickTop="1">
      <c r="A70" s="1163">
        <v>85201</v>
      </c>
      <c r="B70" s="1164" t="s">
        <v>543</v>
      </c>
      <c r="C70" s="1220">
        <f>C71+C72</f>
        <v>511000</v>
      </c>
      <c r="D70" s="1221"/>
      <c r="E70" s="1232">
        <f>E71+E72</f>
        <v>511000</v>
      </c>
    </row>
    <row r="71" spans="1:5" s="942" customFormat="1" ht="25.5" customHeight="1">
      <c r="A71" s="1188">
        <v>2820</v>
      </c>
      <c r="B71" s="1198" t="s">
        <v>541</v>
      </c>
      <c r="C71" s="1199">
        <f>SUM(D71:E71)</f>
        <v>46000</v>
      </c>
      <c r="D71" s="1200"/>
      <c r="E71" s="1233">
        <v>46000</v>
      </c>
    </row>
    <row r="72" spans="1:5" s="942" customFormat="1" ht="37.5" customHeight="1">
      <c r="A72" s="1189">
        <v>2320</v>
      </c>
      <c r="B72" s="1184" t="s">
        <v>529</v>
      </c>
      <c r="C72" s="1191">
        <f>SUM(D72:E72)</f>
        <v>465000</v>
      </c>
      <c r="D72" s="1186"/>
      <c r="E72" s="1234">
        <f>412000+53000</f>
        <v>465000</v>
      </c>
    </row>
    <row r="73" spans="1:5" s="1231" customFormat="1" ht="18.75" customHeight="1">
      <c r="A73" s="1235">
        <v>85203</v>
      </c>
      <c r="B73" s="1236" t="s">
        <v>353</v>
      </c>
      <c r="C73" s="1237">
        <f>C74</f>
        <v>507200</v>
      </c>
      <c r="D73" s="1238">
        <f>D74</f>
        <v>507200</v>
      </c>
      <c r="E73" s="1239"/>
    </row>
    <row r="74" spans="1:5" s="942" customFormat="1" ht="29.25" customHeight="1">
      <c r="A74" s="1138">
        <v>2820</v>
      </c>
      <c r="B74" s="1198" t="s">
        <v>541</v>
      </c>
      <c r="C74" s="1140">
        <f>D74</f>
        <v>507200</v>
      </c>
      <c r="D74" s="1186">
        <v>507200</v>
      </c>
      <c r="E74" s="1234"/>
    </row>
    <row r="75" spans="1:5" s="1231" customFormat="1" ht="18.75" customHeight="1">
      <c r="A75" s="1163">
        <v>85204</v>
      </c>
      <c r="B75" s="1164" t="s">
        <v>354</v>
      </c>
      <c r="C75" s="1220">
        <f>E75</f>
        <v>129800</v>
      </c>
      <c r="D75" s="1240"/>
      <c r="E75" s="1241">
        <f>E76</f>
        <v>129800</v>
      </c>
    </row>
    <row r="76" spans="1:5" s="942" customFormat="1" ht="37.5" customHeight="1">
      <c r="A76" s="1160">
        <v>2320</v>
      </c>
      <c r="B76" s="1161" t="s">
        <v>529</v>
      </c>
      <c r="C76" s="1185">
        <f>SUM(D76:E76)</f>
        <v>129800</v>
      </c>
      <c r="D76" s="1162"/>
      <c r="E76" s="1242">
        <f>123500+6300</f>
        <v>129800</v>
      </c>
    </row>
    <row r="77" spans="1:5" s="942" customFormat="1" ht="31.5" customHeight="1">
      <c r="A77" s="1243">
        <v>85220</v>
      </c>
      <c r="B77" s="1244" t="s">
        <v>442</v>
      </c>
      <c r="C77" s="1165">
        <f>SUM(D77:E77)</f>
        <v>196000</v>
      </c>
      <c r="D77" s="1166"/>
      <c r="E77" s="1183">
        <f>E78</f>
        <v>196000</v>
      </c>
    </row>
    <row r="78" spans="1:5" s="942" customFormat="1" ht="28.5" customHeight="1">
      <c r="A78" s="1160">
        <v>2820</v>
      </c>
      <c r="B78" s="1161" t="s">
        <v>526</v>
      </c>
      <c r="C78" s="1185">
        <f>SUM(D78:E78)</f>
        <v>196000</v>
      </c>
      <c r="D78" s="1162"/>
      <c r="E78" s="1242">
        <v>196000</v>
      </c>
    </row>
    <row r="79" spans="1:5" s="1202" customFormat="1" ht="18" customHeight="1">
      <c r="A79" s="1245">
        <v>85295</v>
      </c>
      <c r="B79" s="1219" t="s">
        <v>268</v>
      </c>
      <c r="C79" s="1220">
        <f>C80</f>
        <v>150000</v>
      </c>
      <c r="D79" s="1221">
        <f>D80</f>
        <v>150000</v>
      </c>
      <c r="E79" s="1246"/>
    </row>
    <row r="80" spans="1:5" s="1132" customFormat="1" ht="30.75" customHeight="1" thickBot="1">
      <c r="A80" s="1188">
        <v>2820</v>
      </c>
      <c r="B80" s="1198" t="s">
        <v>526</v>
      </c>
      <c r="C80" s="1169">
        <f>SUM(D80:E80)</f>
        <v>150000</v>
      </c>
      <c r="D80" s="1200">
        <v>150000</v>
      </c>
      <c r="E80" s="1781"/>
    </row>
    <row r="81" spans="1:5" s="1132" customFormat="1" ht="29.25" customHeight="1" thickBot="1" thickTop="1">
      <c r="A81" s="1116">
        <v>853</v>
      </c>
      <c r="B81" s="1151" t="s">
        <v>164</v>
      </c>
      <c r="C81" s="1228">
        <f>C82+C85+C87+C89</f>
        <v>5349753</v>
      </c>
      <c r="D81" s="1782">
        <f>D82</f>
        <v>3347000</v>
      </c>
      <c r="E81" s="1783">
        <f>E85+E89+E87</f>
        <v>2002753</v>
      </c>
    </row>
    <row r="82" spans="1:5" s="1132" customFormat="1" ht="19.5" customHeight="1" thickTop="1">
      <c r="A82" s="1247">
        <v>85305</v>
      </c>
      <c r="B82" s="1164" t="s">
        <v>366</v>
      </c>
      <c r="C82" s="1220">
        <f>SUM(C83:C84)</f>
        <v>3347000</v>
      </c>
      <c r="D82" s="1221">
        <f>SUM(D83:D84)</f>
        <v>3347000</v>
      </c>
      <c r="E82" s="1248"/>
    </row>
    <row r="83" spans="1:5" s="1132" customFormat="1" ht="17.25" customHeight="1">
      <c r="A83" s="1180">
        <v>2510</v>
      </c>
      <c r="B83" s="1198" t="s">
        <v>544</v>
      </c>
      <c r="C83" s="1140">
        <f>SUM(D83:E83)</f>
        <v>3181000</v>
      </c>
      <c r="D83" s="1200">
        <f>3050000+26500+24500+80000</f>
        <v>3181000</v>
      </c>
      <c r="E83" s="1249"/>
    </row>
    <row r="84" spans="1:5" s="1132" customFormat="1" ht="38.25" customHeight="1">
      <c r="A84" s="1138">
        <v>6210</v>
      </c>
      <c r="B84" s="1139" t="s">
        <v>534</v>
      </c>
      <c r="C84" s="1140">
        <f>D84</f>
        <v>166000</v>
      </c>
      <c r="D84" s="1170">
        <v>166000</v>
      </c>
      <c r="E84" s="1250"/>
    </row>
    <row r="85" spans="1:5" s="1202" customFormat="1" ht="14.25" customHeight="1">
      <c r="A85" s="1251">
        <v>85311</v>
      </c>
      <c r="B85" s="1252" t="s">
        <v>367</v>
      </c>
      <c r="C85" s="1253">
        <f>C86</f>
        <v>199237</v>
      </c>
      <c r="D85" s="1221"/>
      <c r="E85" s="1246">
        <f>E86</f>
        <v>199237</v>
      </c>
    </row>
    <row r="86" spans="1:5" s="1132" customFormat="1" ht="27.75" customHeight="1">
      <c r="A86" s="1138">
        <v>2580</v>
      </c>
      <c r="B86" s="1139" t="s">
        <v>545</v>
      </c>
      <c r="C86" s="1140">
        <f aca="true" t="shared" si="0" ref="C86:C93">E86</f>
        <v>199237</v>
      </c>
      <c r="D86" s="1170"/>
      <c r="E86" s="1250">
        <f>200000+82852-83615</f>
        <v>199237</v>
      </c>
    </row>
    <row r="87" spans="1:5" s="1132" customFormat="1" ht="16.5" customHeight="1">
      <c r="A87" s="1251">
        <v>85333</v>
      </c>
      <c r="B87" s="1252" t="s">
        <v>707</v>
      </c>
      <c r="C87" s="1820">
        <f>E87</f>
        <v>1785580</v>
      </c>
      <c r="D87" s="2154"/>
      <c r="E87" s="2354">
        <f>E88</f>
        <v>1785580</v>
      </c>
    </row>
    <row r="88" spans="1:5" s="1132" customFormat="1" ht="27.75" customHeight="1">
      <c r="A88" s="1138">
        <v>2320</v>
      </c>
      <c r="B88" s="1139" t="s">
        <v>718</v>
      </c>
      <c r="C88" s="1140">
        <f>E88</f>
        <v>1785580</v>
      </c>
      <c r="D88" s="1170"/>
      <c r="E88" s="1250">
        <v>1785580</v>
      </c>
    </row>
    <row r="89" spans="1:5" s="1202" customFormat="1" ht="20.25" customHeight="1">
      <c r="A89" s="1245">
        <v>85395</v>
      </c>
      <c r="B89" s="1784" t="s">
        <v>268</v>
      </c>
      <c r="C89" s="1253">
        <f t="shared" si="0"/>
        <v>17936</v>
      </c>
      <c r="D89" s="1221"/>
      <c r="E89" s="1246">
        <f>SUM(E90:E93)</f>
        <v>17936</v>
      </c>
    </row>
    <row r="90" spans="1:5" s="1132" customFormat="1" ht="27.75" customHeight="1">
      <c r="A90" s="1188">
        <v>2338</v>
      </c>
      <c r="B90" s="1785" t="s">
        <v>769</v>
      </c>
      <c r="C90" s="1199">
        <f t="shared" si="0"/>
        <v>12369</v>
      </c>
      <c r="D90" s="1200"/>
      <c r="E90" s="1786">
        <f>9578+2791</f>
        <v>12369</v>
      </c>
    </row>
    <row r="91" spans="1:5" s="1132" customFormat="1" ht="27.75" customHeight="1">
      <c r="A91" s="1138">
        <v>2339</v>
      </c>
      <c r="B91" s="1787" t="s">
        <v>769</v>
      </c>
      <c r="C91" s="1140">
        <f t="shared" si="0"/>
        <v>166</v>
      </c>
      <c r="D91" s="1170"/>
      <c r="E91" s="1250">
        <f>129+37</f>
        <v>166</v>
      </c>
    </row>
    <row r="92" spans="1:5" s="1132" customFormat="1" ht="39.75" customHeight="1">
      <c r="A92" s="1138">
        <v>2678</v>
      </c>
      <c r="B92" s="1787" t="s">
        <v>770</v>
      </c>
      <c r="C92" s="1140">
        <f t="shared" si="0"/>
        <v>5329</v>
      </c>
      <c r="D92" s="1170"/>
      <c r="E92" s="1250">
        <f>3494+1835</f>
        <v>5329</v>
      </c>
    </row>
    <row r="93" spans="1:5" s="1132" customFormat="1" ht="40.5" customHeight="1" thickBot="1">
      <c r="A93" s="1204">
        <v>2679</v>
      </c>
      <c r="B93" s="1788" t="s">
        <v>770</v>
      </c>
      <c r="C93" s="1206">
        <f t="shared" si="0"/>
        <v>72</v>
      </c>
      <c r="D93" s="1207"/>
      <c r="E93" s="1254">
        <f>7+65</f>
        <v>72</v>
      </c>
    </row>
    <row r="94" spans="1:5" s="1121" customFormat="1" ht="19.5" customHeight="1" thickBot="1" thickTop="1">
      <c r="A94" s="1116">
        <v>854</v>
      </c>
      <c r="B94" s="1151" t="s">
        <v>166</v>
      </c>
      <c r="C94" s="1152">
        <f>C97+C95</f>
        <v>1271576</v>
      </c>
      <c r="D94" s="1172">
        <f>D97</f>
        <v>31000</v>
      </c>
      <c r="E94" s="1173">
        <f>E95</f>
        <v>1240576</v>
      </c>
    </row>
    <row r="95" spans="1:5" s="1121" customFormat="1" ht="16.5" customHeight="1" thickTop="1">
      <c r="A95" s="1133">
        <v>85419</v>
      </c>
      <c r="B95" s="1255" t="s">
        <v>376</v>
      </c>
      <c r="C95" s="1256">
        <f>C96</f>
        <v>1240576</v>
      </c>
      <c r="D95" s="1257"/>
      <c r="E95" s="1258">
        <f>E96</f>
        <v>1240576</v>
      </c>
    </row>
    <row r="96" spans="1:5" s="1264" customFormat="1" ht="16.5" customHeight="1">
      <c r="A96" s="1259">
        <v>2540</v>
      </c>
      <c r="B96" s="1260" t="s">
        <v>546</v>
      </c>
      <c r="C96" s="1261">
        <f>E96</f>
        <v>1240576</v>
      </c>
      <c r="D96" s="1262"/>
      <c r="E96" s="1263">
        <f>800000+293718+146858</f>
        <v>1240576</v>
      </c>
    </row>
    <row r="97" spans="1:5" s="1265" customFormat="1" ht="12.75" customHeight="1">
      <c r="A97" s="1245">
        <v>85495</v>
      </c>
      <c r="B97" s="1219" t="s">
        <v>268</v>
      </c>
      <c r="C97" s="1220">
        <f>C98</f>
        <v>31000</v>
      </c>
      <c r="D97" s="1221">
        <f>D98</f>
        <v>31000</v>
      </c>
      <c r="E97" s="1246"/>
    </row>
    <row r="98" spans="1:5" s="1267" customFormat="1" ht="25.5" customHeight="1" thickBot="1">
      <c r="A98" s="1138">
        <v>2820</v>
      </c>
      <c r="B98" s="1168" t="s">
        <v>542</v>
      </c>
      <c r="C98" s="1266">
        <f>SUM(D98:E98)</f>
        <v>31000</v>
      </c>
      <c r="D98" s="1170">
        <v>31000</v>
      </c>
      <c r="E98" s="1171"/>
    </row>
    <row r="99" spans="1:5" s="1267" customFormat="1" ht="30.75" customHeight="1" thickBot="1" thickTop="1">
      <c r="A99" s="1923">
        <v>900</v>
      </c>
      <c r="B99" s="1924" t="s">
        <v>170</v>
      </c>
      <c r="C99" s="1228">
        <f>C100+C102</f>
        <v>1485000</v>
      </c>
      <c r="D99" s="1782">
        <f>D100+D102</f>
        <v>1485000</v>
      </c>
      <c r="E99" s="1783"/>
    </row>
    <row r="100" spans="1:5" s="1267" customFormat="1" ht="18.75" customHeight="1" thickTop="1">
      <c r="A100" s="1925">
        <v>90013</v>
      </c>
      <c r="B100" s="1926" t="s">
        <v>685</v>
      </c>
      <c r="C100" s="2146">
        <f>C101</f>
        <v>285000</v>
      </c>
      <c r="D100" s="2147">
        <f>D101</f>
        <v>285000</v>
      </c>
      <c r="E100" s="2148"/>
    </row>
    <row r="101" spans="1:5" s="1267" customFormat="1" ht="26.25" customHeight="1">
      <c r="A101" s="2149">
        <v>2820</v>
      </c>
      <c r="B101" s="1161" t="s">
        <v>526</v>
      </c>
      <c r="C101" s="2150">
        <f>D101</f>
        <v>285000</v>
      </c>
      <c r="D101" s="2151">
        <f>300000-15000</f>
        <v>285000</v>
      </c>
      <c r="E101" s="2152"/>
    </row>
    <row r="102" spans="1:5" s="1267" customFormat="1" ht="15.75" customHeight="1">
      <c r="A102" s="1245">
        <v>90095</v>
      </c>
      <c r="B102" s="1219" t="s">
        <v>268</v>
      </c>
      <c r="C102" s="2153">
        <f>C103</f>
        <v>1200000</v>
      </c>
      <c r="D102" s="2154">
        <f>D103</f>
        <v>1200000</v>
      </c>
      <c r="E102" s="2155"/>
    </row>
    <row r="103" spans="1:5" s="1267" customFormat="1" ht="38.25" customHeight="1" thickBot="1">
      <c r="A103" s="1138">
        <v>6300</v>
      </c>
      <c r="B103" s="1168" t="s">
        <v>669</v>
      </c>
      <c r="C103" s="1266">
        <f>D103</f>
        <v>1200000</v>
      </c>
      <c r="D103" s="1170">
        <v>1200000</v>
      </c>
      <c r="E103" s="1171"/>
    </row>
    <row r="104" spans="1:5" s="1121" customFormat="1" ht="27" thickBot="1" thickTop="1">
      <c r="A104" s="1116">
        <v>921</v>
      </c>
      <c r="B104" s="1151" t="s">
        <v>172</v>
      </c>
      <c r="C104" s="1152">
        <f>C105+C108+C111+C114+C116+C118+C123+C121</f>
        <v>17751603</v>
      </c>
      <c r="D104" s="1172">
        <f>D105+D108+D111+D114+D116+D118+D123+D121</f>
        <v>6192203</v>
      </c>
      <c r="E104" s="1173">
        <f>E105+E108+E111+E114+E116+E118</f>
        <v>11559400</v>
      </c>
    </row>
    <row r="105" spans="1:5" s="2355" customFormat="1" ht="20.25" customHeight="1" thickTop="1">
      <c r="A105" s="1155">
        <v>92105</v>
      </c>
      <c r="B105" s="1156" t="s">
        <v>547</v>
      </c>
      <c r="C105" s="1157">
        <f>D105</f>
        <v>425600</v>
      </c>
      <c r="D105" s="1158">
        <f>D106+D107</f>
        <v>425600</v>
      </c>
      <c r="E105" s="1159"/>
    </row>
    <row r="106" spans="1:5" s="1267" customFormat="1" ht="26.25" customHeight="1">
      <c r="A106" s="2356">
        <v>2710</v>
      </c>
      <c r="B106" s="2357" t="s">
        <v>523</v>
      </c>
      <c r="C106" s="2358">
        <f>D106</f>
        <v>200000</v>
      </c>
      <c r="D106" s="2359">
        <v>200000</v>
      </c>
      <c r="E106" s="2360"/>
    </row>
    <row r="107" spans="1:5" s="2361" customFormat="1" ht="26.25" customHeight="1">
      <c r="A107" s="1138">
        <v>2820</v>
      </c>
      <c r="B107" s="1184" t="s">
        <v>526</v>
      </c>
      <c r="C107" s="1140">
        <f>SUM(D107:E107)</f>
        <v>225600</v>
      </c>
      <c r="D107" s="1268">
        <f>210000+13000+2600</f>
        <v>225600</v>
      </c>
      <c r="E107" s="1250"/>
    </row>
    <row r="108" spans="1:5" s="1121" customFormat="1" ht="18" customHeight="1">
      <c r="A108" s="1247">
        <v>92106</v>
      </c>
      <c r="B108" s="1269" t="s">
        <v>548</v>
      </c>
      <c r="C108" s="1270">
        <f>E108</f>
        <v>3199000</v>
      </c>
      <c r="D108" s="1271"/>
      <c r="E108" s="1272">
        <f>E109+E110</f>
        <v>3199000</v>
      </c>
    </row>
    <row r="109" spans="1:5" s="1202" customFormat="1" ht="16.5" customHeight="1">
      <c r="A109" s="1180">
        <v>2480</v>
      </c>
      <c r="B109" s="1181" t="s">
        <v>549</v>
      </c>
      <c r="C109" s="1140">
        <f>SUM(D109:E109)</f>
        <v>3091000</v>
      </c>
      <c r="D109" s="1273"/>
      <c r="E109" s="1274">
        <f>2591000+500000</f>
        <v>3091000</v>
      </c>
    </row>
    <row r="110" spans="1:5" s="1202" customFormat="1" ht="36.75" customHeight="1">
      <c r="A110" s="1927">
        <v>6220</v>
      </c>
      <c r="B110" s="1928" t="s">
        <v>551</v>
      </c>
      <c r="C110" s="1929">
        <f>E110</f>
        <v>108000</v>
      </c>
      <c r="D110" s="1930"/>
      <c r="E110" s="1931">
        <f>40000+68000</f>
        <v>108000</v>
      </c>
    </row>
    <row r="111" spans="1:5" s="1121" customFormat="1" ht="18" customHeight="1">
      <c r="A111" s="1247">
        <v>92108</v>
      </c>
      <c r="B111" s="1269" t="s">
        <v>388</v>
      </c>
      <c r="C111" s="1270">
        <f>SUM(C112:C113)</f>
        <v>3402000</v>
      </c>
      <c r="D111" s="1271"/>
      <c r="E111" s="1272">
        <f>SUM(E112:E113)</f>
        <v>3402000</v>
      </c>
    </row>
    <row r="112" spans="1:5" s="1202" customFormat="1" ht="14.25" customHeight="1">
      <c r="A112" s="1180">
        <v>2480</v>
      </c>
      <c r="B112" s="1181" t="s">
        <v>549</v>
      </c>
      <c r="C112" s="1140">
        <f>SUM(D112:E112)</f>
        <v>3322000</v>
      </c>
      <c r="D112" s="1268"/>
      <c r="E112" s="1250">
        <f>3127000+170000+25000</f>
        <v>3322000</v>
      </c>
    </row>
    <row r="113" spans="1:5" s="1202" customFormat="1" ht="39.75" customHeight="1">
      <c r="A113" s="1927">
        <v>6220</v>
      </c>
      <c r="B113" s="1928" t="s">
        <v>551</v>
      </c>
      <c r="C113" s="1140">
        <f>E113</f>
        <v>80000</v>
      </c>
      <c r="D113" s="1268"/>
      <c r="E113" s="1250">
        <v>80000</v>
      </c>
    </row>
    <row r="114" spans="1:5" s="1121" customFormat="1" ht="17.25" customHeight="1">
      <c r="A114" s="1247">
        <v>92109</v>
      </c>
      <c r="B114" s="1269" t="s">
        <v>550</v>
      </c>
      <c r="C114" s="1270">
        <f>SUM(C115:C115)</f>
        <v>3614000</v>
      </c>
      <c r="D114" s="1271">
        <f>SUM(D115:D115)</f>
        <v>3614000</v>
      </c>
      <c r="E114" s="1272"/>
    </row>
    <row r="115" spans="1:5" s="1132" customFormat="1" ht="15" customHeight="1">
      <c r="A115" s="1180">
        <v>2480</v>
      </c>
      <c r="B115" s="1181" t="s">
        <v>549</v>
      </c>
      <c r="C115" s="1140">
        <f>SUM(D115:E115)</f>
        <v>3614000</v>
      </c>
      <c r="D115" s="1273">
        <f>2419000+150000+840000+30000+25000+150000</f>
        <v>3614000</v>
      </c>
      <c r="E115" s="1274"/>
    </row>
    <row r="116" spans="1:5" s="1121" customFormat="1" ht="18.75" customHeight="1">
      <c r="A116" s="1194">
        <v>92116</v>
      </c>
      <c r="B116" s="1275" t="s">
        <v>389</v>
      </c>
      <c r="C116" s="1270">
        <f>C117</f>
        <v>4043100</v>
      </c>
      <c r="D116" s="1271">
        <f>D117</f>
        <v>1368000</v>
      </c>
      <c r="E116" s="1272">
        <f>E117</f>
        <v>2675100</v>
      </c>
    </row>
    <row r="117" spans="1:5" s="1132" customFormat="1" ht="19.5" customHeight="1">
      <c r="A117" s="1180">
        <v>2480</v>
      </c>
      <c r="B117" s="1181" t="s">
        <v>549</v>
      </c>
      <c r="C117" s="2213">
        <f>SUM(D117:E117)</f>
        <v>4043100</v>
      </c>
      <c r="D117" s="1273">
        <f>1328000+20000+20000</f>
        <v>1368000</v>
      </c>
      <c r="E117" s="1274">
        <f>2576400+40000+46700+32000-20000</f>
        <v>2675100</v>
      </c>
    </row>
    <row r="118" spans="1:5" s="1121" customFormat="1" ht="16.5" customHeight="1">
      <c r="A118" s="1247">
        <v>92118</v>
      </c>
      <c r="B118" s="1269" t="s">
        <v>390</v>
      </c>
      <c r="C118" s="1270">
        <f>SUM(C119:C120)</f>
        <v>2283300</v>
      </c>
      <c r="D118" s="1271"/>
      <c r="E118" s="1272">
        <f>SUM(E119:E120)</f>
        <v>2283300</v>
      </c>
    </row>
    <row r="119" spans="1:5" s="1121" customFormat="1" ht="18" customHeight="1">
      <c r="A119" s="1180">
        <v>2480</v>
      </c>
      <c r="B119" s="1181" t="s">
        <v>549</v>
      </c>
      <c r="C119" s="1140">
        <f>SUM(D119:E119)</f>
        <v>1926300</v>
      </c>
      <c r="D119" s="1276"/>
      <c r="E119" s="1274">
        <f>1912300+14000</f>
        <v>1926300</v>
      </c>
    </row>
    <row r="120" spans="1:5" s="1282" customFormat="1" ht="40.5" customHeight="1">
      <c r="A120" s="1277">
        <v>6220</v>
      </c>
      <c r="B120" s="1278" t="s">
        <v>551</v>
      </c>
      <c r="C120" s="1279">
        <f>E120</f>
        <v>357000</v>
      </c>
      <c r="D120" s="1280"/>
      <c r="E120" s="1281">
        <v>357000</v>
      </c>
    </row>
    <row r="121" spans="1:5" s="1282" customFormat="1" ht="19.5" customHeight="1">
      <c r="A121" s="1813">
        <v>92120</v>
      </c>
      <c r="B121" s="1814" t="s">
        <v>658</v>
      </c>
      <c r="C121" s="1815">
        <f>D121</f>
        <v>468603</v>
      </c>
      <c r="D121" s="1816">
        <f>D122</f>
        <v>468603</v>
      </c>
      <c r="E121" s="1817"/>
    </row>
    <row r="122" spans="1:5" s="1282" customFormat="1" ht="48" customHeight="1">
      <c r="A122" s="1277">
        <v>2720</v>
      </c>
      <c r="B122" s="1278" t="s">
        <v>659</v>
      </c>
      <c r="C122" s="1279">
        <f>D122</f>
        <v>468603</v>
      </c>
      <c r="D122" s="1289">
        <f>879900+18588-429885</f>
        <v>468603</v>
      </c>
      <c r="E122" s="1281"/>
    </row>
    <row r="123" spans="1:5" s="1282" customFormat="1" ht="18" customHeight="1">
      <c r="A123" s="1283">
        <v>92195</v>
      </c>
      <c r="B123" s="1284" t="s">
        <v>268</v>
      </c>
      <c r="C123" s="1285">
        <f>D123</f>
        <v>316000</v>
      </c>
      <c r="D123" s="1286">
        <f>D124</f>
        <v>316000</v>
      </c>
      <c r="E123" s="1287"/>
    </row>
    <row r="124" spans="1:5" s="1282" customFormat="1" ht="24.75" customHeight="1" thickBot="1">
      <c r="A124" s="1277">
        <v>2480</v>
      </c>
      <c r="B124" s="1288" t="s">
        <v>549</v>
      </c>
      <c r="C124" s="1279">
        <f>D124</f>
        <v>316000</v>
      </c>
      <c r="D124" s="1289">
        <f>500000-40000-14000-25000-25000-80000</f>
        <v>316000</v>
      </c>
      <c r="E124" s="1281"/>
    </row>
    <row r="125" spans="1:5" s="1121" customFormat="1" ht="21.75" customHeight="1" thickBot="1" thickTop="1">
      <c r="A125" s="1116">
        <v>926</v>
      </c>
      <c r="B125" s="1151" t="s">
        <v>174</v>
      </c>
      <c r="C125" s="1152">
        <f>D125+E125</f>
        <v>4338000</v>
      </c>
      <c r="D125" s="1172">
        <f>D126+D128</f>
        <v>4338000</v>
      </c>
      <c r="E125" s="1173"/>
    </row>
    <row r="126" spans="1:5" s="1121" customFormat="1" ht="17.25" customHeight="1" thickTop="1">
      <c r="A126" s="1290">
        <v>92605</v>
      </c>
      <c r="B126" s="1291" t="s">
        <v>396</v>
      </c>
      <c r="C126" s="1256">
        <f>C127</f>
        <v>3788000</v>
      </c>
      <c r="D126" s="1292">
        <f>D127</f>
        <v>3788000</v>
      </c>
      <c r="E126" s="1293"/>
    </row>
    <row r="127" spans="1:5" s="1132" customFormat="1" ht="26.25" customHeight="1">
      <c r="A127" s="1180">
        <v>2820</v>
      </c>
      <c r="B127" s="1198" t="s">
        <v>542</v>
      </c>
      <c r="C127" s="1140">
        <f>SUM(D127:E127)</f>
        <v>3788000</v>
      </c>
      <c r="D127" s="1294">
        <f>3400000+115000+8000+245000+20000</f>
        <v>3788000</v>
      </c>
      <c r="E127" s="1249"/>
    </row>
    <row r="128" spans="1:5" s="1132" customFormat="1" ht="16.5" customHeight="1">
      <c r="A128" s="1818">
        <v>92695</v>
      </c>
      <c r="B128" s="1819" t="s">
        <v>268</v>
      </c>
      <c r="C128" s="1820">
        <f>D128</f>
        <v>550000</v>
      </c>
      <c r="D128" s="1821">
        <f>SUM(D129:D130)</f>
        <v>550000</v>
      </c>
      <c r="E128" s="1822"/>
    </row>
    <row r="129" spans="1:5" s="1132" customFormat="1" ht="26.25" customHeight="1">
      <c r="A129" s="1932">
        <v>2820</v>
      </c>
      <c r="B129" s="1198" t="s">
        <v>542</v>
      </c>
      <c r="C129" s="1199">
        <f>D129</f>
        <v>485000</v>
      </c>
      <c r="D129" s="1933">
        <f>550000-65000</f>
        <v>485000</v>
      </c>
      <c r="E129" s="1934"/>
    </row>
    <row r="130" spans="1:5" s="1132" customFormat="1" ht="37.5" customHeight="1" thickBot="1">
      <c r="A130" s="1823">
        <v>6230</v>
      </c>
      <c r="B130" s="1935" t="s">
        <v>670</v>
      </c>
      <c r="C130" s="1206">
        <f>D130</f>
        <v>65000</v>
      </c>
      <c r="D130" s="1799">
        <v>65000</v>
      </c>
      <c r="E130" s="1800"/>
    </row>
    <row r="131" spans="1:5" s="1121" customFormat="1" ht="18" customHeight="1" thickTop="1">
      <c r="A131" s="1295"/>
      <c r="B131" s="1296" t="s">
        <v>126</v>
      </c>
      <c r="C131" s="1297">
        <f>C14+C22+C29+C34+C59+C69+C81+C104+C125+C94+C18+C11+C99+C54</f>
        <v>65514507</v>
      </c>
      <c r="D131" s="1298">
        <f>D14+D22+D29+D34+D59+D69+D81+D104+D125+D94+D18+D11+D54+D99</f>
        <v>41801129</v>
      </c>
      <c r="E131" s="1299">
        <f>E14+E22+E29+E34+E59+E69+E81+E104+E125+E94</f>
        <v>23713378</v>
      </c>
    </row>
    <row r="132" spans="1:5" ht="9.75" customHeight="1">
      <c r="A132" s="1300"/>
      <c r="B132" s="1301" t="s">
        <v>552</v>
      </c>
      <c r="C132" s="1302"/>
      <c r="D132" s="1303"/>
      <c r="E132" s="1304"/>
    </row>
    <row r="133" spans="1:5" ht="14.25" customHeight="1">
      <c r="A133" s="1300"/>
      <c r="B133" s="1301" t="s">
        <v>553</v>
      </c>
      <c r="C133" s="1305">
        <f>SUM(D133:E133)</f>
        <v>62620607</v>
      </c>
      <c r="D133" s="1306">
        <f>D131-D134</f>
        <v>39848829</v>
      </c>
      <c r="E133" s="1307">
        <f>E131-E134</f>
        <v>22771778</v>
      </c>
    </row>
    <row r="134" spans="1:5" ht="16.5" thickBot="1">
      <c r="A134" s="1308"/>
      <c r="B134" s="1309" t="s">
        <v>554</v>
      </c>
      <c r="C134" s="1310">
        <f>SUM(D134:E134)</f>
        <v>2893900</v>
      </c>
      <c r="D134" s="1311">
        <f>D42+D84+D120+D103+D130+D68+D21</f>
        <v>1952300</v>
      </c>
      <c r="E134" s="1312">
        <f>E42+E84+E120+E31+E110+E25+E113</f>
        <v>941600</v>
      </c>
    </row>
    <row r="135" spans="1:5" ht="16.5" thickTop="1">
      <c r="A135" s="87" t="s">
        <v>423</v>
      </c>
      <c r="B135" s="1313"/>
      <c r="C135" s="1314"/>
      <c r="D135" s="1314"/>
      <c r="E135" s="1314"/>
    </row>
    <row r="136" spans="1:5" ht="15.75">
      <c r="A136" s="87" t="s">
        <v>181</v>
      </c>
      <c r="B136" s="1315"/>
      <c r="C136" s="1314"/>
      <c r="D136" s="1314"/>
      <c r="E136" s="1314"/>
    </row>
    <row r="137" spans="1:5" ht="15.75">
      <c r="A137" s="87" t="s">
        <v>40</v>
      </c>
      <c r="B137" s="1315"/>
      <c r="C137" s="1314"/>
      <c r="D137" s="1314"/>
      <c r="E137" s="1314"/>
    </row>
    <row r="138" spans="2:5" ht="15.75">
      <c r="B138" s="1315"/>
      <c r="C138" s="1314"/>
      <c r="D138" s="1314"/>
      <c r="E138" s="1314"/>
    </row>
    <row r="139" spans="2:5" ht="15.75">
      <c r="B139" s="1315"/>
      <c r="C139" s="1314"/>
      <c r="D139" s="1314"/>
      <c r="E139" s="1314"/>
    </row>
    <row r="140" spans="2:5" ht="15.75">
      <c r="B140" s="1315"/>
      <c r="C140" s="1314"/>
      <c r="D140" s="1314"/>
      <c r="E140" s="1314"/>
    </row>
    <row r="141" spans="2:5" ht="15.75">
      <c r="B141" s="1315"/>
      <c r="C141" s="1314"/>
      <c r="D141" s="1314"/>
      <c r="E141" s="1314"/>
    </row>
    <row r="142" spans="2:5" ht="15.75">
      <c r="B142" s="1315"/>
      <c r="C142" s="1314"/>
      <c r="D142" s="1314"/>
      <c r="E142" s="1314"/>
    </row>
    <row r="143" spans="2:5" ht="15.75">
      <c r="B143" s="1315"/>
      <c r="C143" s="1314"/>
      <c r="D143" s="1314"/>
      <c r="E143" s="1314"/>
    </row>
    <row r="144" spans="2:5" ht="15.75">
      <c r="B144" s="1315"/>
      <c r="C144" s="1314"/>
      <c r="D144" s="1314"/>
      <c r="E144" s="1314"/>
    </row>
    <row r="145" spans="2:5" ht="15.75">
      <c r="B145" s="1315"/>
      <c r="C145" s="1314"/>
      <c r="D145" s="1314"/>
      <c r="E145" s="1314"/>
    </row>
    <row r="146" spans="2:5" ht="15.75">
      <c r="B146" s="1315"/>
      <c r="C146" s="1314"/>
      <c r="D146" s="1314"/>
      <c r="E146" s="1314"/>
    </row>
    <row r="147" spans="2:5" ht="15.75">
      <c r="B147" s="1315"/>
      <c r="C147" s="1314"/>
      <c r="D147" s="1314"/>
      <c r="E147" s="1314"/>
    </row>
    <row r="148" spans="2:5" ht="15.75">
      <c r="B148" s="1315"/>
      <c r="C148" s="1314"/>
      <c r="D148" s="1314"/>
      <c r="E148" s="1314"/>
    </row>
    <row r="149" spans="2:5" ht="15.75">
      <c r="B149" s="1315"/>
      <c r="C149" s="1314"/>
      <c r="D149" s="1314"/>
      <c r="E149" s="1314"/>
    </row>
    <row r="150" spans="2:5" ht="15.75">
      <c r="B150" s="1315"/>
      <c r="C150" s="1314"/>
      <c r="D150" s="1314"/>
      <c r="E150" s="1314"/>
    </row>
    <row r="151" spans="2:5" ht="15.75">
      <c r="B151" s="1315"/>
      <c r="C151" s="1314"/>
      <c r="D151" s="1314"/>
      <c r="E151" s="1314"/>
    </row>
    <row r="152" spans="2:5" ht="15.75">
      <c r="B152" s="1315"/>
      <c r="C152" s="1314"/>
      <c r="D152" s="1314"/>
      <c r="E152" s="1314"/>
    </row>
    <row r="153" spans="2:5" ht="15.75">
      <c r="B153" s="1315"/>
      <c r="C153" s="1314"/>
      <c r="D153" s="1314"/>
      <c r="E153" s="1314"/>
    </row>
    <row r="154" spans="2:5" ht="15.75">
      <c r="B154" s="1315"/>
      <c r="C154" s="1314"/>
      <c r="D154" s="1314"/>
      <c r="E154" s="1314"/>
    </row>
    <row r="155" spans="2:5" ht="15.75">
      <c r="B155" s="1315"/>
      <c r="C155" s="1314"/>
      <c r="D155" s="1314"/>
      <c r="E155" s="1314"/>
    </row>
    <row r="156" spans="2:5" ht="15.75">
      <c r="B156" s="1315"/>
      <c r="C156" s="1314"/>
      <c r="D156" s="1314"/>
      <c r="E156" s="1314"/>
    </row>
    <row r="157" spans="2:5" ht="15.75">
      <c r="B157" s="1315"/>
      <c r="C157" s="1314"/>
      <c r="D157" s="1314"/>
      <c r="E157" s="1314"/>
    </row>
    <row r="158" spans="2:5" ht="15.75">
      <c r="B158" s="1315"/>
      <c r="C158" s="1314"/>
      <c r="D158" s="1314"/>
      <c r="E158" s="1314"/>
    </row>
  </sheetData>
  <printOptions horizontalCentered="1"/>
  <pageMargins left="0.7874015748031497" right="0.7874015748031497" top="0.33" bottom="0.26" header="0.17" footer="0.21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11.7539062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737"/>
      <c r="B1" s="737"/>
      <c r="C1" s="737"/>
      <c r="D1" s="737"/>
      <c r="F1" s="94" t="s">
        <v>555</v>
      </c>
      <c r="G1" s="92"/>
      <c r="H1" s="88"/>
      <c r="I1" s="95"/>
      <c r="J1" s="91"/>
    </row>
    <row r="2" spans="1:10" ht="13.5" customHeight="1">
      <c r="A2" s="737"/>
      <c r="B2" s="737"/>
      <c r="C2" s="737"/>
      <c r="D2" s="737"/>
      <c r="F2" s="215" t="s">
        <v>746</v>
      </c>
      <c r="G2" s="92"/>
      <c r="H2" s="4"/>
      <c r="I2" s="95"/>
      <c r="J2" s="91"/>
    </row>
    <row r="3" spans="1:10" ht="15" customHeight="1">
      <c r="A3" s="737"/>
      <c r="B3" s="737"/>
      <c r="C3" s="737"/>
      <c r="D3" s="737"/>
      <c r="F3" s="4" t="s">
        <v>747</v>
      </c>
      <c r="G3" s="97"/>
      <c r="H3" s="4"/>
      <c r="I3" s="98"/>
      <c r="J3" s="99"/>
    </row>
    <row r="4" spans="1:10" ht="15" customHeight="1">
      <c r="A4" s="737"/>
      <c r="B4" s="737"/>
      <c r="C4" s="737"/>
      <c r="D4" s="737"/>
      <c r="F4" s="101"/>
      <c r="G4" s="97"/>
      <c r="H4" s="4"/>
      <c r="I4" s="98"/>
      <c r="J4" s="99"/>
    </row>
    <row r="5" spans="1:10" ht="16.5" customHeight="1">
      <c r="A5" s="737"/>
      <c r="B5" s="737"/>
      <c r="C5" s="737"/>
      <c r="D5" s="737"/>
      <c r="E5" s="4"/>
      <c r="F5" s="97"/>
      <c r="G5" s="97"/>
      <c r="H5" s="4"/>
      <c r="I5" s="98"/>
      <c r="J5" s="99"/>
    </row>
    <row r="6" spans="1:8" ht="57" customHeight="1">
      <c r="A6" s="2462" t="s">
        <v>556</v>
      </c>
      <c r="B6" s="2462"/>
      <c r="C6" s="2462"/>
      <c r="D6" s="2462"/>
      <c r="E6" s="2462"/>
      <c r="F6" s="2462"/>
      <c r="G6" s="2462"/>
      <c r="H6" s="1316"/>
    </row>
    <row r="7" spans="1:8" ht="6" customHeight="1">
      <c r="A7" s="1317"/>
      <c r="B7" s="1317"/>
      <c r="C7" s="1317"/>
      <c r="D7" s="1317"/>
      <c r="E7" s="1317"/>
      <c r="F7" s="1317"/>
      <c r="G7" s="1317"/>
      <c r="H7" s="1316"/>
    </row>
    <row r="8" spans="1:7" ht="21.75" customHeight="1" thickBot="1">
      <c r="A8" s="223" t="s">
        <v>525</v>
      </c>
      <c r="B8" s="1318"/>
      <c r="C8" s="1318"/>
      <c r="D8" s="1318"/>
      <c r="E8" s="1318"/>
      <c r="F8" s="1318"/>
      <c r="G8" s="733" t="s">
        <v>121</v>
      </c>
    </row>
    <row r="9" spans="1:12" ht="27.75" customHeight="1" thickBot="1" thickTop="1">
      <c r="A9" s="2459" t="s">
        <v>557</v>
      </c>
      <c r="B9" s="2514" t="s">
        <v>123</v>
      </c>
      <c r="C9" s="2516" t="s">
        <v>558</v>
      </c>
      <c r="D9" s="2518" t="s">
        <v>559</v>
      </c>
      <c r="E9" s="2519"/>
      <c r="F9" s="2519"/>
      <c r="G9" s="2520"/>
      <c r="L9" s="1319"/>
    </row>
    <row r="10" spans="1:7" ht="41.25" customHeight="1" thickBot="1" thickTop="1">
      <c r="A10" s="2513"/>
      <c r="B10" s="2515"/>
      <c r="C10" s="2517"/>
      <c r="D10" s="1320" t="s">
        <v>771</v>
      </c>
      <c r="E10" s="1320" t="s">
        <v>560</v>
      </c>
      <c r="F10" s="1321" t="s">
        <v>125</v>
      </c>
      <c r="G10" s="1322" t="s">
        <v>561</v>
      </c>
    </row>
    <row r="11" spans="1:12" ht="12.75" customHeight="1" thickTop="1">
      <c r="A11" s="1323">
        <v>1</v>
      </c>
      <c r="B11" s="1324">
        <v>2</v>
      </c>
      <c r="C11" s="1325">
        <v>3</v>
      </c>
      <c r="D11" s="1323">
        <v>4</v>
      </c>
      <c r="E11" s="1326">
        <v>5</v>
      </c>
      <c r="F11" s="1326">
        <v>6</v>
      </c>
      <c r="G11" s="1327">
        <v>7</v>
      </c>
      <c r="H11" s="1328"/>
      <c r="L11" s="1319"/>
    </row>
    <row r="12" spans="1:9" ht="35.25" customHeight="1">
      <c r="A12" s="1936">
        <v>1</v>
      </c>
      <c r="B12" s="1329" t="s">
        <v>562</v>
      </c>
      <c r="C12" s="879">
        <v>-300000</v>
      </c>
      <c r="D12" s="878">
        <v>29612000</v>
      </c>
      <c r="E12" s="1330">
        <f>6700000+400000+36000-300000</f>
        <v>6836000</v>
      </c>
      <c r="F12" s="1331">
        <v>36448000</v>
      </c>
      <c r="G12" s="879">
        <f>C12+D12+E12-F12</f>
        <v>-300000</v>
      </c>
      <c r="H12" s="1332"/>
      <c r="I12" s="1319"/>
    </row>
    <row r="13" spans="1:13" ht="31.5" customHeight="1">
      <c r="A13" s="1433">
        <v>2</v>
      </c>
      <c r="B13" s="1333" t="s">
        <v>563</v>
      </c>
      <c r="C13" s="1334">
        <v>-34429</v>
      </c>
      <c r="D13" s="1335">
        <v>794600</v>
      </c>
      <c r="E13" s="1336">
        <f>3050000+166000+26500+24500+80000</f>
        <v>3347000</v>
      </c>
      <c r="F13" s="1331">
        <f>4039671+166000+80000</f>
        <v>4285671</v>
      </c>
      <c r="G13" s="1334">
        <f>C13+D13+E13-F13</f>
        <v>-178500</v>
      </c>
      <c r="I13" s="1319"/>
      <c r="L13" s="1337"/>
      <c r="M13" s="1337"/>
    </row>
    <row r="14" spans="1:13" ht="32.25" customHeight="1">
      <c r="A14" s="1433">
        <v>3</v>
      </c>
      <c r="B14" s="1333" t="s">
        <v>564</v>
      </c>
      <c r="C14" s="1334">
        <v>-542100</v>
      </c>
      <c r="D14" s="1335">
        <v>5045900</v>
      </c>
      <c r="E14" s="1336">
        <f>13050000+66300+1610000-1250000+7000+850000+18300+174570</f>
        <v>14526170</v>
      </c>
      <c r="F14" s="1331">
        <f>19983830+174570</f>
        <v>20158400</v>
      </c>
      <c r="G14" s="1334">
        <f>C14+D14+E14-F14</f>
        <v>-1128430</v>
      </c>
      <c r="I14" s="1337"/>
      <c r="J14" s="1337"/>
      <c r="K14" s="1337"/>
      <c r="L14" s="1319"/>
      <c r="M14" s="1338"/>
    </row>
    <row r="15" spans="1:13" ht="37.5" customHeight="1" thickBot="1">
      <c r="A15" s="1937">
        <v>4</v>
      </c>
      <c r="B15" s="1339" t="s">
        <v>565</v>
      </c>
      <c r="C15" s="1340">
        <v>124180</v>
      </c>
      <c r="D15" s="1341">
        <v>181100</v>
      </c>
      <c r="E15" s="1342">
        <v>0</v>
      </c>
      <c r="F15" s="1343">
        <f>D15+E15</f>
        <v>181100</v>
      </c>
      <c r="G15" s="1340">
        <f>C15+D15+E15-F15</f>
        <v>124180</v>
      </c>
      <c r="M15" s="1319"/>
    </row>
    <row r="16" spans="1:7" ht="33.75" customHeight="1" thickBot="1" thickTop="1">
      <c r="A16" s="1344"/>
      <c r="B16" s="1345" t="s">
        <v>566</v>
      </c>
      <c r="C16" s="820">
        <f>SUM(C12:C15)</f>
        <v>-752349</v>
      </c>
      <c r="D16" s="1346">
        <f>SUM(D12:D15)</f>
        <v>35633600</v>
      </c>
      <c r="E16" s="1346">
        <f>SUM(E12:E15)</f>
        <v>24709170</v>
      </c>
      <c r="F16" s="1346">
        <f>SUM(F12:F15)</f>
        <v>61073171</v>
      </c>
      <c r="G16" s="1347">
        <f>SUM(G12:G15)</f>
        <v>-1482750</v>
      </c>
    </row>
    <row r="17" spans="1:13" ht="15.75" customHeight="1" thickTop="1">
      <c r="A17" s="87" t="s">
        <v>423</v>
      </c>
      <c r="I17" s="1319"/>
      <c r="J17" s="1319"/>
      <c r="K17" s="1319"/>
      <c r="L17" s="1319"/>
      <c r="M17" s="1319"/>
    </row>
    <row r="18" ht="15.75" customHeight="1">
      <c r="A18" s="87" t="s">
        <v>181</v>
      </c>
    </row>
    <row r="19" spans="1:13" ht="15.75" customHeight="1">
      <c r="A19" s="87" t="s">
        <v>40</v>
      </c>
      <c r="K19" s="1319"/>
      <c r="L19" s="1319"/>
      <c r="M19" s="1319"/>
    </row>
    <row r="21" ht="15.75" customHeight="1">
      <c r="L21" s="1319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7">
      <selection activeCell="A54" sqref="A54"/>
    </sheetView>
  </sheetViews>
  <sheetFormatPr defaultColWidth="9.00390625" defaultRowHeight="12.75"/>
  <cols>
    <col min="1" max="1" width="7.25390625" style="1348" customWidth="1"/>
    <col min="2" max="2" width="51.25390625" style="1348" customWidth="1"/>
    <col min="3" max="3" width="14.625" style="1349" customWidth="1"/>
    <col min="4" max="4" width="15.375" style="1349" customWidth="1"/>
    <col min="5" max="6" width="13.875" style="1349" customWidth="1"/>
    <col min="7" max="7" width="12.75390625" style="1349" customWidth="1"/>
    <col min="8" max="8" width="11.00390625" style="1349" customWidth="1"/>
    <col min="9" max="9" width="9.875" style="1348" customWidth="1"/>
    <col min="10" max="16384" width="9.125" style="1348" customWidth="1"/>
  </cols>
  <sheetData>
    <row r="1" spans="3:5" ht="12.75" customHeight="1">
      <c r="C1" s="737" t="s">
        <v>567</v>
      </c>
      <c r="E1"/>
    </row>
    <row r="2" spans="3:5" ht="12.75" customHeight="1">
      <c r="C2" s="6" t="s">
        <v>568</v>
      </c>
      <c r="E2"/>
    </row>
    <row r="3" spans="3:5" ht="12" customHeight="1">
      <c r="C3" s="4" t="s">
        <v>772</v>
      </c>
      <c r="E3"/>
    </row>
    <row r="4" spans="3:5" ht="12.75" customHeight="1" hidden="1">
      <c r="C4" s="6"/>
      <c r="E4"/>
    </row>
    <row r="5" spans="3:5" ht="11.25" customHeight="1" hidden="1">
      <c r="C5" s="737"/>
      <c r="D5"/>
      <c r="E5"/>
    </row>
    <row r="6" spans="3:5" ht="11.25" customHeight="1">
      <c r="C6" s="737"/>
      <c r="D6"/>
      <c r="E6"/>
    </row>
    <row r="7" spans="1:7" s="1352" customFormat="1" ht="18" customHeight="1">
      <c r="A7" s="1350" t="s">
        <v>578</v>
      </c>
      <c r="B7" s="1350"/>
      <c r="C7" s="1351"/>
      <c r="D7" s="1351"/>
      <c r="E7" s="1351"/>
      <c r="F7" s="1351"/>
      <c r="G7" s="1351"/>
    </row>
    <row r="8" spans="1:8" s="1352" customFormat="1" ht="18" customHeight="1">
      <c r="A8" s="1350" t="s">
        <v>579</v>
      </c>
      <c r="B8" s="1350"/>
      <c r="C8" s="1351"/>
      <c r="D8" s="1351"/>
      <c r="E8" s="1351"/>
      <c r="F8" s="1351"/>
      <c r="G8" s="1351"/>
      <c r="H8" s="1351"/>
    </row>
    <row r="9" spans="1:8" s="1352" customFormat="1" ht="18" customHeight="1">
      <c r="A9" s="1350" t="s">
        <v>580</v>
      </c>
      <c r="B9" s="1350"/>
      <c r="C9" s="1351"/>
      <c r="D9" s="1351"/>
      <c r="E9" s="1351"/>
      <c r="F9" s="1351"/>
      <c r="G9" s="1351"/>
      <c r="H9" s="1351"/>
    </row>
    <row r="10" spans="1:8" s="1352" customFormat="1" ht="18" customHeight="1">
      <c r="A10" s="1350" t="s">
        <v>581</v>
      </c>
      <c r="B10" s="1350"/>
      <c r="C10" s="1351"/>
      <c r="D10" s="1351"/>
      <c r="E10" s="1351"/>
      <c r="F10" s="1351"/>
      <c r="G10" s="1351"/>
      <c r="H10" s="1351"/>
    </row>
    <row r="11" spans="1:4" ht="13.5" customHeight="1" thickBot="1">
      <c r="A11" s="223" t="s">
        <v>525</v>
      </c>
      <c r="B11" s="1353"/>
      <c r="D11" s="1354" t="s">
        <v>121</v>
      </c>
    </row>
    <row r="12" spans="1:8" ht="15.75" customHeight="1" thickTop="1">
      <c r="A12" s="1355" t="s">
        <v>122</v>
      </c>
      <c r="B12" s="2521" t="s">
        <v>455</v>
      </c>
      <c r="C12" s="2523" t="s">
        <v>582</v>
      </c>
      <c r="D12" s="2525" t="s">
        <v>583</v>
      </c>
      <c r="E12" s="1356"/>
      <c r="F12" s="1348"/>
      <c r="G12" s="1348"/>
      <c r="H12" s="1348"/>
    </row>
    <row r="13" spans="1:8" ht="22.5" customHeight="1">
      <c r="A13" s="1357" t="s">
        <v>584</v>
      </c>
      <c r="B13" s="2522"/>
      <c r="C13" s="2524"/>
      <c r="D13" s="2526"/>
      <c r="E13" s="1348"/>
      <c r="F13" s="1348"/>
      <c r="G13" s="1348"/>
      <c r="H13" s="1348"/>
    </row>
    <row r="14" spans="1:4" s="72" customFormat="1" ht="9.75" customHeight="1" thickBot="1">
      <c r="A14" s="1358">
        <v>1</v>
      </c>
      <c r="B14" s="1359">
        <v>2</v>
      </c>
      <c r="C14" s="1360">
        <v>3</v>
      </c>
      <c r="D14" s="1361">
        <v>4</v>
      </c>
    </row>
    <row r="15" spans="1:4" s="1366" customFormat="1" ht="22.5" customHeight="1" thickBot="1" thickTop="1">
      <c r="A15" s="1362">
        <v>750</v>
      </c>
      <c r="B15" s="1363" t="s">
        <v>585</v>
      </c>
      <c r="C15" s="1364"/>
      <c r="D15" s="1365">
        <f>D16+D22</f>
        <v>66300</v>
      </c>
    </row>
    <row r="16" spans="1:4" s="1371" customFormat="1" ht="18" customHeight="1" thickTop="1">
      <c r="A16" s="1367">
        <v>75023</v>
      </c>
      <c r="B16" s="1368" t="s">
        <v>586</v>
      </c>
      <c r="C16" s="1369"/>
      <c r="D16" s="1370">
        <f>D17</f>
        <v>66300</v>
      </c>
    </row>
    <row r="17" spans="1:4" s="1376" customFormat="1" ht="15" customHeight="1">
      <c r="A17" s="1372"/>
      <c r="B17" s="1373" t="s">
        <v>587</v>
      </c>
      <c r="C17" s="1374"/>
      <c r="D17" s="1375">
        <f>SUM(D18:D21)</f>
        <v>66300</v>
      </c>
    </row>
    <row r="18" spans="1:4" s="68" customFormat="1" ht="15.75" customHeight="1">
      <c r="A18" s="1377">
        <v>4010</v>
      </c>
      <c r="B18" s="1378" t="s">
        <v>588</v>
      </c>
      <c r="C18" s="1379"/>
      <c r="D18" s="1380">
        <v>52500</v>
      </c>
    </row>
    <row r="19" spans="1:4" s="68" customFormat="1" ht="15.75" customHeight="1">
      <c r="A19" s="1377" t="s">
        <v>589</v>
      </c>
      <c r="B19" s="1378" t="s">
        <v>590</v>
      </c>
      <c r="C19" s="1379"/>
      <c r="D19" s="1380">
        <v>4000</v>
      </c>
    </row>
    <row r="20" spans="1:4" s="68" customFormat="1" ht="15.75" customHeight="1">
      <c r="A20" s="1377" t="s">
        <v>591</v>
      </c>
      <c r="B20" s="1378" t="s">
        <v>592</v>
      </c>
      <c r="C20" s="1379"/>
      <c r="D20" s="1380">
        <v>8500</v>
      </c>
    </row>
    <row r="21" spans="1:4" s="68" customFormat="1" ht="15.75" customHeight="1" thickBot="1">
      <c r="A21" s="1377" t="s">
        <v>593</v>
      </c>
      <c r="B21" s="1378" t="s">
        <v>594</v>
      </c>
      <c r="C21" s="1379"/>
      <c r="D21" s="1380">
        <v>1300</v>
      </c>
    </row>
    <row r="22" spans="1:4" s="1384" customFormat="1" ht="48" customHeight="1" thickBot="1" thickTop="1">
      <c r="A22" s="1362">
        <v>756</v>
      </c>
      <c r="B22" s="1381" t="s">
        <v>595</v>
      </c>
      <c r="C22" s="1382">
        <f>C24+C39</f>
        <v>2000000</v>
      </c>
      <c r="D22" s="1383"/>
    </row>
    <row r="23" spans="1:4" s="1389" customFormat="1" ht="28.5" customHeight="1" thickTop="1">
      <c r="A23" s="1385">
        <v>75618</v>
      </c>
      <c r="B23" s="1386" t="s">
        <v>599</v>
      </c>
      <c r="C23" s="1387">
        <f>C24</f>
        <v>2000000</v>
      </c>
      <c r="D23" s="1388"/>
    </row>
    <row r="24" spans="1:4" s="68" customFormat="1" ht="16.5" customHeight="1" thickBot="1">
      <c r="A24" s="1377" t="s">
        <v>600</v>
      </c>
      <c r="B24" s="1378" t="s">
        <v>601</v>
      </c>
      <c r="C24" s="1390">
        <v>2000000</v>
      </c>
      <c r="D24" s="1391"/>
    </row>
    <row r="25" spans="1:4" s="1366" customFormat="1" ht="21" customHeight="1" thickBot="1" thickTop="1">
      <c r="A25" s="1362">
        <v>851</v>
      </c>
      <c r="B25" s="1363" t="s">
        <v>602</v>
      </c>
      <c r="C25" s="1364"/>
      <c r="D25" s="1365">
        <f>D26+D31</f>
        <v>2859731</v>
      </c>
    </row>
    <row r="26" spans="1:4" s="1371" customFormat="1" ht="18" customHeight="1" thickTop="1">
      <c r="A26" s="1392">
        <v>85153</v>
      </c>
      <c r="B26" s="1368" t="s">
        <v>348</v>
      </c>
      <c r="C26" s="1369"/>
      <c r="D26" s="1370">
        <f>SUM(D27:D30)</f>
        <v>150000</v>
      </c>
    </row>
    <row r="27" spans="1:4" s="1396" customFormat="1" ht="27.75" customHeight="1">
      <c r="A27" s="1393">
        <v>2820</v>
      </c>
      <c r="B27" s="1394" t="s">
        <v>603</v>
      </c>
      <c r="C27" s="1395"/>
      <c r="D27" s="1380">
        <v>100000</v>
      </c>
    </row>
    <row r="28" spans="1:4" s="1396" customFormat="1" ht="14.25" customHeight="1">
      <c r="A28" s="1397">
        <v>3000</v>
      </c>
      <c r="B28" s="1378" t="s">
        <v>604</v>
      </c>
      <c r="C28" s="1395"/>
      <c r="D28" s="1380">
        <v>15000</v>
      </c>
    </row>
    <row r="29" spans="1:4" s="68" customFormat="1" ht="13.5" customHeight="1">
      <c r="A29" s="1397">
        <v>4210</v>
      </c>
      <c r="B29" s="1378" t="s">
        <v>605</v>
      </c>
      <c r="C29" s="1379"/>
      <c r="D29" s="1380">
        <v>5000</v>
      </c>
    </row>
    <row r="30" spans="1:4" s="68" customFormat="1" ht="13.5" customHeight="1">
      <c r="A30" s="1397">
        <v>4300</v>
      </c>
      <c r="B30" s="1378" t="s">
        <v>606</v>
      </c>
      <c r="C30" s="1379"/>
      <c r="D30" s="1380">
        <v>30000</v>
      </c>
    </row>
    <row r="31" spans="1:4" s="1371" customFormat="1" ht="18" customHeight="1">
      <c r="A31" s="1392">
        <v>85154</v>
      </c>
      <c r="B31" s="1398" t="s">
        <v>349</v>
      </c>
      <c r="C31" s="1399"/>
      <c r="D31" s="1400">
        <f>SUM(D32:D50)</f>
        <v>2709731</v>
      </c>
    </row>
    <row r="32" spans="1:4" s="1396" customFormat="1" ht="21" customHeight="1" hidden="1">
      <c r="A32" s="1393">
        <v>2480</v>
      </c>
      <c r="B32" s="784" t="s">
        <v>607</v>
      </c>
      <c r="C32" s="1395"/>
      <c r="D32" s="1380"/>
    </row>
    <row r="33" spans="1:4" s="1396" customFormat="1" ht="27" customHeight="1">
      <c r="A33" s="1397">
        <v>2820</v>
      </c>
      <c r="B33" s="1378" t="s">
        <v>603</v>
      </c>
      <c r="C33" s="1379"/>
      <c r="D33" s="1380">
        <v>800000</v>
      </c>
    </row>
    <row r="34" spans="1:4" s="68" customFormat="1" ht="25.5">
      <c r="A34" s="1397">
        <v>3030</v>
      </c>
      <c r="B34" s="1378" t="s">
        <v>608</v>
      </c>
      <c r="C34" s="1379"/>
      <c r="D34" s="1380">
        <v>0</v>
      </c>
    </row>
    <row r="35" spans="1:4" s="68" customFormat="1" ht="14.25" customHeight="1">
      <c r="A35" s="1397">
        <v>3000</v>
      </c>
      <c r="B35" s="1790" t="s">
        <v>604</v>
      </c>
      <c r="C35" s="1379"/>
      <c r="D35" s="1380">
        <v>63600</v>
      </c>
    </row>
    <row r="36" spans="1:4" s="68" customFormat="1" ht="15" customHeight="1">
      <c r="A36" s="1401">
        <v>4170</v>
      </c>
      <c r="B36" s="1402" t="s">
        <v>609</v>
      </c>
      <c r="C36" s="1379"/>
      <c r="D36" s="1380">
        <v>60000</v>
      </c>
    </row>
    <row r="37" spans="1:4" s="68" customFormat="1" ht="15" customHeight="1">
      <c r="A37" s="1401">
        <v>4210</v>
      </c>
      <c r="B37" s="1402" t="s">
        <v>605</v>
      </c>
      <c r="C37" s="1379"/>
      <c r="D37" s="1380">
        <v>321142</v>
      </c>
    </row>
    <row r="38" spans="1:4" s="68" customFormat="1" ht="15" customHeight="1">
      <c r="A38" s="1401">
        <v>4220</v>
      </c>
      <c r="B38" s="1402" t="s">
        <v>653</v>
      </c>
      <c r="C38" s="1379"/>
      <c r="D38" s="1380">
        <v>22000</v>
      </c>
    </row>
    <row r="39" spans="1:4" s="1396" customFormat="1" ht="15" customHeight="1">
      <c r="A39" s="1397">
        <v>4240</v>
      </c>
      <c r="B39" s="1378" t="s">
        <v>610</v>
      </c>
      <c r="C39" s="1379"/>
      <c r="D39" s="1380">
        <v>12000</v>
      </c>
    </row>
    <row r="40" spans="1:4" s="1396" customFormat="1" ht="15" customHeight="1">
      <c r="A40" s="1397">
        <v>4270</v>
      </c>
      <c r="B40" s="1378" t="s">
        <v>611</v>
      </c>
      <c r="C40" s="1379"/>
      <c r="D40" s="1380">
        <v>364838</v>
      </c>
    </row>
    <row r="41" spans="1:4" s="68" customFormat="1" ht="15" customHeight="1">
      <c r="A41" s="1397">
        <v>4300</v>
      </c>
      <c r="B41" s="1378" t="s">
        <v>606</v>
      </c>
      <c r="C41" s="1379"/>
      <c r="D41" s="1380">
        <v>818741</v>
      </c>
    </row>
    <row r="42" spans="1:4" s="68" customFormat="1" ht="15" customHeight="1" hidden="1">
      <c r="A42" s="1397">
        <v>4390</v>
      </c>
      <c r="B42" s="1378" t="s">
        <v>612</v>
      </c>
      <c r="C42" s="1379"/>
      <c r="D42" s="1380">
        <v>0</v>
      </c>
    </row>
    <row r="43" spans="1:4" s="68" customFormat="1" ht="15" customHeight="1">
      <c r="A43" s="1397">
        <v>4410</v>
      </c>
      <c r="B43" s="1378" t="s">
        <v>613</v>
      </c>
      <c r="C43" s="1379"/>
      <c r="D43" s="1380">
        <v>2000</v>
      </c>
    </row>
    <row r="44" spans="1:4" s="68" customFormat="1" ht="15" customHeight="1" hidden="1">
      <c r="A44" s="69">
        <v>4430</v>
      </c>
      <c r="B44" s="1378" t="s">
        <v>614</v>
      </c>
      <c r="C44" s="1379"/>
      <c r="D44" s="1380">
        <v>0</v>
      </c>
    </row>
    <row r="45" spans="1:4" s="68" customFormat="1" ht="15" customHeight="1">
      <c r="A45" s="69">
        <v>4610</v>
      </c>
      <c r="B45" s="1378" t="s">
        <v>615</v>
      </c>
      <c r="C45" s="1379"/>
      <c r="D45" s="1380">
        <v>3000</v>
      </c>
    </row>
    <row r="46" spans="1:4" s="68" customFormat="1" ht="25.5">
      <c r="A46" s="69">
        <v>4700</v>
      </c>
      <c r="B46" s="1378" t="s">
        <v>616</v>
      </c>
      <c r="C46" s="1379"/>
      <c r="D46" s="1380">
        <v>3000</v>
      </c>
    </row>
    <row r="47" spans="1:4" s="68" customFormat="1" ht="17.25" customHeight="1" hidden="1">
      <c r="A47" s="69">
        <v>4740</v>
      </c>
      <c r="B47" s="1804" t="s">
        <v>617</v>
      </c>
      <c r="C47" s="1379"/>
      <c r="D47" s="1380"/>
    </row>
    <row r="48" spans="1:4" s="68" customFormat="1" ht="14.25" customHeight="1">
      <c r="A48" s="69">
        <v>4750</v>
      </c>
      <c r="B48" s="1473" t="s">
        <v>654</v>
      </c>
      <c r="C48" s="1379"/>
      <c r="D48" s="1380">
        <v>1000</v>
      </c>
    </row>
    <row r="49" spans="1:4" s="68" customFormat="1" ht="14.25" customHeight="1">
      <c r="A49" s="69">
        <v>6050</v>
      </c>
      <c r="B49" s="784" t="s">
        <v>618</v>
      </c>
      <c r="C49" s="1379"/>
      <c r="D49" s="1380">
        <v>123590</v>
      </c>
    </row>
    <row r="50" spans="1:4" s="68" customFormat="1" ht="15.75" customHeight="1" thickBot="1">
      <c r="A50" s="69">
        <v>6060</v>
      </c>
      <c r="B50" s="1403" t="s">
        <v>437</v>
      </c>
      <c r="C50" s="1379"/>
      <c r="D50" s="1380">
        <v>114820</v>
      </c>
    </row>
    <row r="51" spans="1:4" s="1366" customFormat="1" ht="20.25" customHeight="1" thickBot="1" thickTop="1">
      <c r="A51" s="1404"/>
      <c r="B51" s="1405" t="s">
        <v>619</v>
      </c>
      <c r="C51" s="1382">
        <f>C15+C22+C25</f>
        <v>2000000</v>
      </c>
      <c r="D51" s="1365">
        <f>D15+D22+D25</f>
        <v>2926031</v>
      </c>
    </row>
    <row r="52" spans="1:9" s="68" customFormat="1" ht="13.5" thickTop="1">
      <c r="A52" s="87" t="s">
        <v>620</v>
      </c>
      <c r="B52" s="1406"/>
      <c r="C52" s="1407"/>
      <c r="D52" s="1407"/>
      <c r="E52" s="1407"/>
      <c r="F52" s="1407"/>
      <c r="G52" s="1407"/>
      <c r="H52" s="1407"/>
      <c r="I52" s="1408"/>
    </row>
    <row r="53" spans="1:8" s="68" customFormat="1" ht="12.75">
      <c r="A53" s="87" t="s">
        <v>181</v>
      </c>
      <c r="B53" s="1406"/>
      <c r="C53" s="1407"/>
      <c r="D53" s="1407"/>
      <c r="E53" s="1407"/>
      <c r="F53" s="1407"/>
      <c r="G53" s="1407"/>
      <c r="H53" s="1407"/>
    </row>
    <row r="54" spans="1:8" s="68" customFormat="1" ht="12.75">
      <c r="A54" s="87" t="s">
        <v>40</v>
      </c>
      <c r="B54" s="1406"/>
      <c r="C54" s="1407"/>
      <c r="D54" s="1407"/>
      <c r="E54" s="1407"/>
      <c r="F54" s="1407"/>
      <c r="G54" s="1407"/>
      <c r="H54" s="1407"/>
    </row>
    <row r="55" spans="2:8" s="68" customFormat="1" ht="12.75">
      <c r="B55" s="1406"/>
      <c r="C55" s="1407"/>
      <c r="D55" s="1407"/>
      <c r="E55" s="1407"/>
      <c r="F55" s="1407"/>
      <c r="G55" s="1407"/>
      <c r="H55" s="1407"/>
    </row>
    <row r="56" spans="2:8" s="68" customFormat="1" ht="12.75">
      <c r="B56" s="1406"/>
      <c r="C56" s="1407"/>
      <c r="D56" s="1407"/>
      <c r="E56" s="1407"/>
      <c r="F56" s="1407"/>
      <c r="G56" s="1407"/>
      <c r="H56" s="1407"/>
    </row>
    <row r="57" spans="2:8" s="68" customFormat="1" ht="12.75">
      <c r="B57" s="1406"/>
      <c r="C57" s="1407"/>
      <c r="D57" s="1407"/>
      <c r="E57" s="1407"/>
      <c r="F57" s="1407"/>
      <c r="G57" s="1407"/>
      <c r="H57" s="1407"/>
    </row>
    <row r="58" spans="2:8" s="68" customFormat="1" ht="12.75">
      <c r="B58" s="1406"/>
      <c r="C58" s="1407"/>
      <c r="D58" s="1407"/>
      <c r="E58" s="1407"/>
      <c r="F58" s="1407"/>
      <c r="G58" s="1407"/>
      <c r="H58" s="1407"/>
    </row>
    <row r="59" spans="3:8" s="68" customFormat="1" ht="12.75">
      <c r="C59" s="1407"/>
      <c r="D59" s="1407"/>
      <c r="E59" s="1407"/>
      <c r="F59" s="1407"/>
      <c r="G59" s="1407"/>
      <c r="H59" s="1407"/>
    </row>
    <row r="60" spans="3:8" s="68" customFormat="1" ht="12.75">
      <c r="C60" s="1407"/>
      <c r="D60" s="1407"/>
      <c r="E60" s="1407"/>
      <c r="F60" s="1407"/>
      <c r="G60" s="1407"/>
      <c r="H60" s="1407"/>
    </row>
    <row r="61" spans="3:8" s="68" customFormat="1" ht="12.75">
      <c r="C61" s="1407"/>
      <c r="D61" s="1407"/>
      <c r="E61" s="1407"/>
      <c r="F61" s="1407"/>
      <c r="G61" s="1407"/>
      <c r="H61" s="1407"/>
    </row>
    <row r="62" spans="3:8" s="68" customFormat="1" ht="12.75">
      <c r="C62" s="1407"/>
      <c r="D62" s="1407"/>
      <c r="E62" s="1407"/>
      <c r="F62" s="1407"/>
      <c r="G62" s="1407"/>
      <c r="H62" s="1407"/>
    </row>
    <row r="63" spans="3:8" s="68" customFormat="1" ht="12.75">
      <c r="C63" s="1407"/>
      <c r="D63" s="1407"/>
      <c r="E63" s="1407"/>
      <c r="F63" s="1407"/>
      <c r="G63" s="1407"/>
      <c r="H63" s="1407"/>
    </row>
    <row r="64" spans="3:8" s="68" customFormat="1" ht="12.75">
      <c r="C64" s="1407"/>
      <c r="D64" s="1407"/>
      <c r="E64" s="1407"/>
      <c r="F64" s="1407"/>
      <c r="G64" s="1407"/>
      <c r="H64" s="1407"/>
    </row>
    <row r="65" spans="3:8" s="68" customFormat="1" ht="12.75">
      <c r="C65" s="1407"/>
      <c r="D65" s="1407"/>
      <c r="E65" s="1407"/>
      <c r="F65" s="1407"/>
      <c r="G65" s="1407"/>
      <c r="H65" s="1407"/>
    </row>
    <row r="66" spans="3:8" s="68" customFormat="1" ht="12.75">
      <c r="C66" s="1407"/>
      <c r="D66" s="1407"/>
      <c r="E66" s="1407"/>
      <c r="F66" s="1407"/>
      <c r="G66" s="1407"/>
      <c r="H66" s="1407"/>
    </row>
    <row r="67" spans="3:8" s="68" customFormat="1" ht="12.75">
      <c r="C67" s="1407"/>
      <c r="D67" s="1407"/>
      <c r="E67" s="1407"/>
      <c r="F67" s="1407"/>
      <c r="G67" s="1407"/>
      <c r="H67" s="1407"/>
    </row>
    <row r="68" spans="3:8" s="68" customFormat="1" ht="12.75">
      <c r="C68" s="1407"/>
      <c r="D68" s="1407"/>
      <c r="E68" s="1407"/>
      <c r="F68" s="1407"/>
      <c r="G68" s="1407"/>
      <c r="H68" s="1407"/>
    </row>
    <row r="69" spans="3:8" s="68" customFormat="1" ht="12.75">
      <c r="C69" s="1407"/>
      <c r="D69" s="1407"/>
      <c r="E69" s="1407"/>
      <c r="F69" s="1407"/>
      <c r="G69" s="1407"/>
      <c r="H69" s="1407"/>
    </row>
    <row r="70" spans="3:8" s="68" customFormat="1" ht="12.75">
      <c r="C70" s="1407"/>
      <c r="D70" s="1407"/>
      <c r="E70" s="1407"/>
      <c r="F70" s="1407"/>
      <c r="G70" s="1407"/>
      <c r="H70" s="1407"/>
    </row>
    <row r="71" spans="3:8" s="68" customFormat="1" ht="12.75">
      <c r="C71" s="1407"/>
      <c r="D71" s="1407"/>
      <c r="E71" s="1407"/>
      <c r="F71" s="1407"/>
      <c r="G71" s="1407"/>
      <c r="H71" s="1407"/>
    </row>
    <row r="72" spans="3:8" s="68" customFormat="1" ht="12.75">
      <c r="C72" s="1407"/>
      <c r="D72" s="1407"/>
      <c r="E72" s="1407"/>
      <c r="F72" s="1407"/>
      <c r="G72" s="1407"/>
      <c r="H72" s="1407"/>
    </row>
    <row r="73" spans="3:8" s="68" customFormat="1" ht="12.75">
      <c r="C73" s="1407"/>
      <c r="D73" s="1407"/>
      <c r="E73" s="1407"/>
      <c r="F73" s="1407"/>
      <c r="G73" s="1407"/>
      <c r="H73" s="1407"/>
    </row>
    <row r="74" spans="3:8" s="68" customFormat="1" ht="12.75">
      <c r="C74" s="1407"/>
      <c r="D74" s="1407"/>
      <c r="E74" s="1407"/>
      <c r="F74" s="1407"/>
      <c r="G74" s="1407"/>
      <c r="H74" s="1407"/>
    </row>
  </sheetData>
  <mergeCells count="3">
    <mergeCell ref="B12:B13"/>
    <mergeCell ref="C12:C13"/>
    <mergeCell ref="D12:D13"/>
  </mergeCells>
  <printOptions horizontalCentered="1"/>
  <pageMargins left="0.24" right="0.25" top="0.19" bottom="0.23" header="0.22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00390625" defaultRowHeight="12.75"/>
  <cols>
    <col min="1" max="1" width="4.00390625" style="1416" customWidth="1"/>
    <col min="2" max="2" width="22.125" style="1416" customWidth="1"/>
    <col min="3" max="3" width="11.875" style="1416" customWidth="1"/>
    <col min="4" max="7" width="11.75390625" style="1416" customWidth="1"/>
    <col min="8" max="8" width="8.00390625" style="1416" customWidth="1"/>
    <col min="9" max="16384" width="10.00390625" style="1416" customWidth="1"/>
  </cols>
  <sheetData>
    <row r="1" spans="6:7" ht="12.75" customHeight="1">
      <c r="F1" s="806" t="s">
        <v>621</v>
      </c>
      <c r="G1" s="737"/>
    </row>
    <row r="2" spans="6:7" ht="12.75" customHeight="1">
      <c r="F2" s="6" t="s">
        <v>183</v>
      </c>
      <c r="G2" s="737"/>
    </row>
    <row r="3" spans="6:7" ht="12.75" customHeight="1">
      <c r="F3" s="4" t="s">
        <v>747</v>
      </c>
      <c r="G3" s="737"/>
    </row>
    <row r="4" spans="6:7" ht="12.75" customHeight="1">
      <c r="F4" s="6"/>
      <c r="G4" s="737"/>
    </row>
    <row r="6" ht="4.5" customHeight="1"/>
    <row r="8" spans="1:7" s="1417" customFormat="1" ht="18" customHeight="1">
      <c r="A8" s="910" t="s">
        <v>622</v>
      </c>
      <c r="B8" s="910"/>
      <c r="C8" s="910"/>
      <c r="D8" s="910"/>
      <c r="E8" s="910"/>
      <c r="F8" s="910"/>
      <c r="G8" s="910"/>
    </row>
    <row r="9" spans="1:7" s="1417" customFormat="1" ht="22.5" customHeight="1">
      <c r="A9" s="910" t="s">
        <v>623</v>
      </c>
      <c r="B9" s="910"/>
      <c r="C9" s="910"/>
      <c r="D9" s="910"/>
      <c r="E9" s="910"/>
      <c r="F9" s="910"/>
      <c r="G9" s="910"/>
    </row>
    <row r="10" spans="1:7" s="1417" customFormat="1" ht="22.5" customHeight="1">
      <c r="A10" s="910" t="s">
        <v>454</v>
      </c>
      <c r="B10" s="910"/>
      <c r="C10" s="910"/>
      <c r="D10" s="910"/>
      <c r="E10" s="910"/>
      <c r="F10" s="910"/>
      <c r="G10" s="910"/>
    </row>
    <row r="11" spans="1:7" s="1792" customFormat="1" ht="25.5" customHeight="1" thickBot="1">
      <c r="A11" s="223" t="s">
        <v>525</v>
      </c>
      <c r="B11" s="1791"/>
      <c r="C11" s="1791"/>
      <c r="D11" s="1791"/>
      <c r="E11" s="1791"/>
      <c r="F11" s="1791"/>
      <c r="G11" s="1791" t="s">
        <v>121</v>
      </c>
    </row>
    <row r="12" spans="1:7" s="1423" customFormat="1" ht="21.75" customHeight="1" thickTop="1">
      <c r="A12" s="1418"/>
      <c r="B12" s="1419"/>
      <c r="C12" s="1420" t="s">
        <v>624</v>
      </c>
      <c r="D12" s="1421"/>
      <c r="E12" s="1421"/>
      <c r="F12" s="1421"/>
      <c r="G12" s="1422"/>
    </row>
    <row r="13" spans="1:7" s="1429" customFormat="1" ht="56.25" customHeight="1" thickBot="1">
      <c r="A13" s="1424" t="s">
        <v>188</v>
      </c>
      <c r="B13" s="1425" t="s">
        <v>455</v>
      </c>
      <c r="C13" s="1426" t="s">
        <v>625</v>
      </c>
      <c r="D13" s="1427" t="s">
        <v>626</v>
      </c>
      <c r="E13" s="1427" t="s">
        <v>627</v>
      </c>
      <c r="F13" s="1427" t="s">
        <v>628</v>
      </c>
      <c r="G13" s="1428" t="s">
        <v>629</v>
      </c>
    </row>
    <row r="14" spans="1:7" s="811" customFormat="1" ht="12.75" customHeight="1" thickBot="1" thickTop="1">
      <c r="A14" s="1430">
        <v>1</v>
      </c>
      <c r="B14" s="1431">
        <v>2</v>
      </c>
      <c r="C14" s="1431">
        <v>3</v>
      </c>
      <c r="D14" s="1431">
        <v>4</v>
      </c>
      <c r="E14" s="1431">
        <v>5</v>
      </c>
      <c r="F14" s="1431">
        <v>6</v>
      </c>
      <c r="G14" s="1432">
        <v>7</v>
      </c>
    </row>
    <row r="15" spans="1:7" s="806" customFormat="1" ht="25.5" customHeight="1" thickTop="1">
      <c r="A15" s="1433" t="s">
        <v>630</v>
      </c>
      <c r="B15" s="1434" t="s">
        <v>631</v>
      </c>
      <c r="C15" s="1331">
        <v>438141.17</v>
      </c>
      <c r="D15" s="1331">
        <v>2579050</v>
      </c>
      <c r="E15" s="1331">
        <f>SUM(C15:D15)</f>
        <v>3017191.17</v>
      </c>
      <c r="F15" s="1331">
        <v>3017191.17</v>
      </c>
      <c r="G15" s="824">
        <f>E15-F15</f>
        <v>0</v>
      </c>
    </row>
    <row r="16" spans="1:7" s="806" customFormat="1" ht="25.5" customHeight="1">
      <c r="A16" s="1435" t="s">
        <v>632</v>
      </c>
      <c r="B16" s="853" t="s">
        <v>633</v>
      </c>
      <c r="C16" s="1436">
        <v>44900</v>
      </c>
      <c r="D16" s="1436">
        <v>44580</v>
      </c>
      <c r="E16" s="1331">
        <f>SUM(C16:D16)</f>
        <v>89480</v>
      </c>
      <c r="F16" s="1436">
        <v>84080</v>
      </c>
      <c r="G16" s="1437">
        <f>E16-F16</f>
        <v>5400</v>
      </c>
    </row>
    <row r="17" spans="1:7" s="887" customFormat="1" ht="30" customHeight="1">
      <c r="A17" s="1435" t="s">
        <v>634</v>
      </c>
      <c r="B17" s="853" t="s">
        <v>635</v>
      </c>
      <c r="C17" s="1436">
        <f>SUM(C19:C20)</f>
        <v>118240</v>
      </c>
      <c r="D17" s="1436">
        <f>SUM(D19:D20)</f>
        <v>1050020</v>
      </c>
      <c r="E17" s="1436">
        <f>SUM(C17:D17)</f>
        <v>1168260</v>
      </c>
      <c r="F17" s="1436">
        <f>SUM(F19:F20)</f>
        <v>1152862</v>
      </c>
      <c r="G17" s="1437">
        <f>C17+D17-F17</f>
        <v>15398</v>
      </c>
    </row>
    <row r="18" spans="1:7" s="806" customFormat="1" ht="14.25" customHeight="1">
      <c r="A18" s="1401"/>
      <c r="B18" s="789" t="s">
        <v>479</v>
      </c>
      <c r="C18" s="1414"/>
      <c r="D18" s="1414"/>
      <c r="E18" s="1414"/>
      <c r="F18" s="1414"/>
      <c r="G18" s="832"/>
    </row>
    <row r="19" spans="1:7" s="1438" customFormat="1" ht="18.75" customHeight="1">
      <c r="A19" s="1412"/>
      <c r="B19" s="1413" t="s">
        <v>636</v>
      </c>
      <c r="C19" s="1415">
        <v>53936</v>
      </c>
      <c r="D19" s="1415">
        <v>454920</v>
      </c>
      <c r="E19" s="1415">
        <f>SUM(C19:D19)</f>
        <v>508856</v>
      </c>
      <c r="F19" s="1415">
        <v>493458</v>
      </c>
      <c r="G19" s="655">
        <f>C19+D19-F19</f>
        <v>15398</v>
      </c>
    </row>
    <row r="20" spans="1:7" s="1438" customFormat="1" ht="18.75" customHeight="1">
      <c r="A20" s="1412"/>
      <c r="B20" s="1413" t="s">
        <v>637</v>
      </c>
      <c r="C20" s="1415">
        <v>64304</v>
      </c>
      <c r="D20" s="1415">
        <v>595100</v>
      </c>
      <c r="E20" s="1415">
        <f>SUM(C20:D20)</f>
        <v>659404</v>
      </c>
      <c r="F20" s="1415">
        <v>659404</v>
      </c>
      <c r="G20" s="655">
        <f>C20+D20-F20</f>
        <v>0</v>
      </c>
    </row>
    <row r="21" spans="1:7" s="1438" customFormat="1" ht="30" customHeight="1">
      <c r="A21" s="1433" t="s">
        <v>638</v>
      </c>
      <c r="B21" s="1439" t="s">
        <v>640</v>
      </c>
      <c r="C21" s="1331">
        <v>11641</v>
      </c>
      <c r="D21" s="1331">
        <v>20000</v>
      </c>
      <c r="E21" s="1331">
        <f>SUM(C21:D21)</f>
        <v>31641</v>
      </c>
      <c r="F21" s="1331">
        <v>23000</v>
      </c>
      <c r="G21" s="1334">
        <f>C21+D21-F21</f>
        <v>8641</v>
      </c>
    </row>
    <row r="22" spans="1:7" s="1438" customFormat="1" ht="30" customHeight="1" thickBot="1">
      <c r="A22" s="1401" t="s">
        <v>641</v>
      </c>
      <c r="B22" s="789" t="s">
        <v>642</v>
      </c>
      <c r="C22" s="1414">
        <v>0</v>
      </c>
      <c r="D22" s="1414">
        <v>9075</v>
      </c>
      <c r="E22" s="1331">
        <f>SUM(C22:D22)</f>
        <v>9075</v>
      </c>
      <c r="F22" s="1414">
        <v>9075</v>
      </c>
      <c r="G22" s="1334">
        <f>C22+D22-F22</f>
        <v>0</v>
      </c>
    </row>
    <row r="23" spans="1:7" s="1442" customFormat="1" ht="37.5" customHeight="1" thickBot="1" thickTop="1">
      <c r="A23" s="1440" t="s">
        <v>643</v>
      </c>
      <c r="B23" s="1441"/>
      <c r="C23" s="1064">
        <f>C15+C16+C17+C21+C22</f>
        <v>612922.1699999999</v>
      </c>
      <c r="D23" s="1064">
        <f>D15+D16+D17+D21+D22</f>
        <v>3702725</v>
      </c>
      <c r="E23" s="1064">
        <f>E15+E16+E17+E21+E22</f>
        <v>4315647.17</v>
      </c>
      <c r="F23" s="1064">
        <f>F15+F16+F17+F21+F22</f>
        <v>4286208.17</v>
      </c>
      <c r="G23" s="895">
        <f>G15+G16+G17+G21+G22</f>
        <v>29439</v>
      </c>
    </row>
    <row r="24" ht="19.5" customHeight="1" thickTop="1">
      <c r="A24" s="87" t="s">
        <v>620</v>
      </c>
    </row>
    <row r="25" ht="15.75">
      <c r="A25" s="87" t="s">
        <v>181</v>
      </c>
    </row>
    <row r="26" ht="15.75">
      <c r="A26" s="87" t="s">
        <v>40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A27" sqref="A27"/>
    </sheetView>
  </sheetViews>
  <sheetFormatPr defaultColWidth="9.00390625" defaultRowHeight="12.75"/>
  <cols>
    <col min="1" max="1" width="9.125" style="940" customWidth="1"/>
    <col min="2" max="2" width="50.25390625" style="940" customWidth="1"/>
    <col min="3" max="3" width="14.75390625" style="940" hidden="1" customWidth="1"/>
    <col min="4" max="4" width="21.75390625" style="940" customWidth="1"/>
    <col min="5" max="16384" width="9.125" style="940" customWidth="1"/>
  </cols>
  <sheetData>
    <row r="1" spans="1:4" ht="13.5" customHeight="1">
      <c r="A1" s="806"/>
      <c r="D1" s="806" t="s">
        <v>734</v>
      </c>
    </row>
    <row r="2" spans="1:4" ht="13.5" customHeight="1">
      <c r="A2" s="806"/>
      <c r="D2" s="6" t="s">
        <v>183</v>
      </c>
    </row>
    <row r="3" spans="1:4" ht="13.5" customHeight="1">
      <c r="A3" s="806"/>
      <c r="D3" s="4" t="s">
        <v>747</v>
      </c>
    </row>
    <row r="4" spans="1:4" ht="13.5" customHeight="1">
      <c r="A4" s="806"/>
      <c r="D4" s="6"/>
    </row>
    <row r="5" spans="1:4" ht="34.5" customHeight="1">
      <c r="A5" s="806"/>
      <c r="B5" s="806"/>
      <c r="C5" s="806"/>
      <c r="D5" s="806"/>
    </row>
    <row r="6" spans="1:4" ht="19.5" customHeight="1">
      <c r="A6" s="2512" t="s">
        <v>735</v>
      </c>
      <c r="B6" s="2527"/>
      <c r="C6" s="2527"/>
      <c r="D6" s="2527"/>
    </row>
    <row r="7" spans="1:5" ht="19.5" customHeight="1">
      <c r="A7" s="908" t="s">
        <v>736</v>
      </c>
      <c r="B7" s="908"/>
      <c r="C7" s="1447"/>
      <c r="D7" s="1447"/>
      <c r="E7" s="1448"/>
    </row>
    <row r="8" spans="1:4" ht="19.5" customHeight="1">
      <c r="A8" s="908" t="s">
        <v>454</v>
      </c>
      <c r="B8" s="908"/>
      <c r="C8" s="1445"/>
      <c r="D8" s="1445"/>
    </row>
    <row r="9" spans="1:4" ht="22.5" customHeight="1" thickBot="1">
      <c r="A9" s="223" t="s">
        <v>525</v>
      </c>
      <c r="B9" s="806"/>
      <c r="C9" s="806"/>
      <c r="D9" s="811" t="s">
        <v>737</v>
      </c>
    </row>
    <row r="10" spans="1:4" ht="43.5" customHeight="1" thickTop="1">
      <c r="A10" s="1449" t="s">
        <v>188</v>
      </c>
      <c r="B10" s="1409" t="s">
        <v>123</v>
      </c>
      <c r="C10" s="1444" t="s">
        <v>738</v>
      </c>
      <c r="D10" s="1450" t="s">
        <v>739</v>
      </c>
    </row>
    <row r="11" spans="1:4" s="986" customFormat="1" ht="12" customHeight="1" thickBot="1">
      <c r="A11" s="1451">
        <v>1</v>
      </c>
      <c r="B11" s="1452">
        <v>2</v>
      </c>
      <c r="C11" s="1453">
        <v>3</v>
      </c>
      <c r="D11" s="1454">
        <v>3</v>
      </c>
    </row>
    <row r="12" spans="1:4" ht="27" customHeight="1" thickBot="1" thickTop="1">
      <c r="A12" s="1455" t="s">
        <v>194</v>
      </c>
      <c r="B12" s="1410" t="s">
        <v>740</v>
      </c>
      <c r="C12" s="1456">
        <f>SUM(C13:C15)</f>
        <v>3587981</v>
      </c>
      <c r="D12" s="1446">
        <f>SUM(D13:D15)</f>
        <v>3924423</v>
      </c>
    </row>
    <row r="13" spans="1:4" s="942" customFormat="1" ht="25.5" customHeight="1" thickTop="1">
      <c r="A13" s="1457" t="s">
        <v>630</v>
      </c>
      <c r="B13" s="1411" t="s">
        <v>741</v>
      </c>
      <c r="C13" s="831">
        <v>2000000</v>
      </c>
      <c r="D13" s="1458">
        <f>3500000-830000</f>
        <v>2670000</v>
      </c>
    </row>
    <row r="14" spans="1:4" s="942" customFormat="1" ht="25.5" customHeight="1">
      <c r="A14" s="1459" t="s">
        <v>632</v>
      </c>
      <c r="B14" s="1434" t="s">
        <v>742</v>
      </c>
      <c r="C14" s="1335">
        <v>8854</v>
      </c>
      <c r="D14" s="1460">
        <v>130000</v>
      </c>
    </row>
    <row r="15" spans="1:4" s="942" customFormat="1" ht="30" customHeight="1" thickBot="1">
      <c r="A15" s="1457" t="s">
        <v>634</v>
      </c>
      <c r="B15" s="789" t="s">
        <v>743</v>
      </c>
      <c r="C15" s="831">
        <v>1579127</v>
      </c>
      <c r="D15" s="1458">
        <v>1124423</v>
      </c>
    </row>
    <row r="16" spans="1:4" ht="27" customHeight="1" thickBot="1" thickTop="1">
      <c r="A16" s="1455" t="s">
        <v>200</v>
      </c>
      <c r="B16" s="1410" t="s">
        <v>744</v>
      </c>
      <c r="C16" s="1456">
        <f>SUM(C17:C19)</f>
        <v>2454600</v>
      </c>
      <c r="D16" s="1446">
        <f>SUM(D17:D19)</f>
        <v>3751123</v>
      </c>
    </row>
    <row r="17" spans="1:4" s="942" customFormat="1" ht="25.5" customHeight="1" thickTop="1">
      <c r="A17" s="1457" t="s">
        <v>630</v>
      </c>
      <c r="B17" s="1411" t="s">
        <v>741</v>
      </c>
      <c r="C17" s="831">
        <v>1385000</v>
      </c>
      <c r="D17" s="1458">
        <v>2496700</v>
      </c>
    </row>
    <row r="18" spans="1:4" s="942" customFormat="1" ht="25.5" customHeight="1">
      <c r="A18" s="1461" t="s">
        <v>632</v>
      </c>
      <c r="B18" s="1462" t="s">
        <v>742</v>
      </c>
      <c r="C18" s="1331">
        <v>8000</v>
      </c>
      <c r="D18" s="1460">
        <v>130000</v>
      </c>
    </row>
    <row r="19" spans="1:4" s="942" customFormat="1" ht="30" customHeight="1" thickBot="1">
      <c r="A19" s="1463" t="s">
        <v>634</v>
      </c>
      <c r="B19" s="1464" t="s">
        <v>743</v>
      </c>
      <c r="C19" s="1341">
        <v>1061600</v>
      </c>
      <c r="D19" s="1465">
        <v>1124423</v>
      </c>
    </row>
    <row r="20" spans="1:4" ht="36.75" customHeight="1" thickBot="1" thickTop="1">
      <c r="A20" s="1455" t="s">
        <v>205</v>
      </c>
      <c r="B20" s="1466" t="s">
        <v>745</v>
      </c>
      <c r="C20" s="1456">
        <f aca="true" t="shared" si="0" ref="C20:D23">C12-C16</f>
        <v>1133381</v>
      </c>
      <c r="D20" s="1446">
        <f t="shared" si="0"/>
        <v>173300</v>
      </c>
    </row>
    <row r="21" spans="1:4" s="942" customFormat="1" ht="25.5" customHeight="1" thickTop="1">
      <c r="A21" s="1457" t="s">
        <v>630</v>
      </c>
      <c r="B21" s="1411" t="s">
        <v>741</v>
      </c>
      <c r="C21" s="831">
        <f t="shared" si="0"/>
        <v>615000</v>
      </c>
      <c r="D21" s="1458">
        <f t="shared" si="0"/>
        <v>173300</v>
      </c>
    </row>
    <row r="22" spans="1:4" s="942" customFormat="1" ht="25.5" customHeight="1">
      <c r="A22" s="1461" t="s">
        <v>632</v>
      </c>
      <c r="B22" s="1462" t="s">
        <v>742</v>
      </c>
      <c r="C22" s="1331">
        <f t="shared" si="0"/>
        <v>854</v>
      </c>
      <c r="D22" s="1460">
        <f t="shared" si="0"/>
        <v>0</v>
      </c>
    </row>
    <row r="23" spans="1:4" s="942" customFormat="1" ht="30" customHeight="1" thickBot="1">
      <c r="A23" s="1463" t="s">
        <v>634</v>
      </c>
      <c r="B23" s="1464" t="s">
        <v>743</v>
      </c>
      <c r="C23" s="1341">
        <f t="shared" si="0"/>
        <v>517527</v>
      </c>
      <c r="D23" s="1465">
        <f t="shared" si="0"/>
        <v>0</v>
      </c>
    </row>
    <row r="24" spans="1:3" ht="19.5" thickTop="1">
      <c r="A24" s="1467"/>
      <c r="B24" s="1467"/>
      <c r="C24" s="1442"/>
    </row>
    <row r="25" ht="12.75">
      <c r="A25" s="87" t="s">
        <v>620</v>
      </c>
    </row>
    <row r="26" spans="1:4" ht="12.75">
      <c r="A26" s="87" t="s">
        <v>181</v>
      </c>
      <c r="C26" s="1468"/>
      <c r="D26" s="1468"/>
    </row>
    <row r="27" ht="12.75">
      <c r="A27" s="87" t="s">
        <v>40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21"/>
  <sheetViews>
    <sheetView zoomScale="95" zoomScaleNormal="95" workbookViewId="0" topLeftCell="A150">
      <selection activeCell="A168" sqref="A168:A170"/>
    </sheetView>
  </sheetViews>
  <sheetFormatPr defaultColWidth="9.00390625" defaultRowHeight="12.75"/>
  <cols>
    <col min="1" max="1" width="5.125" style="1476" customWidth="1"/>
    <col min="2" max="2" width="5.625" style="1476" customWidth="1"/>
    <col min="3" max="3" width="7.75390625" style="1476" customWidth="1"/>
    <col min="4" max="4" width="6.125" style="1477" customWidth="1"/>
    <col min="5" max="5" width="42.375" style="1478" customWidth="1"/>
    <col min="6" max="6" width="12.375" style="1478" customWidth="1"/>
    <col min="7" max="7" width="9.00390625" style="1479" customWidth="1"/>
    <col min="8" max="8" width="9.875" style="1480" customWidth="1"/>
    <col min="9" max="9" width="9.75390625" style="1480" customWidth="1"/>
    <col min="10" max="10" width="11.75390625" style="1480" customWidth="1"/>
    <col min="11" max="11" width="11.625" style="1480" customWidth="1"/>
    <col min="12" max="12" width="12.125" style="1480" customWidth="1"/>
    <col min="13" max="13" width="3.625" style="1480" hidden="1" customWidth="1"/>
    <col min="14" max="14" width="0.2421875" style="1480" hidden="1" customWidth="1"/>
    <col min="15" max="15" width="11.00390625" style="1480" customWidth="1"/>
    <col min="16" max="16" width="11.875" style="1480" customWidth="1"/>
    <col min="17" max="17" width="11.00390625" style="1480" customWidth="1"/>
    <col min="18" max="18" width="9.125" style="1480" customWidth="1"/>
    <col min="19" max="16384" width="9.125" style="1476" customWidth="1"/>
  </cols>
  <sheetData>
    <row r="1" ht="12.75">
      <c r="K1" s="1481" t="s">
        <v>774</v>
      </c>
    </row>
    <row r="2" spans="10:11" ht="12.75">
      <c r="J2" s="1482" t="s">
        <v>775</v>
      </c>
      <c r="K2" s="6" t="s">
        <v>183</v>
      </c>
    </row>
    <row r="3" spans="10:11" ht="12.75">
      <c r="J3" s="1483" t="s">
        <v>776</v>
      </c>
      <c r="K3" s="4" t="s">
        <v>747</v>
      </c>
    </row>
    <row r="4" spans="10:11" ht="12.75">
      <c r="J4" s="1483"/>
      <c r="K4" s="4"/>
    </row>
    <row r="5" spans="2:15" ht="24.75" customHeight="1">
      <c r="B5" s="1484" t="s">
        <v>777</v>
      </c>
      <c r="E5" s="1485"/>
      <c r="F5" s="1485"/>
      <c r="G5" s="1486"/>
      <c r="H5" s="1487"/>
      <c r="I5" s="1487"/>
      <c r="J5" s="1487"/>
      <c r="K5" s="1487"/>
      <c r="L5" s="1487"/>
      <c r="M5" s="1487"/>
      <c r="N5" s="1487"/>
      <c r="O5" s="1487"/>
    </row>
    <row r="6" spans="1:15" ht="13.5" thickBot="1">
      <c r="A6" s="223" t="s">
        <v>525</v>
      </c>
      <c r="B6" s="2305"/>
      <c r="K6" s="1488"/>
      <c r="L6" s="1489" t="s">
        <v>778</v>
      </c>
      <c r="M6" s="1490"/>
      <c r="N6" s="1489" t="s">
        <v>778</v>
      </c>
      <c r="O6" s="1489"/>
    </row>
    <row r="7" spans="1:15" ht="53.25" customHeight="1" thickTop="1">
      <c r="A7" s="1491" t="s">
        <v>317</v>
      </c>
      <c r="B7" s="1492" t="s">
        <v>122</v>
      </c>
      <c r="C7" s="1493" t="s">
        <v>779</v>
      </c>
      <c r="D7" s="1493" t="s">
        <v>412</v>
      </c>
      <c r="E7" s="1494" t="s">
        <v>780</v>
      </c>
      <c r="F7" s="1495" t="s">
        <v>781</v>
      </c>
      <c r="G7" s="2534" t="s">
        <v>782</v>
      </c>
      <c r="H7" s="2535"/>
      <c r="I7" s="1493" t="s">
        <v>783</v>
      </c>
      <c r="J7" s="2536" t="s">
        <v>784</v>
      </c>
      <c r="K7" s="2537"/>
      <c r="L7" s="2538"/>
      <c r="M7" s="1496"/>
      <c r="N7" s="1497"/>
      <c r="O7" s="1498"/>
    </row>
    <row r="8" spans="1:19" ht="39" customHeight="1">
      <c r="A8" s="1499"/>
      <c r="B8" s="1500"/>
      <c r="C8" s="1501"/>
      <c r="D8" s="1501"/>
      <c r="E8" s="1502"/>
      <c r="F8" s="1503" t="s">
        <v>785</v>
      </c>
      <c r="G8" s="1504" t="s">
        <v>786</v>
      </c>
      <c r="H8" s="1504" t="s">
        <v>787</v>
      </c>
      <c r="I8" s="1503" t="s">
        <v>788</v>
      </c>
      <c r="J8" s="1505" t="s">
        <v>789</v>
      </c>
      <c r="K8" s="1506" t="s">
        <v>790</v>
      </c>
      <c r="L8" s="1507" t="s">
        <v>791</v>
      </c>
      <c r="M8" s="1508"/>
      <c r="N8" s="1509" t="s">
        <v>791</v>
      </c>
      <c r="O8" s="1510"/>
      <c r="S8" s="1480"/>
    </row>
    <row r="9" spans="1:15" s="1517" customFormat="1" ht="12">
      <c r="A9" s="1511">
        <v>1</v>
      </c>
      <c r="B9" s="1512">
        <v>2</v>
      </c>
      <c r="C9" s="1513">
        <v>3</v>
      </c>
      <c r="D9" s="1512">
        <v>4</v>
      </c>
      <c r="E9" s="1513">
        <v>5</v>
      </c>
      <c r="F9" s="1513">
        <v>6</v>
      </c>
      <c r="G9" s="1513">
        <v>7</v>
      </c>
      <c r="H9" s="1513">
        <v>8</v>
      </c>
      <c r="I9" s="1513">
        <v>9</v>
      </c>
      <c r="J9" s="1513">
        <v>10</v>
      </c>
      <c r="K9" s="1513">
        <v>11</v>
      </c>
      <c r="L9" s="1514">
        <v>12</v>
      </c>
      <c r="M9" s="1515"/>
      <c r="N9" s="1514">
        <v>12</v>
      </c>
      <c r="O9" s="1516"/>
    </row>
    <row r="10" spans="1:19" s="1529" customFormat="1" ht="21" customHeight="1">
      <c r="A10" s="1518" t="s">
        <v>194</v>
      </c>
      <c r="B10" s="1519"/>
      <c r="C10" s="1519"/>
      <c r="D10" s="1519"/>
      <c r="E10" s="1520" t="s">
        <v>792</v>
      </c>
      <c r="F10" s="1520"/>
      <c r="G10" s="1521"/>
      <c r="H10" s="1522"/>
      <c r="I10" s="1523"/>
      <c r="J10" s="1524">
        <f>SUM(J11:J54)</f>
        <v>30170.75</v>
      </c>
      <c r="K10" s="1524">
        <f>SUM(K11:K54)</f>
        <v>21640</v>
      </c>
      <c r="L10" s="1525">
        <f>SUM(L11:L54)</f>
        <v>22390</v>
      </c>
      <c r="M10" s="1526"/>
      <c r="N10" s="1525">
        <f>SUM(N11:N54)</f>
        <v>5900</v>
      </c>
      <c r="O10" s="1527"/>
      <c r="P10" s="1527"/>
      <c r="Q10" s="1527"/>
      <c r="R10" s="1528"/>
      <c r="S10" s="1528"/>
    </row>
    <row r="11" spans="1:19" s="1541" customFormat="1" ht="18" customHeight="1">
      <c r="A11" s="1530">
        <v>1</v>
      </c>
      <c r="B11" s="1531">
        <v>600</v>
      </c>
      <c r="C11" s="1532">
        <v>60015</v>
      </c>
      <c r="D11" s="1533">
        <v>6050</v>
      </c>
      <c r="E11" s="1534" t="s">
        <v>793</v>
      </c>
      <c r="F11" s="1532" t="s">
        <v>794</v>
      </c>
      <c r="G11" s="1535">
        <v>2006</v>
      </c>
      <c r="H11" s="1535">
        <v>2012</v>
      </c>
      <c r="I11" s="1536">
        <v>300</v>
      </c>
      <c r="J11" s="1537">
        <v>50</v>
      </c>
      <c r="K11" s="1537">
        <v>50</v>
      </c>
      <c r="L11" s="1538">
        <v>100</v>
      </c>
      <c r="M11" s="1539"/>
      <c r="N11" s="1538">
        <v>0</v>
      </c>
      <c r="O11" s="1540"/>
      <c r="P11" s="1480"/>
      <c r="Q11" s="1478"/>
      <c r="R11" s="1478"/>
      <c r="S11" s="1478"/>
    </row>
    <row r="12" spans="1:15" s="1544" customFormat="1" ht="18" customHeight="1">
      <c r="A12" s="1530">
        <v>2</v>
      </c>
      <c r="B12" s="1542">
        <v>600</v>
      </c>
      <c r="C12" s="1532">
        <v>60015</v>
      </c>
      <c r="D12" s="1533">
        <v>6050</v>
      </c>
      <c r="E12" s="1543" t="s">
        <v>795</v>
      </c>
      <c r="F12" s="1532" t="s">
        <v>794</v>
      </c>
      <c r="G12" s="1535">
        <v>2008</v>
      </c>
      <c r="H12" s="1535">
        <v>2009</v>
      </c>
      <c r="I12" s="1536">
        <v>500</v>
      </c>
      <c r="J12" s="1537">
        <v>200</v>
      </c>
      <c r="K12" s="1537">
        <v>0</v>
      </c>
      <c r="L12" s="1538">
        <v>0</v>
      </c>
      <c r="M12" s="1539"/>
      <c r="N12" s="1538">
        <v>0</v>
      </c>
      <c r="O12" s="1540"/>
    </row>
    <row r="13" spans="1:15" s="1544" customFormat="1" ht="18.75" customHeight="1">
      <c r="A13" s="1530">
        <v>3</v>
      </c>
      <c r="B13" s="1542">
        <v>600</v>
      </c>
      <c r="C13" s="1532">
        <v>60015</v>
      </c>
      <c r="D13" s="1533">
        <v>6050</v>
      </c>
      <c r="E13" s="1543" t="s">
        <v>796</v>
      </c>
      <c r="F13" s="1532" t="s">
        <v>794</v>
      </c>
      <c r="G13" s="1535">
        <v>2008</v>
      </c>
      <c r="H13" s="1535">
        <v>2012</v>
      </c>
      <c r="I13" s="1536">
        <v>1620</v>
      </c>
      <c r="J13" s="1537">
        <v>43</v>
      </c>
      <c r="K13" s="1537">
        <v>500</v>
      </c>
      <c r="L13" s="1538">
        <v>500</v>
      </c>
      <c r="M13" s="1539"/>
      <c r="N13" s="1538">
        <v>800</v>
      </c>
      <c r="O13" s="1540"/>
    </row>
    <row r="14" spans="1:19" s="1529" customFormat="1" ht="18" customHeight="1">
      <c r="A14" s="1530">
        <v>4</v>
      </c>
      <c r="B14" s="1531">
        <v>600</v>
      </c>
      <c r="C14" s="1532">
        <v>60015</v>
      </c>
      <c r="D14" s="1532">
        <v>6050</v>
      </c>
      <c r="E14" s="1543" t="s">
        <v>797</v>
      </c>
      <c r="F14" s="1532" t="s">
        <v>794</v>
      </c>
      <c r="G14" s="1545">
        <v>2006</v>
      </c>
      <c r="H14" s="1546" t="s">
        <v>798</v>
      </c>
      <c r="I14" s="1536">
        <v>3980</v>
      </c>
      <c r="J14" s="1537">
        <v>3550</v>
      </c>
      <c r="K14" s="1537">
        <v>0</v>
      </c>
      <c r="L14" s="1538">
        <v>0</v>
      </c>
      <c r="M14" s="1539"/>
      <c r="N14" s="1538">
        <v>0</v>
      </c>
      <c r="O14" s="1540"/>
      <c r="P14" s="1528"/>
      <c r="Q14" s="1528"/>
      <c r="R14" s="1528"/>
      <c r="S14" s="1528"/>
    </row>
    <row r="15" spans="1:19" s="1551" customFormat="1" ht="16.5">
      <c r="A15" s="1530">
        <v>5</v>
      </c>
      <c r="B15" s="1531">
        <v>600</v>
      </c>
      <c r="C15" s="1532">
        <v>60015</v>
      </c>
      <c r="D15" s="1532">
        <v>6050</v>
      </c>
      <c r="E15" s="1543" t="s">
        <v>799</v>
      </c>
      <c r="F15" s="1532" t="s">
        <v>794</v>
      </c>
      <c r="G15" s="1545">
        <v>2007</v>
      </c>
      <c r="H15" s="1546" t="s">
        <v>800</v>
      </c>
      <c r="I15" s="1536">
        <f>15021-200</f>
        <v>14821</v>
      </c>
      <c r="J15" s="1536">
        <v>3600</v>
      </c>
      <c r="K15" s="1536">
        <v>6400</v>
      </c>
      <c r="L15" s="1547">
        <v>1000</v>
      </c>
      <c r="M15" s="1548"/>
      <c r="N15" s="1547">
        <v>1500</v>
      </c>
      <c r="O15" s="1549"/>
      <c r="P15" s="1550"/>
      <c r="Q15" s="1550"/>
      <c r="R15" s="1550"/>
      <c r="S15" s="1550"/>
    </row>
    <row r="16" spans="1:15" s="1544" customFormat="1" ht="21.75" customHeight="1">
      <c r="A16" s="1530">
        <v>6</v>
      </c>
      <c r="B16" s="1542">
        <v>600</v>
      </c>
      <c r="C16" s="1532">
        <v>60015</v>
      </c>
      <c r="D16" s="1533">
        <v>6050</v>
      </c>
      <c r="E16" s="1543" t="s">
        <v>801</v>
      </c>
      <c r="F16" s="1532" t="s">
        <v>794</v>
      </c>
      <c r="G16" s="1535">
        <v>2009</v>
      </c>
      <c r="H16" s="1535">
        <v>2011</v>
      </c>
      <c r="I16" s="1536">
        <f>SUM(J16:L16)</f>
        <v>4010</v>
      </c>
      <c r="J16" s="1537">
        <v>10</v>
      </c>
      <c r="K16" s="1537">
        <v>1000</v>
      </c>
      <c r="L16" s="1538">
        <v>3000</v>
      </c>
      <c r="M16" s="1539"/>
      <c r="N16" s="1538">
        <v>1000</v>
      </c>
      <c r="O16" s="1540"/>
    </row>
    <row r="17" spans="1:15" s="1544" customFormat="1" ht="18" customHeight="1">
      <c r="A17" s="1530">
        <v>7</v>
      </c>
      <c r="B17" s="1542">
        <v>600</v>
      </c>
      <c r="C17" s="1532">
        <v>60015</v>
      </c>
      <c r="D17" s="1533">
        <v>6050</v>
      </c>
      <c r="E17" s="1543" t="s">
        <v>802</v>
      </c>
      <c r="F17" s="1532" t="s">
        <v>794</v>
      </c>
      <c r="G17" s="1535">
        <v>2008</v>
      </c>
      <c r="H17" s="1535">
        <v>2011</v>
      </c>
      <c r="I17" s="1536">
        <v>1220</v>
      </c>
      <c r="J17" s="1537">
        <v>61</v>
      </c>
      <c r="K17" s="1537">
        <v>100</v>
      </c>
      <c r="L17" s="1538">
        <v>1000</v>
      </c>
      <c r="M17" s="1539"/>
      <c r="N17" s="1538">
        <v>0</v>
      </c>
      <c r="O17" s="1540"/>
    </row>
    <row r="18" spans="1:18" s="1541" customFormat="1" ht="18.75" customHeight="1">
      <c r="A18" s="1530">
        <v>8</v>
      </c>
      <c r="B18" s="1531">
        <v>600</v>
      </c>
      <c r="C18" s="1532">
        <v>60015</v>
      </c>
      <c r="D18" s="1533">
        <v>6050</v>
      </c>
      <c r="E18" s="1552" t="s">
        <v>803</v>
      </c>
      <c r="F18" s="1532" t="s">
        <v>794</v>
      </c>
      <c r="G18" s="1553" t="s">
        <v>804</v>
      </c>
      <c r="H18" s="1553" t="s">
        <v>804</v>
      </c>
      <c r="I18" s="1553" t="s">
        <v>804</v>
      </c>
      <c r="J18" s="1537">
        <v>190</v>
      </c>
      <c r="K18" s="1537">
        <v>300</v>
      </c>
      <c r="L18" s="1538">
        <v>300</v>
      </c>
      <c r="M18" s="1539"/>
      <c r="N18" s="1538"/>
      <c r="O18" s="1540"/>
      <c r="P18" s="1478"/>
      <c r="Q18" s="1478"/>
      <c r="R18" s="1478"/>
    </row>
    <row r="19" spans="1:19" s="1551" customFormat="1" ht="25.5">
      <c r="A19" s="1530">
        <v>9</v>
      </c>
      <c r="B19" s="1531">
        <v>600</v>
      </c>
      <c r="C19" s="1532">
        <v>60016</v>
      </c>
      <c r="D19" s="1533">
        <v>6050</v>
      </c>
      <c r="E19" s="1534" t="s">
        <v>805</v>
      </c>
      <c r="F19" s="1532" t="s">
        <v>794</v>
      </c>
      <c r="G19" s="1545">
        <v>2006</v>
      </c>
      <c r="H19" s="1554">
        <v>2012</v>
      </c>
      <c r="I19" s="1536">
        <f>6187.1-100</f>
        <v>6087.1</v>
      </c>
      <c r="J19" s="1536">
        <v>650</v>
      </c>
      <c r="K19" s="1536">
        <v>1100</v>
      </c>
      <c r="L19" s="1547">
        <v>1200</v>
      </c>
      <c r="M19" s="1548"/>
      <c r="N19" s="1547">
        <v>0</v>
      </c>
      <c r="O19" s="1549"/>
      <c r="P19" s="1550"/>
      <c r="Q19" s="1550"/>
      <c r="R19" s="1550"/>
      <c r="S19" s="1550"/>
    </row>
    <row r="20" spans="1:19" s="1551" customFormat="1" ht="25.5">
      <c r="A20" s="1530">
        <v>10</v>
      </c>
      <c r="B20" s="1531">
        <v>600</v>
      </c>
      <c r="C20" s="1532">
        <v>60016</v>
      </c>
      <c r="D20" s="1533">
        <v>6050</v>
      </c>
      <c r="E20" s="1534" t="s">
        <v>806</v>
      </c>
      <c r="F20" s="1532" t="s">
        <v>794</v>
      </c>
      <c r="G20" s="1535">
        <v>2006</v>
      </c>
      <c r="H20" s="1555">
        <v>2012</v>
      </c>
      <c r="I20" s="1536">
        <v>5900</v>
      </c>
      <c r="J20" s="1536">
        <v>1200</v>
      </c>
      <c r="K20" s="1536">
        <v>1500</v>
      </c>
      <c r="L20" s="1547">
        <v>1000</v>
      </c>
      <c r="M20" s="1548"/>
      <c r="N20" s="1547">
        <v>0</v>
      </c>
      <c r="O20" s="1549"/>
      <c r="P20" s="1550"/>
      <c r="Q20" s="1550"/>
      <c r="R20" s="1550"/>
      <c r="S20" s="1550"/>
    </row>
    <row r="21" spans="1:19" s="1551" customFormat="1" ht="18" customHeight="1">
      <c r="A21" s="1530">
        <v>11</v>
      </c>
      <c r="B21" s="1531">
        <v>600</v>
      </c>
      <c r="C21" s="1532">
        <v>60016</v>
      </c>
      <c r="D21" s="1533">
        <v>6050</v>
      </c>
      <c r="E21" s="1534" t="s">
        <v>807</v>
      </c>
      <c r="F21" s="1532" t="s">
        <v>794</v>
      </c>
      <c r="G21" s="1535">
        <v>2006</v>
      </c>
      <c r="H21" s="1555">
        <v>2009</v>
      </c>
      <c r="I21" s="1536">
        <f>1301.8+100</f>
        <v>1401.8</v>
      </c>
      <c r="J21" s="1536">
        <v>1140</v>
      </c>
      <c r="K21" s="1536">
        <v>0</v>
      </c>
      <c r="L21" s="1547">
        <v>0</v>
      </c>
      <c r="M21" s="1548"/>
      <c r="N21" s="1547">
        <v>0</v>
      </c>
      <c r="O21" s="1549"/>
      <c r="P21" s="1550"/>
      <c r="Q21" s="1550"/>
      <c r="R21" s="1550"/>
      <c r="S21" s="1550"/>
    </row>
    <row r="22" spans="1:19" s="1551" customFormat="1" ht="38.25">
      <c r="A22" s="1530">
        <v>12</v>
      </c>
      <c r="B22" s="1531">
        <v>600</v>
      </c>
      <c r="C22" s="1532">
        <v>60016</v>
      </c>
      <c r="D22" s="1533">
        <v>6050</v>
      </c>
      <c r="E22" s="1534" t="s">
        <v>650</v>
      </c>
      <c r="F22" s="1532" t="s">
        <v>794</v>
      </c>
      <c r="G22" s="1535">
        <v>2007</v>
      </c>
      <c r="H22" s="1555">
        <v>2010</v>
      </c>
      <c r="I22" s="1536">
        <v>4723.6</v>
      </c>
      <c r="J22" s="1536">
        <v>3500</v>
      </c>
      <c r="K22" s="1536">
        <v>1200</v>
      </c>
      <c r="L22" s="1547">
        <v>0</v>
      </c>
      <c r="M22" s="1548"/>
      <c r="N22" s="1547">
        <v>0</v>
      </c>
      <c r="O22" s="1549"/>
      <c r="P22" s="1550"/>
      <c r="Q22" s="1550"/>
      <c r="R22" s="1550"/>
      <c r="S22" s="1550"/>
    </row>
    <row r="23" spans="1:19" s="1557" customFormat="1" ht="17.25" customHeight="1">
      <c r="A23" s="1530">
        <v>13</v>
      </c>
      <c r="B23" s="1531">
        <v>600</v>
      </c>
      <c r="C23" s="1532">
        <v>60016</v>
      </c>
      <c r="D23" s="1533">
        <v>6050</v>
      </c>
      <c r="E23" s="1534" t="s">
        <v>808</v>
      </c>
      <c r="F23" s="1532" t="s">
        <v>794</v>
      </c>
      <c r="G23" s="1535">
        <v>2008</v>
      </c>
      <c r="H23" s="1535">
        <v>2009</v>
      </c>
      <c r="I23" s="1536">
        <v>250</v>
      </c>
      <c r="J23" s="1537">
        <v>110</v>
      </c>
      <c r="K23" s="1537">
        <v>0</v>
      </c>
      <c r="L23" s="1538">
        <v>0</v>
      </c>
      <c r="M23" s="1539"/>
      <c r="N23" s="1538">
        <v>0</v>
      </c>
      <c r="O23" s="1540"/>
      <c r="P23" s="1556"/>
      <c r="Q23" s="1544"/>
      <c r="R23" s="1544"/>
      <c r="S23" s="1544"/>
    </row>
    <row r="24" spans="1:19" s="1557" customFormat="1" ht="17.25" customHeight="1">
      <c r="A24" s="1530">
        <v>111</v>
      </c>
      <c r="B24" s="1531">
        <v>600</v>
      </c>
      <c r="C24" s="1532">
        <v>60016</v>
      </c>
      <c r="D24" s="1533">
        <v>6050</v>
      </c>
      <c r="E24" s="1534" t="s">
        <v>655</v>
      </c>
      <c r="F24" s="1532" t="s">
        <v>710</v>
      </c>
      <c r="G24" s="1535">
        <v>2009</v>
      </c>
      <c r="H24" s="1805">
        <v>2009</v>
      </c>
      <c r="I24" s="1536">
        <v>3.904</v>
      </c>
      <c r="J24" s="1537">
        <v>3.904</v>
      </c>
      <c r="K24" s="1537">
        <v>0</v>
      </c>
      <c r="L24" s="1538">
        <v>0</v>
      </c>
      <c r="M24" s="1539"/>
      <c r="N24" s="1538"/>
      <c r="O24" s="1540"/>
      <c r="P24" s="1556"/>
      <c r="Q24" s="1544"/>
      <c r="R24" s="1544"/>
      <c r="S24" s="1544"/>
    </row>
    <row r="25" spans="1:19" s="1551" customFormat="1" ht="18" customHeight="1">
      <c r="A25" s="1530">
        <v>14</v>
      </c>
      <c r="B25" s="1531">
        <v>600</v>
      </c>
      <c r="C25" s="1532">
        <v>60016</v>
      </c>
      <c r="D25" s="1533">
        <v>6050</v>
      </c>
      <c r="E25" s="1534" t="s">
        <v>809</v>
      </c>
      <c r="F25" s="1532" t="s">
        <v>794</v>
      </c>
      <c r="G25" s="1535">
        <v>2007</v>
      </c>
      <c r="H25" s="1555">
        <v>2009</v>
      </c>
      <c r="I25" s="1536">
        <v>2200</v>
      </c>
      <c r="J25" s="1536">
        <v>1550</v>
      </c>
      <c r="K25" s="1536">
        <v>0</v>
      </c>
      <c r="L25" s="1547">
        <v>0</v>
      </c>
      <c r="M25" s="1548"/>
      <c r="N25" s="1547">
        <v>0</v>
      </c>
      <c r="O25" s="1549"/>
      <c r="P25" s="1550"/>
      <c r="Q25" s="1550"/>
      <c r="R25" s="1550"/>
      <c r="S25" s="1550"/>
    </row>
    <row r="26" spans="1:19" s="1551" customFormat="1" ht="38.25">
      <c r="A26" s="1530">
        <v>128</v>
      </c>
      <c r="B26" s="1542">
        <v>600</v>
      </c>
      <c r="C26" s="1532">
        <v>60016</v>
      </c>
      <c r="D26" s="1533">
        <v>6050</v>
      </c>
      <c r="E26" s="1534" t="s">
        <v>596</v>
      </c>
      <c r="F26" s="1532" t="s">
        <v>710</v>
      </c>
      <c r="G26" s="1535">
        <v>2009</v>
      </c>
      <c r="H26" s="1555">
        <v>2009</v>
      </c>
      <c r="I26" s="1536">
        <v>4.026</v>
      </c>
      <c r="J26" s="1536">
        <v>4.026</v>
      </c>
      <c r="K26" s="1536">
        <v>0</v>
      </c>
      <c r="L26" s="1547">
        <v>0</v>
      </c>
      <c r="M26" s="1548"/>
      <c r="N26" s="1547"/>
      <c r="O26" s="1549"/>
      <c r="P26" s="1550"/>
      <c r="Q26" s="1550"/>
      <c r="R26" s="1550"/>
      <c r="S26" s="1550"/>
    </row>
    <row r="27" spans="1:19" s="1541" customFormat="1" ht="18" customHeight="1">
      <c r="A27" s="1530">
        <v>15</v>
      </c>
      <c r="B27" s="1542">
        <v>600</v>
      </c>
      <c r="C27" s="1532">
        <v>60016</v>
      </c>
      <c r="D27" s="1532">
        <v>6050</v>
      </c>
      <c r="E27" s="1552" t="s">
        <v>810</v>
      </c>
      <c r="F27" s="1558" t="s">
        <v>710</v>
      </c>
      <c r="G27" s="1535">
        <v>1998</v>
      </c>
      <c r="H27" s="1535" t="s">
        <v>811</v>
      </c>
      <c r="I27" s="1536">
        <v>5003</v>
      </c>
      <c r="J27" s="1536">
        <v>0</v>
      </c>
      <c r="K27" s="1536">
        <v>700</v>
      </c>
      <c r="L27" s="1547">
        <v>750</v>
      </c>
      <c r="M27" s="1548"/>
      <c r="N27" s="1547">
        <v>400</v>
      </c>
      <c r="O27" s="1549"/>
      <c r="P27" s="1478"/>
      <c r="Q27" s="1478"/>
      <c r="R27" s="1478"/>
      <c r="S27" s="1478"/>
    </row>
    <row r="28" spans="1:18" s="1557" customFormat="1" ht="18" customHeight="1">
      <c r="A28" s="1530">
        <v>16</v>
      </c>
      <c r="B28" s="1542">
        <v>600</v>
      </c>
      <c r="C28" s="1532">
        <v>60016</v>
      </c>
      <c r="D28" s="1533">
        <v>6050</v>
      </c>
      <c r="E28" s="1552" t="s">
        <v>812</v>
      </c>
      <c r="F28" s="1558" t="s">
        <v>710</v>
      </c>
      <c r="G28" s="1535">
        <v>2005</v>
      </c>
      <c r="H28" s="1553" t="s">
        <v>811</v>
      </c>
      <c r="I28" s="1536">
        <f>9430+500</f>
        <v>9930</v>
      </c>
      <c r="J28" s="1537">
        <v>680</v>
      </c>
      <c r="K28" s="1537">
        <v>100</v>
      </c>
      <c r="L28" s="1538">
        <v>500</v>
      </c>
      <c r="M28" s="1539"/>
      <c r="N28" s="1538">
        <v>500</v>
      </c>
      <c r="O28" s="1540"/>
      <c r="P28" s="1544"/>
      <c r="Q28" s="1544"/>
      <c r="R28" s="1544"/>
    </row>
    <row r="29" spans="1:19" s="1541" customFormat="1" ht="18" customHeight="1">
      <c r="A29" s="1530">
        <v>17</v>
      </c>
      <c r="B29" s="1531">
        <v>600</v>
      </c>
      <c r="C29" s="1532">
        <v>60016</v>
      </c>
      <c r="D29" s="1533">
        <v>6050</v>
      </c>
      <c r="E29" s="1534" t="s">
        <v>813</v>
      </c>
      <c r="F29" s="1558" t="s">
        <v>710</v>
      </c>
      <c r="G29" s="1535">
        <v>2008</v>
      </c>
      <c r="H29" s="1535">
        <v>2011</v>
      </c>
      <c r="I29" s="1536">
        <v>900</v>
      </c>
      <c r="J29" s="1537">
        <v>200</v>
      </c>
      <c r="K29" s="1537">
        <v>700</v>
      </c>
      <c r="L29" s="1538">
        <v>500</v>
      </c>
      <c r="M29" s="1539"/>
      <c r="N29" s="1538">
        <v>0</v>
      </c>
      <c r="O29" s="1540"/>
      <c r="P29" s="1480"/>
      <c r="Q29" s="1478"/>
      <c r="R29" s="1478"/>
      <c r="S29" s="1478"/>
    </row>
    <row r="30" spans="1:18" s="1541" customFormat="1" ht="18.75" customHeight="1">
      <c r="A30" s="1530">
        <v>18</v>
      </c>
      <c r="B30" s="1531">
        <v>600</v>
      </c>
      <c r="C30" s="1532">
        <v>60016</v>
      </c>
      <c r="D30" s="1533">
        <v>6050</v>
      </c>
      <c r="E30" s="1552" t="s">
        <v>814</v>
      </c>
      <c r="F30" s="1532" t="s">
        <v>794</v>
      </c>
      <c r="G30" s="1553" t="s">
        <v>804</v>
      </c>
      <c r="H30" s="1553" t="s">
        <v>804</v>
      </c>
      <c r="I30" s="1553" t="s">
        <v>804</v>
      </c>
      <c r="J30" s="1537">
        <v>200</v>
      </c>
      <c r="K30" s="1537">
        <v>200</v>
      </c>
      <c r="L30" s="1538">
        <v>200</v>
      </c>
      <c r="M30" s="1539"/>
      <c r="N30" s="1538"/>
      <c r="O30" s="1540"/>
      <c r="P30" s="1478"/>
      <c r="Q30" s="1478"/>
      <c r="R30" s="1478"/>
    </row>
    <row r="31" spans="1:19" s="1541" customFormat="1" ht="18" customHeight="1">
      <c r="A31" s="1530">
        <v>19</v>
      </c>
      <c r="B31" s="1531">
        <v>600</v>
      </c>
      <c r="C31" s="1532">
        <v>60016</v>
      </c>
      <c r="D31" s="1533">
        <v>6050</v>
      </c>
      <c r="E31" s="1534" t="s">
        <v>793</v>
      </c>
      <c r="F31" s="1532" t="s">
        <v>794</v>
      </c>
      <c r="G31" s="1535">
        <v>2006</v>
      </c>
      <c r="H31" s="1535">
        <v>2012</v>
      </c>
      <c r="I31" s="1536">
        <v>350</v>
      </c>
      <c r="J31" s="1537">
        <v>50</v>
      </c>
      <c r="K31" s="1537">
        <v>100</v>
      </c>
      <c r="L31" s="1538">
        <v>100</v>
      </c>
      <c r="M31" s="1539"/>
      <c r="N31" s="1538">
        <v>0</v>
      </c>
      <c r="O31" s="1540"/>
      <c r="P31" s="1480"/>
      <c r="Q31" s="1478"/>
      <c r="R31" s="1478"/>
      <c r="S31" s="1478"/>
    </row>
    <row r="32" spans="1:19" s="1541" customFormat="1" ht="25.5">
      <c r="A32" s="1530">
        <v>20</v>
      </c>
      <c r="B32" s="1531">
        <v>600</v>
      </c>
      <c r="C32" s="1532">
        <v>60017</v>
      </c>
      <c r="D32" s="1533">
        <v>6050</v>
      </c>
      <c r="E32" s="1559" t="s">
        <v>686</v>
      </c>
      <c r="F32" s="1532" t="s">
        <v>794</v>
      </c>
      <c r="G32" s="1535">
        <v>2008</v>
      </c>
      <c r="H32" s="1535">
        <v>2009</v>
      </c>
      <c r="I32" s="1536">
        <v>1020</v>
      </c>
      <c r="J32" s="1537">
        <v>420</v>
      </c>
      <c r="K32" s="1537">
        <v>0</v>
      </c>
      <c r="L32" s="1538">
        <v>0</v>
      </c>
      <c r="M32" s="1539"/>
      <c r="N32" s="1538">
        <v>0</v>
      </c>
      <c r="O32" s="1540"/>
      <c r="P32" s="1480"/>
      <c r="Q32" s="1478"/>
      <c r="R32" s="1478"/>
      <c r="S32" s="1478"/>
    </row>
    <row r="33" spans="1:19" s="1541" customFormat="1" ht="18" customHeight="1">
      <c r="A33" s="1530">
        <v>21</v>
      </c>
      <c r="B33" s="1531">
        <v>600</v>
      </c>
      <c r="C33" s="1532">
        <v>60017</v>
      </c>
      <c r="D33" s="1533">
        <v>6050</v>
      </c>
      <c r="E33" s="1534" t="s">
        <v>815</v>
      </c>
      <c r="F33" s="1532" t="s">
        <v>794</v>
      </c>
      <c r="G33" s="1535">
        <v>2008</v>
      </c>
      <c r="H33" s="1535">
        <v>2009</v>
      </c>
      <c r="I33" s="1536">
        <v>340</v>
      </c>
      <c r="J33" s="1537">
        <v>100</v>
      </c>
      <c r="K33" s="1537">
        <v>0</v>
      </c>
      <c r="L33" s="1538">
        <v>0</v>
      </c>
      <c r="M33" s="1539"/>
      <c r="N33" s="1538">
        <v>0</v>
      </c>
      <c r="O33" s="1540"/>
      <c r="P33" s="1480"/>
      <c r="Q33" s="1478"/>
      <c r="R33" s="1478"/>
      <c r="S33" s="1478"/>
    </row>
    <row r="34" spans="1:19" s="1541" customFormat="1" ht="16.5" customHeight="1">
      <c r="A34" s="1530">
        <v>22</v>
      </c>
      <c r="B34" s="1531">
        <v>600</v>
      </c>
      <c r="C34" s="1532">
        <v>60017</v>
      </c>
      <c r="D34" s="1533">
        <v>6050</v>
      </c>
      <c r="E34" s="1534" t="s">
        <v>816</v>
      </c>
      <c r="F34" s="1532" t="s">
        <v>710</v>
      </c>
      <c r="G34" s="1535">
        <v>2008</v>
      </c>
      <c r="H34" s="1535" t="s">
        <v>811</v>
      </c>
      <c r="I34" s="1536">
        <v>6500</v>
      </c>
      <c r="J34" s="1537">
        <v>200</v>
      </c>
      <c r="K34" s="1537">
        <v>200</v>
      </c>
      <c r="L34" s="1538">
        <v>1800</v>
      </c>
      <c r="M34" s="1539"/>
      <c r="N34" s="1538">
        <v>0</v>
      </c>
      <c r="O34" s="1540"/>
      <c r="P34" s="1480"/>
      <c r="Q34" s="1478"/>
      <c r="R34" s="1478"/>
      <c r="S34" s="1478"/>
    </row>
    <row r="35" ht="12.75" hidden="1">
      <c r="F35" s="1532" t="s">
        <v>710</v>
      </c>
    </row>
    <row r="36" spans="1:12" s="1544" customFormat="1" ht="25.5">
      <c r="A36" s="2174">
        <v>116</v>
      </c>
      <c r="B36" s="1635">
        <v>700</v>
      </c>
      <c r="C36" s="1635">
        <v>70001</v>
      </c>
      <c r="D36" s="1635">
        <v>6210</v>
      </c>
      <c r="E36" s="1601" t="s">
        <v>439</v>
      </c>
      <c r="F36" s="1532" t="s">
        <v>710</v>
      </c>
      <c r="G36" s="1635">
        <v>2009</v>
      </c>
      <c r="H36" s="1635">
        <v>2009</v>
      </c>
      <c r="I36" s="2173">
        <v>400</v>
      </c>
      <c r="J36" s="2173">
        <f>400-300</f>
        <v>100</v>
      </c>
      <c r="K36" s="2173">
        <v>300</v>
      </c>
      <c r="L36" s="2172">
        <v>0</v>
      </c>
    </row>
    <row r="37" spans="1:18" s="1541" customFormat="1" ht="18" customHeight="1">
      <c r="A37" s="1530">
        <v>24</v>
      </c>
      <c r="B37" s="1542">
        <v>700</v>
      </c>
      <c r="C37" s="1532">
        <v>70095</v>
      </c>
      <c r="D37" s="1532">
        <v>6050</v>
      </c>
      <c r="E37" s="1560" t="s">
        <v>818</v>
      </c>
      <c r="F37" s="1532" t="s">
        <v>710</v>
      </c>
      <c r="G37" s="1535">
        <v>1996</v>
      </c>
      <c r="H37" s="1553" t="s">
        <v>811</v>
      </c>
      <c r="I37" s="1536">
        <v>45000</v>
      </c>
      <c r="J37" s="1537">
        <v>6521.245</v>
      </c>
      <c r="K37" s="1537">
        <v>4550</v>
      </c>
      <c r="L37" s="1538">
        <v>5200</v>
      </c>
      <c r="M37" s="1539"/>
      <c r="N37" s="1538">
        <v>0</v>
      </c>
      <c r="O37" s="1540"/>
      <c r="P37" s="1478"/>
      <c r="Q37" s="1478"/>
      <c r="R37" s="1478"/>
    </row>
    <row r="38" spans="1:18" s="1541" customFormat="1" ht="19.5" customHeight="1">
      <c r="A38" s="1530">
        <v>25</v>
      </c>
      <c r="B38" s="1542">
        <v>710</v>
      </c>
      <c r="C38" s="1532">
        <v>71035</v>
      </c>
      <c r="D38" s="1532">
        <v>6050</v>
      </c>
      <c r="E38" s="1552" t="s">
        <v>819</v>
      </c>
      <c r="F38" s="1532" t="s">
        <v>710</v>
      </c>
      <c r="G38" s="1553">
        <v>2000</v>
      </c>
      <c r="H38" s="1553" t="s">
        <v>811</v>
      </c>
      <c r="I38" s="1561">
        <v>7300</v>
      </c>
      <c r="J38" s="1562">
        <v>360</v>
      </c>
      <c r="K38" s="1562">
        <v>800</v>
      </c>
      <c r="L38" s="1563">
        <v>800</v>
      </c>
      <c r="M38" s="1564"/>
      <c r="N38" s="1538">
        <v>800</v>
      </c>
      <c r="O38" s="1540"/>
      <c r="P38" s="1478"/>
      <c r="Q38" s="1478"/>
      <c r="R38" s="1478"/>
    </row>
    <row r="39" spans="1:18" s="1541" customFormat="1" ht="19.5" customHeight="1">
      <c r="A39" s="1530">
        <v>26</v>
      </c>
      <c r="B39" s="1542">
        <v>750</v>
      </c>
      <c r="C39" s="1532">
        <v>75023</v>
      </c>
      <c r="D39" s="1532">
        <v>6050</v>
      </c>
      <c r="E39" s="1552" t="s">
        <v>305</v>
      </c>
      <c r="F39" s="1558" t="s">
        <v>820</v>
      </c>
      <c r="G39" s="1553">
        <v>2009</v>
      </c>
      <c r="H39" s="1553">
        <v>2009</v>
      </c>
      <c r="I39" s="1561">
        <f>SUM(J39:L39)</f>
        <v>1468.85</v>
      </c>
      <c r="J39" s="1562">
        <v>1468.85</v>
      </c>
      <c r="K39" s="1562">
        <v>0</v>
      </c>
      <c r="L39" s="1563">
        <v>0</v>
      </c>
      <c r="M39" s="1565"/>
      <c r="N39" s="1566"/>
      <c r="O39" s="1540"/>
      <c r="P39" s="1478"/>
      <c r="Q39" s="1478"/>
      <c r="R39" s="1478"/>
    </row>
    <row r="40" spans="1:18" s="1541" customFormat="1" ht="19.5" customHeight="1">
      <c r="A40" s="1530">
        <v>27</v>
      </c>
      <c r="B40" s="1542">
        <v>750</v>
      </c>
      <c r="C40" s="1532">
        <v>75411</v>
      </c>
      <c r="D40" s="1532">
        <v>6050</v>
      </c>
      <c r="E40" s="1560" t="s">
        <v>821</v>
      </c>
      <c r="F40" s="1532" t="s">
        <v>822</v>
      </c>
      <c r="G40" s="1553">
        <v>2007</v>
      </c>
      <c r="H40" s="1553">
        <v>2009</v>
      </c>
      <c r="I40" s="1561">
        <f>1142.2+50</f>
        <v>1192.2</v>
      </c>
      <c r="J40" s="1562">
        <v>0</v>
      </c>
      <c r="K40" s="1562">
        <v>0</v>
      </c>
      <c r="L40" s="1563">
        <v>0</v>
      </c>
      <c r="M40" s="1565"/>
      <c r="N40" s="1566"/>
      <c r="O40" s="1540"/>
      <c r="P40" s="1478"/>
      <c r="Q40" s="1478"/>
      <c r="R40" s="1478"/>
    </row>
    <row r="41" spans="1:18" s="1541" customFormat="1" ht="25.5">
      <c r="A41" s="1530">
        <v>129</v>
      </c>
      <c r="B41" s="1542">
        <v>750</v>
      </c>
      <c r="C41" s="1532">
        <v>75411</v>
      </c>
      <c r="D41" s="1532">
        <v>6050</v>
      </c>
      <c r="E41" s="1534" t="s">
        <v>598</v>
      </c>
      <c r="F41" s="1532" t="s">
        <v>822</v>
      </c>
      <c r="G41" s="1553">
        <v>2009</v>
      </c>
      <c r="H41" s="1553">
        <v>2009</v>
      </c>
      <c r="I41" s="1561">
        <v>61</v>
      </c>
      <c r="J41" s="1562">
        <v>61</v>
      </c>
      <c r="K41" s="1562">
        <v>0</v>
      </c>
      <c r="L41" s="1563">
        <v>0</v>
      </c>
      <c r="M41" s="1565"/>
      <c r="N41" s="1566"/>
      <c r="O41" s="1540"/>
      <c r="P41" s="1478"/>
      <c r="Q41" s="1478"/>
      <c r="R41" s="1478"/>
    </row>
    <row r="42" spans="1:18" s="1541" customFormat="1" ht="19.5" customHeight="1">
      <c r="A42" s="1530">
        <v>112</v>
      </c>
      <c r="B42" s="1542">
        <v>758</v>
      </c>
      <c r="C42" s="1532">
        <v>75818</v>
      </c>
      <c r="D42" s="1532">
        <v>6800</v>
      </c>
      <c r="E42" s="1560" t="s">
        <v>823</v>
      </c>
      <c r="F42" s="1532" t="s">
        <v>710</v>
      </c>
      <c r="G42" s="1553">
        <v>2009</v>
      </c>
      <c r="H42" s="1553">
        <v>2009</v>
      </c>
      <c r="I42" s="1561">
        <f>J42</f>
        <v>114.825</v>
      </c>
      <c r="J42" s="1562">
        <f>118.851-4.026</f>
        <v>114.825</v>
      </c>
      <c r="K42" s="1562">
        <v>0</v>
      </c>
      <c r="L42" s="1563">
        <v>0</v>
      </c>
      <c r="M42" s="1565"/>
      <c r="N42" s="1566"/>
      <c r="O42" s="1540"/>
      <c r="P42" s="1478"/>
      <c r="Q42" s="1478"/>
      <c r="R42" s="1478"/>
    </row>
    <row r="43" spans="1:19" s="1541" customFormat="1" ht="28.5" customHeight="1">
      <c r="A43" s="1530">
        <v>28</v>
      </c>
      <c r="B43" s="1531">
        <v>900</v>
      </c>
      <c r="C43" s="1532">
        <v>90015</v>
      </c>
      <c r="D43" s="1532">
        <v>6050</v>
      </c>
      <c r="E43" s="1534" t="s">
        <v>824</v>
      </c>
      <c r="F43" s="1532" t="s">
        <v>794</v>
      </c>
      <c r="G43" s="1553" t="s">
        <v>804</v>
      </c>
      <c r="H43" s="1553" t="s">
        <v>804</v>
      </c>
      <c r="I43" s="1553" t="s">
        <v>804</v>
      </c>
      <c r="J43" s="1537">
        <v>97</v>
      </c>
      <c r="K43" s="1537">
        <v>200</v>
      </c>
      <c r="L43" s="1538">
        <v>200</v>
      </c>
      <c r="M43" s="1539"/>
      <c r="N43" s="1538">
        <v>100</v>
      </c>
      <c r="O43" s="1540"/>
      <c r="P43" s="1480"/>
      <c r="Q43" s="1478"/>
      <c r="R43" s="1478"/>
      <c r="S43" s="1478"/>
    </row>
    <row r="44" spans="1:19" s="1541" customFormat="1" ht="22.5" customHeight="1">
      <c r="A44" s="1530">
        <v>29</v>
      </c>
      <c r="B44" s="1531">
        <v>900</v>
      </c>
      <c r="C44" s="1532">
        <v>90015</v>
      </c>
      <c r="D44" s="1532">
        <v>6050</v>
      </c>
      <c r="E44" s="1534" t="s">
        <v>825</v>
      </c>
      <c r="F44" s="1532" t="s">
        <v>794</v>
      </c>
      <c r="G44" s="1553" t="s">
        <v>804</v>
      </c>
      <c r="H44" s="1553" t="s">
        <v>804</v>
      </c>
      <c r="I44" s="1553" t="s">
        <v>804</v>
      </c>
      <c r="J44" s="1537">
        <v>163.5</v>
      </c>
      <c r="K44" s="1537">
        <v>140</v>
      </c>
      <c r="L44" s="1538">
        <v>140</v>
      </c>
      <c r="M44" s="1539"/>
      <c r="N44" s="1538">
        <v>100</v>
      </c>
      <c r="O44" s="1540"/>
      <c r="P44" s="1480"/>
      <c r="Q44" s="1478"/>
      <c r="R44" s="1478"/>
      <c r="S44" s="1478"/>
    </row>
    <row r="45" spans="1:18" s="1541" customFormat="1" ht="18" customHeight="1">
      <c r="A45" s="1530">
        <v>30</v>
      </c>
      <c r="B45" s="1531">
        <v>900</v>
      </c>
      <c r="C45" s="1532">
        <v>90095</v>
      </c>
      <c r="D45" s="1532">
        <v>6050</v>
      </c>
      <c r="E45" s="1552" t="s">
        <v>826</v>
      </c>
      <c r="F45" s="1558" t="s">
        <v>710</v>
      </c>
      <c r="G45" s="1553">
        <v>2008</v>
      </c>
      <c r="H45" s="1553" t="s">
        <v>811</v>
      </c>
      <c r="I45" s="1561">
        <v>600</v>
      </c>
      <c r="J45" s="1562">
        <v>48</v>
      </c>
      <c r="K45" s="1562">
        <v>200</v>
      </c>
      <c r="L45" s="1563">
        <v>200</v>
      </c>
      <c r="M45" s="1564"/>
      <c r="N45" s="1567">
        <v>100</v>
      </c>
      <c r="O45" s="1568"/>
      <c r="P45" s="1478"/>
      <c r="Q45" s="1478"/>
      <c r="R45" s="1478"/>
    </row>
    <row r="46" spans="1:18" s="1541" customFormat="1" ht="18" customHeight="1">
      <c r="A46" s="1530">
        <v>31</v>
      </c>
      <c r="B46" s="1531">
        <v>900</v>
      </c>
      <c r="C46" s="1532">
        <v>90095</v>
      </c>
      <c r="D46" s="1532">
        <v>6050</v>
      </c>
      <c r="E46" s="1552" t="s">
        <v>827</v>
      </c>
      <c r="F46" s="1558" t="s">
        <v>710</v>
      </c>
      <c r="G46" s="1553">
        <v>2005</v>
      </c>
      <c r="H46" s="1553">
        <v>2009</v>
      </c>
      <c r="I46" s="1561">
        <v>2000</v>
      </c>
      <c r="J46" s="1562">
        <v>1353.9</v>
      </c>
      <c r="K46" s="1562">
        <v>0</v>
      </c>
      <c r="L46" s="1563">
        <v>0</v>
      </c>
      <c r="M46" s="1564"/>
      <c r="N46" s="1567"/>
      <c r="O46" s="1568"/>
      <c r="P46" s="1478"/>
      <c r="Q46" s="1478"/>
      <c r="R46" s="1478"/>
    </row>
    <row r="47" spans="1:18" s="1570" customFormat="1" ht="18.75" customHeight="1">
      <c r="A47" s="1530">
        <v>32</v>
      </c>
      <c r="B47" s="1542">
        <v>900</v>
      </c>
      <c r="C47" s="1532">
        <v>90095</v>
      </c>
      <c r="D47" s="1532">
        <v>6050</v>
      </c>
      <c r="E47" s="1569" t="s">
        <v>828</v>
      </c>
      <c r="F47" s="1558" t="s">
        <v>710</v>
      </c>
      <c r="G47" s="1553">
        <v>1995</v>
      </c>
      <c r="H47" s="1553" t="s">
        <v>811</v>
      </c>
      <c r="I47" s="1561">
        <v>2940</v>
      </c>
      <c r="J47" s="1562">
        <v>43</v>
      </c>
      <c r="K47" s="1562">
        <v>100</v>
      </c>
      <c r="L47" s="1563">
        <v>100</v>
      </c>
      <c r="M47" s="1564"/>
      <c r="N47" s="1538">
        <v>200</v>
      </c>
      <c r="O47" s="1540"/>
      <c r="P47" s="1480"/>
      <c r="Q47" s="1480"/>
      <c r="R47" s="1480"/>
    </row>
    <row r="48" spans="1:18" s="1570" customFormat="1" ht="17.25" customHeight="1">
      <c r="A48" s="1530">
        <v>33</v>
      </c>
      <c r="B48" s="1542">
        <v>900</v>
      </c>
      <c r="C48" s="1532">
        <v>90095</v>
      </c>
      <c r="D48" s="1532">
        <v>6050</v>
      </c>
      <c r="E48" s="1552" t="s">
        <v>829</v>
      </c>
      <c r="F48" s="1558" t="s">
        <v>710</v>
      </c>
      <c r="G48" s="1553" t="s">
        <v>804</v>
      </c>
      <c r="H48" s="1553" t="s">
        <v>804</v>
      </c>
      <c r="I48" s="1553" t="s">
        <v>804</v>
      </c>
      <c r="J48" s="1562">
        <v>172</v>
      </c>
      <c r="K48" s="1562">
        <v>300</v>
      </c>
      <c r="L48" s="1563">
        <v>300</v>
      </c>
      <c r="M48" s="1564"/>
      <c r="N48" s="1538">
        <v>200</v>
      </c>
      <c r="O48" s="1540"/>
      <c r="P48" s="1483"/>
      <c r="Q48" s="1480"/>
      <c r="R48" s="1480"/>
    </row>
    <row r="49" spans="1:18" s="1570" customFormat="1" ht="18" customHeight="1">
      <c r="A49" s="1530">
        <v>34</v>
      </c>
      <c r="B49" s="1542">
        <v>900</v>
      </c>
      <c r="C49" s="1532">
        <v>90095</v>
      </c>
      <c r="D49" s="1532">
        <v>6050</v>
      </c>
      <c r="E49" s="1552" t="s">
        <v>830</v>
      </c>
      <c r="F49" s="1558" t="s">
        <v>710</v>
      </c>
      <c r="G49" s="1553" t="s">
        <v>804</v>
      </c>
      <c r="H49" s="1553" t="s">
        <v>804</v>
      </c>
      <c r="I49" s="1553" t="s">
        <v>804</v>
      </c>
      <c r="J49" s="1562">
        <f>106-6</f>
        <v>100</v>
      </c>
      <c r="K49" s="1562">
        <v>400</v>
      </c>
      <c r="L49" s="1563">
        <v>200</v>
      </c>
      <c r="M49" s="1564"/>
      <c r="N49" s="1538">
        <v>200</v>
      </c>
      <c r="O49" s="1540"/>
      <c r="P49" s="1540"/>
      <c r="Q49" s="1540"/>
      <c r="R49" s="1480"/>
    </row>
    <row r="50" spans="1:18" s="1570" customFormat="1" ht="18" customHeight="1">
      <c r="A50" s="1530">
        <v>130</v>
      </c>
      <c r="B50" s="1542">
        <v>900</v>
      </c>
      <c r="C50" s="1532">
        <v>90095</v>
      </c>
      <c r="D50" s="1532">
        <v>6050</v>
      </c>
      <c r="E50" s="1552" t="s">
        <v>364</v>
      </c>
      <c r="F50" s="1558" t="s">
        <v>710</v>
      </c>
      <c r="G50" s="1572">
        <v>2009</v>
      </c>
      <c r="H50" s="1572">
        <v>2009</v>
      </c>
      <c r="I50" s="2456">
        <v>6</v>
      </c>
      <c r="J50" s="2455">
        <v>6</v>
      </c>
      <c r="K50" s="2455">
        <v>0</v>
      </c>
      <c r="L50" s="1580">
        <v>0</v>
      </c>
      <c r="M50" s="1565"/>
      <c r="N50" s="1566"/>
      <c r="O50" s="1540"/>
      <c r="P50" s="1540"/>
      <c r="Q50" s="1540"/>
      <c r="R50" s="1480"/>
    </row>
    <row r="51" spans="1:18" s="1541" customFormat="1" ht="17.25" customHeight="1">
      <c r="A51" s="1530">
        <v>35</v>
      </c>
      <c r="B51" s="1532">
        <v>921</v>
      </c>
      <c r="C51" s="1532">
        <v>92106</v>
      </c>
      <c r="D51" s="1533">
        <v>6050</v>
      </c>
      <c r="E51" s="1534" t="s">
        <v>831</v>
      </c>
      <c r="F51" s="1532" t="s">
        <v>711</v>
      </c>
      <c r="G51" s="1571">
        <v>2004</v>
      </c>
      <c r="H51" s="1572">
        <v>2010</v>
      </c>
      <c r="I51" s="2306">
        <f>10502-500</f>
        <v>10002</v>
      </c>
      <c r="J51" s="2307">
        <v>1049</v>
      </c>
      <c r="K51" s="2307">
        <v>500</v>
      </c>
      <c r="L51" s="2304">
        <v>3300</v>
      </c>
      <c r="M51" s="1573"/>
      <c r="N51" s="1566"/>
      <c r="O51" s="1540"/>
      <c r="P51" s="1574"/>
      <c r="Q51" s="1478"/>
      <c r="R51" s="1478"/>
    </row>
    <row r="52" spans="1:18" s="1541" customFormat="1" ht="18" customHeight="1">
      <c r="A52" s="1530">
        <v>106</v>
      </c>
      <c r="B52" s="1531">
        <v>926</v>
      </c>
      <c r="C52" s="1532">
        <v>92601</v>
      </c>
      <c r="D52" s="1532">
        <v>6050</v>
      </c>
      <c r="E52" s="1560" t="s">
        <v>644</v>
      </c>
      <c r="F52" s="1532" t="s">
        <v>711</v>
      </c>
      <c r="G52" s="1553">
        <v>2009</v>
      </c>
      <c r="H52" s="1553">
        <v>2009</v>
      </c>
      <c r="I52" s="1561">
        <f>SUM(J52:L52)</f>
        <v>157.5</v>
      </c>
      <c r="J52" s="1562">
        <v>157.5</v>
      </c>
      <c r="K52" s="1562">
        <v>0</v>
      </c>
      <c r="L52" s="1563">
        <v>0</v>
      </c>
      <c r="M52" s="1564"/>
      <c r="N52" s="1538"/>
      <c r="O52" s="1540"/>
      <c r="P52" s="1478"/>
      <c r="Q52" s="1478"/>
      <c r="R52" s="1478"/>
    </row>
    <row r="53" spans="1:18" s="1541" customFormat="1" ht="18" customHeight="1">
      <c r="A53" s="1530">
        <v>107</v>
      </c>
      <c r="B53" s="1634">
        <v>926</v>
      </c>
      <c r="C53" s="1635">
        <v>92601</v>
      </c>
      <c r="D53" s="1635">
        <v>6050</v>
      </c>
      <c r="E53" s="1636" t="s">
        <v>645</v>
      </c>
      <c r="F53" s="1532" t="s">
        <v>711</v>
      </c>
      <c r="G53" s="1553">
        <v>2009</v>
      </c>
      <c r="H53" s="1553">
        <v>2009</v>
      </c>
      <c r="I53" s="1561">
        <f>SUM(J53:L53)</f>
        <v>343</v>
      </c>
      <c r="J53" s="1562">
        <v>343</v>
      </c>
      <c r="K53" s="1562">
        <v>0</v>
      </c>
      <c r="L53" s="1563">
        <v>0</v>
      </c>
      <c r="M53" s="1564"/>
      <c r="N53" s="1538"/>
      <c r="O53" s="1540"/>
      <c r="P53" s="1478"/>
      <c r="Q53" s="1478"/>
      <c r="R53" s="1478"/>
    </row>
    <row r="54" spans="1:18" s="1541" customFormat="1" ht="19.5" customHeight="1">
      <c r="A54" s="1530">
        <v>36</v>
      </c>
      <c r="B54" s="1542">
        <v>926</v>
      </c>
      <c r="C54" s="1532">
        <v>92601</v>
      </c>
      <c r="D54" s="1532">
        <v>6050</v>
      </c>
      <c r="E54" s="1552" t="s">
        <v>832</v>
      </c>
      <c r="F54" s="1532" t="s">
        <v>711</v>
      </c>
      <c r="G54" s="1553">
        <v>2005</v>
      </c>
      <c r="H54" s="1553">
        <v>2009</v>
      </c>
      <c r="I54" s="1561">
        <v>13373.8</v>
      </c>
      <c r="J54" s="1562">
        <v>300</v>
      </c>
      <c r="K54" s="1562">
        <v>0</v>
      </c>
      <c r="L54" s="1563">
        <v>0</v>
      </c>
      <c r="M54" s="1564"/>
      <c r="N54" s="1538">
        <v>0</v>
      </c>
      <c r="O54" s="1540"/>
      <c r="P54" s="1478"/>
      <c r="Q54" s="1478"/>
      <c r="R54" s="1478"/>
    </row>
    <row r="55" spans="1:19" s="1570" customFormat="1" ht="22.5" customHeight="1" hidden="1">
      <c r="A55" s="1530"/>
      <c r="B55" s="1542"/>
      <c r="C55" s="1532"/>
      <c r="D55" s="1532"/>
      <c r="E55" s="1552"/>
      <c r="F55" s="1558"/>
      <c r="G55" s="1553"/>
      <c r="H55" s="1553"/>
      <c r="I55" s="1561"/>
      <c r="J55" s="1562"/>
      <c r="K55" s="1562"/>
      <c r="L55" s="1563"/>
      <c r="M55" s="1564"/>
      <c r="N55" s="1538"/>
      <c r="O55" s="1540"/>
      <c r="P55" s="1480"/>
      <c r="Q55" s="1480"/>
      <c r="R55" s="1480"/>
      <c r="S55" s="1480"/>
    </row>
    <row r="56" spans="1:19" s="1570" customFormat="1" ht="22.5" customHeight="1" hidden="1">
      <c r="A56" s="1530"/>
      <c r="B56" s="1542"/>
      <c r="C56" s="1532"/>
      <c r="D56" s="1532"/>
      <c r="E56" s="1552"/>
      <c r="F56" s="1558"/>
      <c r="G56" s="1553"/>
      <c r="H56" s="1553"/>
      <c r="I56" s="1561"/>
      <c r="J56" s="1562"/>
      <c r="K56" s="1562"/>
      <c r="L56" s="1563"/>
      <c r="M56" s="1564"/>
      <c r="N56" s="1538"/>
      <c r="O56" s="1540"/>
      <c r="P56" s="1483"/>
      <c r="Q56" s="1480"/>
      <c r="R56" s="1480"/>
      <c r="S56" s="1480"/>
    </row>
    <row r="57" spans="1:19" s="1570" customFormat="1" ht="22.5" customHeight="1" hidden="1">
      <c r="A57" s="1530"/>
      <c r="B57" s="1542"/>
      <c r="C57" s="1532"/>
      <c r="D57" s="1533"/>
      <c r="E57" s="1569"/>
      <c r="F57" s="1558"/>
      <c r="G57" s="1553"/>
      <c r="H57" s="1553"/>
      <c r="I57" s="1561"/>
      <c r="J57" s="1562"/>
      <c r="K57" s="1562"/>
      <c r="L57" s="1563"/>
      <c r="M57" s="1564"/>
      <c r="N57" s="1538"/>
      <c r="O57" s="1540"/>
      <c r="P57" s="1480"/>
      <c r="Q57" s="1480"/>
      <c r="R57" s="1480"/>
      <c r="S57" s="1480"/>
    </row>
    <row r="58" spans="1:19" s="1570" customFormat="1" ht="27" customHeight="1" hidden="1">
      <c r="A58" s="1530"/>
      <c r="B58" s="1542"/>
      <c r="C58" s="1532"/>
      <c r="D58" s="1533"/>
      <c r="E58" s="1569"/>
      <c r="F58" s="1558"/>
      <c r="G58" s="1553"/>
      <c r="H58" s="1553"/>
      <c r="I58" s="1561"/>
      <c r="J58" s="1562"/>
      <c r="K58" s="1562"/>
      <c r="L58" s="1563"/>
      <c r="M58" s="1564"/>
      <c r="N58" s="1538"/>
      <c r="O58" s="1540"/>
      <c r="P58" s="1480"/>
      <c r="Q58" s="1480"/>
      <c r="R58" s="1480"/>
      <c r="S58" s="1480"/>
    </row>
    <row r="59" spans="1:19" ht="12.75" hidden="1">
      <c r="A59" s="1575"/>
      <c r="J59" s="1576"/>
      <c r="K59" s="1576"/>
      <c r="L59" s="1577"/>
      <c r="M59" s="1578"/>
      <c r="N59" s="1566"/>
      <c r="O59" s="1540"/>
      <c r="S59" s="1480"/>
    </row>
    <row r="60" spans="1:19" s="1541" customFormat="1" ht="12.75" hidden="1">
      <c r="A60" s="1530"/>
      <c r="B60" s="1542"/>
      <c r="C60" s="1532"/>
      <c r="D60" s="1579"/>
      <c r="E60" s="1534"/>
      <c r="F60" s="1532"/>
      <c r="G60" s="1535"/>
      <c r="H60" s="1553"/>
      <c r="I60" s="1536"/>
      <c r="J60" s="1537"/>
      <c r="K60" s="1537"/>
      <c r="L60" s="1538"/>
      <c r="M60" s="1539"/>
      <c r="N60" s="1538"/>
      <c r="O60" s="1540"/>
      <c r="P60" s="1478"/>
      <c r="Q60" s="1478"/>
      <c r="R60" s="1478"/>
      <c r="S60" s="1478"/>
    </row>
    <row r="61" spans="1:19" s="1541" customFormat="1" ht="19.5" customHeight="1" hidden="1">
      <c r="A61" s="1530"/>
      <c r="B61" s="1542"/>
      <c r="C61" s="1532"/>
      <c r="D61" s="1579"/>
      <c r="E61" s="1534"/>
      <c r="F61" s="1532"/>
      <c r="G61" s="1535"/>
      <c r="H61" s="1553"/>
      <c r="I61" s="1536"/>
      <c r="J61" s="1537"/>
      <c r="K61" s="1537"/>
      <c r="L61" s="1538"/>
      <c r="M61" s="1539"/>
      <c r="N61" s="1538"/>
      <c r="O61" s="1540"/>
      <c r="P61" s="1478"/>
      <c r="Q61" s="1478"/>
      <c r="R61" s="1478"/>
      <c r="S61" s="1478"/>
    </row>
    <row r="62" spans="1:19" s="1541" customFormat="1" ht="26.25" customHeight="1" hidden="1">
      <c r="A62" s="1530"/>
      <c r="B62" s="1542"/>
      <c r="C62" s="1532"/>
      <c r="D62" s="1532"/>
      <c r="E62" s="1569"/>
      <c r="F62" s="1558"/>
      <c r="G62" s="1553"/>
      <c r="H62" s="1553"/>
      <c r="I62" s="1561"/>
      <c r="J62" s="1562"/>
      <c r="K62" s="1562"/>
      <c r="L62" s="1563"/>
      <c r="M62" s="1564"/>
      <c r="N62" s="1538"/>
      <c r="O62" s="1540"/>
      <c r="P62" s="1574"/>
      <c r="Q62" s="1478"/>
      <c r="R62" s="1478"/>
      <c r="S62" s="1478"/>
    </row>
    <row r="63" spans="1:19" s="1541" customFormat="1" ht="23.25" customHeight="1" hidden="1">
      <c r="A63" s="1530"/>
      <c r="B63" s="1542"/>
      <c r="C63" s="1532"/>
      <c r="D63" s="1532"/>
      <c r="E63" s="1552"/>
      <c r="F63" s="1558"/>
      <c r="G63" s="1553"/>
      <c r="H63" s="1553"/>
      <c r="I63" s="1561"/>
      <c r="J63" s="1562"/>
      <c r="K63" s="1562"/>
      <c r="L63" s="1563"/>
      <c r="M63" s="1564"/>
      <c r="N63" s="1538"/>
      <c r="O63" s="1540"/>
      <c r="P63" s="1574"/>
      <c r="Q63" s="1478"/>
      <c r="R63" s="1478"/>
      <c r="S63" s="1478"/>
    </row>
    <row r="64" spans="1:19" s="1541" customFormat="1" ht="41.25" customHeight="1" hidden="1">
      <c r="A64" s="2539"/>
      <c r="B64" s="2542"/>
      <c r="C64" s="2545"/>
      <c r="D64" s="1533"/>
      <c r="E64" s="2548"/>
      <c r="F64" s="2551"/>
      <c r="G64" s="2552"/>
      <c r="H64" s="2553"/>
      <c r="I64" s="2556"/>
      <c r="J64" s="1562"/>
      <c r="K64" s="2528"/>
      <c r="L64" s="1580"/>
      <c r="M64" s="1581"/>
      <c r="N64" s="2531"/>
      <c r="O64" s="1540"/>
      <c r="P64" s="1574"/>
      <c r="Q64" s="1478"/>
      <c r="R64" s="1478"/>
      <c r="S64" s="1478"/>
    </row>
    <row r="65" spans="1:19" s="1541" customFormat="1" ht="25.5" customHeight="1" hidden="1">
      <c r="A65" s="2540"/>
      <c r="B65" s="2543"/>
      <c r="C65" s="2546"/>
      <c r="D65" s="1533"/>
      <c r="E65" s="2549"/>
      <c r="F65" s="2546"/>
      <c r="G65" s="2546"/>
      <c r="H65" s="2554"/>
      <c r="I65" s="2557"/>
      <c r="J65" s="1562"/>
      <c r="K65" s="2529"/>
      <c r="L65" s="1583"/>
      <c r="M65" s="1565"/>
      <c r="N65" s="2532"/>
      <c r="O65" s="1540"/>
      <c r="P65" s="1478"/>
      <c r="Q65" s="1478"/>
      <c r="R65" s="1478"/>
      <c r="S65" s="1478"/>
    </row>
    <row r="66" spans="1:19" s="1541" customFormat="1" ht="25.5" customHeight="1" hidden="1">
      <c r="A66" s="2541"/>
      <c r="B66" s="2544"/>
      <c r="C66" s="2547"/>
      <c r="D66" s="1533"/>
      <c r="E66" s="2550"/>
      <c r="F66" s="2547"/>
      <c r="G66" s="2547"/>
      <c r="H66" s="2555"/>
      <c r="I66" s="2558"/>
      <c r="J66" s="1562"/>
      <c r="K66" s="2530"/>
      <c r="L66" s="1584"/>
      <c r="M66" s="1585"/>
      <c r="N66" s="2533"/>
      <c r="O66" s="1540"/>
      <c r="P66" s="1478"/>
      <c r="Q66" s="1478"/>
      <c r="R66" s="1478"/>
      <c r="S66" s="1478"/>
    </row>
    <row r="67" spans="1:17" s="1593" customFormat="1" ht="23.25" customHeight="1">
      <c r="A67" s="1518" t="s">
        <v>200</v>
      </c>
      <c r="B67" s="1586"/>
      <c r="C67" s="1586"/>
      <c r="D67" s="1519"/>
      <c r="E67" s="1520" t="s">
        <v>833</v>
      </c>
      <c r="F67" s="1520"/>
      <c r="G67" s="1587"/>
      <c r="H67" s="1587"/>
      <c r="I67" s="1588"/>
      <c r="J67" s="1589">
        <f>SUM(J72:J127)</f>
        <v>11749.244</v>
      </c>
      <c r="K67" s="1589">
        <f>SUM(K72:K127)</f>
        <v>21280</v>
      </c>
      <c r="L67" s="1590">
        <f>SUM(L72:L127)</f>
        <v>14500</v>
      </c>
      <c r="M67" s="1591"/>
      <c r="N67" s="1590" t="e">
        <f>SUM(N81:N164)</f>
        <v>#REF!</v>
      </c>
      <c r="O67" s="1592"/>
      <c r="P67" s="1592"/>
      <c r="Q67" s="1592"/>
    </row>
    <row r="68" spans="1:16" s="1593" customFormat="1" ht="24.75" customHeight="1" hidden="1">
      <c r="A68" s="1594"/>
      <c r="B68" s="1586"/>
      <c r="C68" s="1586"/>
      <c r="D68" s="1595"/>
      <c r="E68" s="1596"/>
      <c r="F68" s="1520"/>
      <c r="G68" s="1587"/>
      <c r="H68" s="1587"/>
      <c r="I68" s="1588"/>
      <c r="J68" s="1589"/>
      <c r="K68" s="1589"/>
      <c r="L68" s="1590"/>
      <c r="M68" s="1597"/>
      <c r="N68" s="1598"/>
      <c r="O68" s="1592"/>
      <c r="P68" s="1599"/>
    </row>
    <row r="69" spans="1:16" s="1593" customFormat="1" ht="24.75" customHeight="1" hidden="1">
      <c r="A69" s="1594"/>
      <c r="B69" s="1586"/>
      <c r="C69" s="1586"/>
      <c r="D69" s="1595"/>
      <c r="E69" s="1596"/>
      <c r="F69" s="1520"/>
      <c r="G69" s="1587"/>
      <c r="H69" s="1587"/>
      <c r="I69" s="1588"/>
      <c r="J69" s="1589"/>
      <c r="K69" s="1589"/>
      <c r="L69" s="1590"/>
      <c r="M69" s="1597"/>
      <c r="N69" s="1598"/>
      <c r="O69" s="1592"/>
      <c r="P69" s="1599"/>
    </row>
    <row r="70" spans="1:16" s="1593" customFormat="1" ht="24.75" customHeight="1" hidden="1">
      <c r="A70" s="1594"/>
      <c r="B70" s="1586"/>
      <c r="C70" s="1586"/>
      <c r="D70" s="1595"/>
      <c r="E70" s="1596"/>
      <c r="F70" s="1520"/>
      <c r="G70" s="1587"/>
      <c r="H70" s="1587"/>
      <c r="I70" s="1588"/>
      <c r="J70" s="1589"/>
      <c r="K70" s="1589"/>
      <c r="L70" s="1590"/>
      <c r="M70" s="1597"/>
      <c r="N70" s="1598"/>
      <c r="O70" s="1592"/>
      <c r="P70" s="1599"/>
    </row>
    <row r="71" spans="1:16" s="1593" customFormat="1" ht="24.75" customHeight="1" hidden="1">
      <c r="A71" s="1594"/>
      <c r="B71" s="1586"/>
      <c r="C71" s="1586"/>
      <c r="D71" s="1595"/>
      <c r="E71" s="1596"/>
      <c r="F71" s="1520"/>
      <c r="G71" s="1587"/>
      <c r="H71" s="1587"/>
      <c r="I71" s="1588"/>
      <c r="J71" s="1589"/>
      <c r="K71" s="1589"/>
      <c r="L71" s="1590"/>
      <c r="M71" s="1597"/>
      <c r="N71" s="1598"/>
      <c r="O71" s="1592"/>
      <c r="P71" s="1599"/>
    </row>
    <row r="72" spans="1:12" s="1556" customFormat="1" ht="25.5">
      <c r="A72" s="1530">
        <v>37</v>
      </c>
      <c r="B72" s="1531">
        <v>500</v>
      </c>
      <c r="C72" s="1532">
        <v>50095</v>
      </c>
      <c r="D72" s="1533">
        <v>6050</v>
      </c>
      <c r="E72" s="1534" t="s">
        <v>834</v>
      </c>
      <c r="F72" s="1532" t="s">
        <v>710</v>
      </c>
      <c r="G72" s="1532">
        <v>2009</v>
      </c>
      <c r="H72" s="1532">
        <v>2010</v>
      </c>
      <c r="I72" s="1536">
        <f>SUM(J72:L72)</f>
        <v>208.5</v>
      </c>
      <c r="J72" s="1536">
        <v>8.5</v>
      </c>
      <c r="K72" s="1536">
        <v>200</v>
      </c>
      <c r="L72" s="1547">
        <v>0</v>
      </c>
    </row>
    <row r="73" spans="1:19" s="1529" customFormat="1" ht="25.5" customHeight="1">
      <c r="A73" s="1530">
        <v>38</v>
      </c>
      <c r="B73" s="1531">
        <v>600</v>
      </c>
      <c r="C73" s="1532">
        <v>60015</v>
      </c>
      <c r="D73" s="1533">
        <v>6050</v>
      </c>
      <c r="E73" s="1534" t="s">
        <v>835</v>
      </c>
      <c r="F73" s="1532" t="s">
        <v>794</v>
      </c>
      <c r="G73" s="1545">
        <v>2007</v>
      </c>
      <c r="H73" s="1546" t="s">
        <v>836</v>
      </c>
      <c r="I73" s="1536">
        <v>5991.8</v>
      </c>
      <c r="J73" s="1537">
        <v>0</v>
      </c>
      <c r="K73" s="1537">
        <v>3500</v>
      </c>
      <c r="L73" s="1538">
        <v>0</v>
      </c>
      <c r="M73" s="1539"/>
      <c r="N73" s="1538">
        <v>0</v>
      </c>
      <c r="O73" s="1540"/>
      <c r="P73" s="1600"/>
      <c r="Q73" s="1528"/>
      <c r="R73" s="1528"/>
      <c r="S73" s="1528"/>
    </row>
    <row r="74" spans="1:19" s="1529" customFormat="1" ht="18" customHeight="1">
      <c r="A74" s="1530">
        <v>39</v>
      </c>
      <c r="B74" s="1531">
        <v>600</v>
      </c>
      <c r="C74" s="1532">
        <v>60015</v>
      </c>
      <c r="D74" s="1532">
        <v>6050</v>
      </c>
      <c r="E74" s="1543" t="s">
        <v>837</v>
      </c>
      <c r="F74" s="1532" t="s">
        <v>794</v>
      </c>
      <c r="G74" s="1545">
        <v>2007</v>
      </c>
      <c r="H74" s="1546" t="s">
        <v>800</v>
      </c>
      <c r="I74" s="1536">
        <v>2359</v>
      </c>
      <c r="J74" s="1537">
        <v>0</v>
      </c>
      <c r="K74" s="1537">
        <v>250</v>
      </c>
      <c r="L74" s="1538">
        <v>2000</v>
      </c>
      <c r="M74" s="1539"/>
      <c r="N74" s="1538">
        <v>0</v>
      </c>
      <c r="O74" s="1540"/>
      <c r="P74" s="1528"/>
      <c r="Q74" s="1528"/>
      <c r="R74" s="1528"/>
      <c r="S74" s="1528"/>
    </row>
    <row r="75" ht="12.75" hidden="1"/>
    <row r="76" spans="1:19" s="1529" customFormat="1" ht="18" customHeight="1">
      <c r="A76" s="1530">
        <v>117</v>
      </c>
      <c r="B76" s="1531">
        <v>600</v>
      </c>
      <c r="C76" s="1532">
        <v>60015</v>
      </c>
      <c r="D76" s="1532">
        <v>6050</v>
      </c>
      <c r="E76" s="1543" t="s">
        <v>691</v>
      </c>
      <c r="F76" s="1532" t="s">
        <v>794</v>
      </c>
      <c r="G76" s="1545">
        <v>2009</v>
      </c>
      <c r="H76" s="1546" t="s">
        <v>836</v>
      </c>
      <c r="I76" s="1536">
        <f>SUM(J76:K76)</f>
        <v>2510</v>
      </c>
      <c r="J76" s="1537">
        <v>10</v>
      </c>
      <c r="K76" s="1537">
        <v>2500</v>
      </c>
      <c r="L76" s="1538">
        <v>0</v>
      </c>
      <c r="M76" s="1539"/>
      <c r="N76" s="1538">
        <v>0</v>
      </c>
      <c r="O76" s="1540"/>
      <c r="P76" s="1528"/>
      <c r="Q76" s="1528"/>
      <c r="R76" s="1528"/>
      <c r="S76" s="1528"/>
    </row>
    <row r="77" spans="1:19" s="1529" customFormat="1" ht="18" customHeight="1">
      <c r="A77" s="1530">
        <v>118</v>
      </c>
      <c r="B77" s="1531">
        <v>600</v>
      </c>
      <c r="C77" s="1532">
        <v>60015</v>
      </c>
      <c r="D77" s="1532">
        <v>6050</v>
      </c>
      <c r="E77" s="1543" t="s">
        <v>692</v>
      </c>
      <c r="F77" s="1532" t="s">
        <v>794</v>
      </c>
      <c r="G77" s="1545">
        <v>2009</v>
      </c>
      <c r="H77" s="1546" t="s">
        <v>798</v>
      </c>
      <c r="I77" s="1536">
        <f>SUM(J77:L77)</f>
        <v>360</v>
      </c>
      <c r="J77" s="1537">
        <v>10</v>
      </c>
      <c r="K77" s="1537">
        <v>350</v>
      </c>
      <c r="L77" s="1538">
        <v>0</v>
      </c>
      <c r="M77" s="1539"/>
      <c r="N77" s="1538">
        <v>0</v>
      </c>
      <c r="O77" s="1540"/>
      <c r="P77" s="1528"/>
      <c r="Q77" s="1528"/>
      <c r="R77" s="1528"/>
      <c r="S77" s="1528"/>
    </row>
    <row r="78" spans="1:19" s="1529" customFormat="1" ht="25.5">
      <c r="A78" s="1530">
        <v>40</v>
      </c>
      <c r="B78" s="1531">
        <v>600</v>
      </c>
      <c r="C78" s="1532">
        <v>60015</v>
      </c>
      <c r="D78" s="1532">
        <v>6050</v>
      </c>
      <c r="E78" s="1543" t="s">
        <v>838</v>
      </c>
      <c r="F78" s="1532" t="s">
        <v>794</v>
      </c>
      <c r="G78" s="1545">
        <v>2007</v>
      </c>
      <c r="H78" s="1546" t="s">
        <v>839</v>
      </c>
      <c r="I78" s="1536">
        <v>2246</v>
      </c>
      <c r="J78" s="1537">
        <v>0</v>
      </c>
      <c r="K78" s="1537">
        <v>220</v>
      </c>
      <c r="L78" s="1538">
        <v>1000</v>
      </c>
      <c r="M78" s="1539"/>
      <c r="N78" s="1538">
        <v>0</v>
      </c>
      <c r="O78" s="1540"/>
      <c r="P78" s="1528"/>
      <c r="Q78" s="1528"/>
      <c r="R78" s="1528"/>
      <c r="S78" s="1528"/>
    </row>
    <row r="79" spans="1:15" s="1544" customFormat="1" ht="38.25">
      <c r="A79" s="1530">
        <v>41</v>
      </c>
      <c r="B79" s="1542">
        <v>600</v>
      </c>
      <c r="C79" s="1532">
        <v>60015</v>
      </c>
      <c r="D79" s="1533">
        <v>6050</v>
      </c>
      <c r="E79" s="1543" t="s">
        <v>0</v>
      </c>
      <c r="F79" s="1532" t="s">
        <v>794</v>
      </c>
      <c r="G79" s="1535">
        <v>2006</v>
      </c>
      <c r="H79" s="1535">
        <v>2011</v>
      </c>
      <c r="I79" s="1536">
        <v>1500</v>
      </c>
      <c r="J79" s="1537">
        <v>0</v>
      </c>
      <c r="K79" s="1537">
        <v>150</v>
      </c>
      <c r="L79" s="1538">
        <v>700</v>
      </c>
      <c r="M79" s="1539"/>
      <c r="N79" s="1538">
        <v>0</v>
      </c>
      <c r="O79" s="1540"/>
    </row>
    <row r="80" spans="1:15" s="1544" customFormat="1" ht="18.75" customHeight="1">
      <c r="A80" s="1530">
        <v>42</v>
      </c>
      <c r="B80" s="1542">
        <v>600</v>
      </c>
      <c r="C80" s="1532">
        <v>60015</v>
      </c>
      <c r="D80" s="1533">
        <v>6050</v>
      </c>
      <c r="E80" s="1543" t="s">
        <v>1</v>
      </c>
      <c r="F80" s="1532" t="s">
        <v>794</v>
      </c>
      <c r="G80" s="1535">
        <v>2008</v>
      </c>
      <c r="H80" s="1535">
        <v>2010</v>
      </c>
      <c r="I80" s="1536">
        <v>310</v>
      </c>
      <c r="J80" s="1537">
        <v>0</v>
      </c>
      <c r="K80" s="1537">
        <v>300</v>
      </c>
      <c r="L80" s="1538">
        <v>0</v>
      </c>
      <c r="M80" s="1539"/>
      <c r="N80" s="1538">
        <v>0</v>
      </c>
      <c r="O80" s="1540"/>
    </row>
    <row r="81" spans="1:12" s="1556" customFormat="1" ht="25.5">
      <c r="A81" s="1530">
        <v>43</v>
      </c>
      <c r="B81" s="1531">
        <v>600</v>
      </c>
      <c r="C81" s="1532">
        <v>60015</v>
      </c>
      <c r="D81" s="1533">
        <v>6050</v>
      </c>
      <c r="E81" s="1601" t="s">
        <v>2</v>
      </c>
      <c r="F81" s="1532" t="s">
        <v>794</v>
      </c>
      <c r="G81" s="1532">
        <v>2010</v>
      </c>
      <c r="H81" s="1532">
        <v>2013</v>
      </c>
      <c r="I81" s="1536">
        <v>4000</v>
      </c>
      <c r="J81" s="1536">
        <v>100</v>
      </c>
      <c r="K81" s="1536">
        <v>500</v>
      </c>
      <c r="L81" s="1547">
        <v>2000</v>
      </c>
    </row>
    <row r="82" spans="1:15" s="1544" customFormat="1" ht="18" customHeight="1">
      <c r="A82" s="1530">
        <v>44</v>
      </c>
      <c r="B82" s="1542">
        <v>600</v>
      </c>
      <c r="C82" s="1532">
        <v>60015</v>
      </c>
      <c r="D82" s="1533">
        <v>6050</v>
      </c>
      <c r="E82" s="1543" t="s">
        <v>3</v>
      </c>
      <c r="F82" s="1532" t="s">
        <v>794</v>
      </c>
      <c r="G82" s="1535">
        <v>2010</v>
      </c>
      <c r="H82" s="1535">
        <v>2011</v>
      </c>
      <c r="I82" s="1536">
        <v>1000</v>
      </c>
      <c r="J82" s="1537">
        <v>0</v>
      </c>
      <c r="K82" s="1537">
        <v>500</v>
      </c>
      <c r="L82" s="1538">
        <v>500</v>
      </c>
      <c r="M82" s="1539"/>
      <c r="N82" s="1538">
        <v>0</v>
      </c>
      <c r="O82" s="1540"/>
    </row>
    <row r="83" spans="1:19" s="1541" customFormat="1" ht="18" customHeight="1">
      <c r="A83" s="1530">
        <v>45</v>
      </c>
      <c r="B83" s="1531">
        <v>600</v>
      </c>
      <c r="C83" s="1532">
        <v>60015</v>
      </c>
      <c r="D83" s="1533">
        <v>6050</v>
      </c>
      <c r="E83" s="1559" t="s">
        <v>4</v>
      </c>
      <c r="F83" s="1532" t="s">
        <v>794</v>
      </c>
      <c r="G83" s="1535">
        <v>2011</v>
      </c>
      <c r="H83" s="1535">
        <v>2012</v>
      </c>
      <c r="I83" s="1536">
        <v>3000</v>
      </c>
      <c r="J83" s="1537">
        <v>0</v>
      </c>
      <c r="K83" s="1537">
        <v>0</v>
      </c>
      <c r="L83" s="1538">
        <v>1000</v>
      </c>
      <c r="M83" s="1539"/>
      <c r="N83" s="1538">
        <v>0</v>
      </c>
      <c r="O83" s="1540"/>
      <c r="P83" s="1480"/>
      <c r="Q83" s="1478"/>
      <c r="R83" s="1478"/>
      <c r="S83" s="1478"/>
    </row>
    <row r="84" spans="1:19" s="1541" customFormat="1" ht="18" customHeight="1">
      <c r="A84" s="1530">
        <v>46</v>
      </c>
      <c r="B84" s="1531">
        <v>600</v>
      </c>
      <c r="C84" s="1532">
        <v>60015</v>
      </c>
      <c r="D84" s="1533">
        <v>6050</v>
      </c>
      <c r="E84" s="1559" t="s">
        <v>5</v>
      </c>
      <c r="F84" s="1532" t="s">
        <v>712</v>
      </c>
      <c r="G84" s="1535">
        <v>2009</v>
      </c>
      <c r="H84" s="1535">
        <v>2011</v>
      </c>
      <c r="I84" s="1536">
        <f>SUM(J84:L84)</f>
        <v>600</v>
      </c>
      <c r="J84" s="1537">
        <v>0</v>
      </c>
      <c r="K84" s="1537">
        <v>300</v>
      </c>
      <c r="L84" s="1538">
        <v>300</v>
      </c>
      <c r="M84" s="1539"/>
      <c r="N84" s="1538"/>
      <c r="O84" s="1540"/>
      <c r="P84" s="1480"/>
      <c r="Q84" s="1478"/>
      <c r="R84" s="1478"/>
      <c r="S84" s="1478"/>
    </row>
    <row r="85" spans="1:15" s="1544" customFormat="1" ht="20.25" customHeight="1">
      <c r="A85" s="1530">
        <v>47</v>
      </c>
      <c r="B85" s="1542">
        <v>600</v>
      </c>
      <c r="C85" s="1532">
        <v>60016</v>
      </c>
      <c r="D85" s="1533">
        <v>6050</v>
      </c>
      <c r="E85" s="1543" t="s">
        <v>6</v>
      </c>
      <c r="F85" s="1532" t="s">
        <v>794</v>
      </c>
      <c r="G85" s="1535">
        <v>2009</v>
      </c>
      <c r="H85" s="1535">
        <v>2010</v>
      </c>
      <c r="I85" s="1536">
        <f>SUM(J85:L85)</f>
        <v>2650</v>
      </c>
      <c r="J85" s="1537">
        <v>50</v>
      </c>
      <c r="K85" s="1537">
        <v>2600</v>
      </c>
      <c r="L85" s="1538">
        <v>0</v>
      </c>
      <c r="M85" s="1539"/>
      <c r="N85" s="1538"/>
      <c r="O85" s="1540"/>
    </row>
    <row r="86" spans="1:19" s="1541" customFormat="1" ht="18" customHeight="1">
      <c r="A86" s="1530">
        <v>48</v>
      </c>
      <c r="B86" s="1531">
        <v>600</v>
      </c>
      <c r="C86" s="1532">
        <v>60016</v>
      </c>
      <c r="D86" s="1533">
        <v>6050</v>
      </c>
      <c r="E86" s="1534" t="s">
        <v>7</v>
      </c>
      <c r="F86" s="1532" t="s">
        <v>794</v>
      </c>
      <c r="G86" s="1535">
        <v>2006</v>
      </c>
      <c r="H86" s="1535">
        <v>2011</v>
      </c>
      <c r="I86" s="1536">
        <v>853</v>
      </c>
      <c r="J86" s="1537">
        <v>0</v>
      </c>
      <c r="K86" s="1537">
        <v>0</v>
      </c>
      <c r="L86" s="1538">
        <v>800</v>
      </c>
      <c r="M86" s="1539"/>
      <c r="N86" s="1538">
        <v>0</v>
      </c>
      <c r="O86" s="1540"/>
      <c r="P86" s="1480"/>
      <c r="Q86" s="1478"/>
      <c r="R86" s="1478"/>
      <c r="S86" s="1478"/>
    </row>
    <row r="87" spans="1:19" s="1541" customFormat="1" ht="18" customHeight="1">
      <c r="A87" s="1530">
        <v>49</v>
      </c>
      <c r="B87" s="1531">
        <v>600</v>
      </c>
      <c r="C87" s="1532">
        <v>60016</v>
      </c>
      <c r="D87" s="1533">
        <v>6050</v>
      </c>
      <c r="E87" s="1534" t="s">
        <v>8</v>
      </c>
      <c r="F87" s="1532" t="s">
        <v>794</v>
      </c>
      <c r="G87" s="1535">
        <v>2006</v>
      </c>
      <c r="H87" s="1535">
        <v>2011</v>
      </c>
      <c r="I87" s="1536">
        <v>430</v>
      </c>
      <c r="J87" s="1537">
        <v>0</v>
      </c>
      <c r="K87" s="1537">
        <v>0</v>
      </c>
      <c r="L87" s="1538">
        <v>400</v>
      </c>
      <c r="M87" s="1539"/>
      <c r="N87" s="1538">
        <v>0</v>
      </c>
      <c r="O87" s="1540"/>
      <c r="P87" s="1480"/>
      <c r="Q87" s="1478"/>
      <c r="R87" s="1478"/>
      <c r="S87" s="1478"/>
    </row>
    <row r="88" spans="1:18" s="1541" customFormat="1" ht="29.25" customHeight="1">
      <c r="A88" s="1530">
        <v>50</v>
      </c>
      <c r="B88" s="1531">
        <v>600</v>
      </c>
      <c r="C88" s="1532">
        <v>60016</v>
      </c>
      <c r="D88" s="1533">
        <v>6050</v>
      </c>
      <c r="E88" s="1534" t="s">
        <v>9</v>
      </c>
      <c r="F88" s="1532" t="s">
        <v>710</v>
      </c>
      <c r="G88" s="1535">
        <v>2007</v>
      </c>
      <c r="H88" s="1535">
        <v>2010</v>
      </c>
      <c r="I88" s="1536">
        <v>1200</v>
      </c>
      <c r="J88" s="1537">
        <v>0</v>
      </c>
      <c r="K88" s="1537">
        <v>500</v>
      </c>
      <c r="L88" s="1538">
        <v>500</v>
      </c>
      <c r="M88" s="1539"/>
      <c r="N88" s="1538">
        <v>0</v>
      </c>
      <c r="O88" s="1540"/>
      <c r="P88" s="1478"/>
      <c r="Q88" s="1478"/>
      <c r="R88" s="1478"/>
    </row>
    <row r="89" spans="1:19" s="1541" customFormat="1" ht="27.75" customHeight="1">
      <c r="A89" s="1530">
        <v>51</v>
      </c>
      <c r="B89" s="1542">
        <v>600</v>
      </c>
      <c r="C89" s="1532">
        <v>60016</v>
      </c>
      <c r="D89" s="1533">
        <v>6050</v>
      </c>
      <c r="E89" s="1534" t="s">
        <v>10</v>
      </c>
      <c r="F89" s="1532" t="s">
        <v>710</v>
      </c>
      <c r="G89" s="1535">
        <v>2007</v>
      </c>
      <c r="H89" s="1535" t="s">
        <v>811</v>
      </c>
      <c r="I89" s="1536">
        <v>2700</v>
      </c>
      <c r="J89" s="1537">
        <v>500</v>
      </c>
      <c r="K89" s="1537">
        <v>1000</v>
      </c>
      <c r="L89" s="1538">
        <v>1000</v>
      </c>
      <c r="M89" s="1539"/>
      <c r="N89" s="1538"/>
      <c r="O89" s="1540"/>
      <c r="P89" s="1480"/>
      <c r="Q89" s="1478"/>
      <c r="R89" s="1478"/>
      <c r="S89" s="1478"/>
    </row>
    <row r="90" spans="1:18" s="1557" customFormat="1" ht="18" customHeight="1">
      <c r="A90" s="1530">
        <v>52</v>
      </c>
      <c r="B90" s="1542">
        <v>600</v>
      </c>
      <c r="C90" s="1532">
        <v>60016</v>
      </c>
      <c r="D90" s="1533">
        <v>6050</v>
      </c>
      <c r="E90" s="1552" t="s">
        <v>11</v>
      </c>
      <c r="F90" s="1532" t="s">
        <v>710</v>
      </c>
      <c r="G90" s="1535">
        <v>2006</v>
      </c>
      <c r="H90" s="1553" t="s">
        <v>811</v>
      </c>
      <c r="I90" s="1536">
        <v>3200</v>
      </c>
      <c r="J90" s="1537">
        <v>147</v>
      </c>
      <c r="K90" s="1537">
        <v>600</v>
      </c>
      <c r="L90" s="1538">
        <v>150</v>
      </c>
      <c r="M90" s="1539"/>
      <c r="N90" s="1538">
        <v>500</v>
      </c>
      <c r="O90" s="1540"/>
      <c r="P90" s="1544"/>
      <c r="Q90" s="1544"/>
      <c r="R90" s="1544"/>
    </row>
    <row r="91" spans="1:18" s="1541" customFormat="1" ht="20.25" customHeight="1">
      <c r="A91" s="1530">
        <v>53</v>
      </c>
      <c r="B91" s="1531">
        <v>600</v>
      </c>
      <c r="C91" s="1532">
        <v>60017</v>
      </c>
      <c r="D91" s="1533">
        <v>6050</v>
      </c>
      <c r="E91" s="1534" t="s">
        <v>12</v>
      </c>
      <c r="F91" s="1532" t="s">
        <v>710</v>
      </c>
      <c r="G91" s="1535">
        <v>2008</v>
      </c>
      <c r="H91" s="1535">
        <v>2010</v>
      </c>
      <c r="I91" s="1536">
        <v>300</v>
      </c>
      <c r="J91" s="1537">
        <v>60</v>
      </c>
      <c r="K91" s="1537">
        <v>100</v>
      </c>
      <c r="L91" s="1538">
        <v>0</v>
      </c>
      <c r="M91" s="1539"/>
      <c r="N91" s="1538"/>
      <c r="O91" s="1540"/>
      <c r="P91" s="1478"/>
      <c r="Q91" s="1478"/>
      <c r="R91" s="1478"/>
    </row>
    <row r="92" spans="1:19" s="1541" customFormat="1" ht="18" customHeight="1">
      <c r="A92" s="1530">
        <v>54</v>
      </c>
      <c r="B92" s="1531">
        <v>600</v>
      </c>
      <c r="C92" s="1532">
        <v>60017</v>
      </c>
      <c r="D92" s="1533">
        <v>6050</v>
      </c>
      <c r="E92" s="1534" t="s">
        <v>13</v>
      </c>
      <c r="F92" s="1532" t="s">
        <v>794</v>
      </c>
      <c r="G92" s="1535">
        <v>2011</v>
      </c>
      <c r="H92" s="1535">
        <v>2013</v>
      </c>
      <c r="I92" s="1536">
        <v>2600</v>
      </c>
      <c r="J92" s="1537">
        <v>0</v>
      </c>
      <c r="K92" s="1537">
        <v>0</v>
      </c>
      <c r="L92" s="1538">
        <v>100</v>
      </c>
      <c r="M92" s="1539"/>
      <c r="N92" s="1538">
        <v>0</v>
      </c>
      <c r="O92" s="1540"/>
      <c r="P92" s="1480"/>
      <c r="Q92" s="1478"/>
      <c r="R92" s="1478"/>
      <c r="S92" s="1478"/>
    </row>
    <row r="93" spans="1:19" s="1541" customFormat="1" ht="18" customHeight="1">
      <c r="A93" s="1530">
        <v>55</v>
      </c>
      <c r="B93" s="1531">
        <v>600</v>
      </c>
      <c r="C93" s="1532">
        <v>60017</v>
      </c>
      <c r="D93" s="1533">
        <v>6050</v>
      </c>
      <c r="E93" s="1559" t="s">
        <v>14</v>
      </c>
      <c r="F93" s="1532" t="s">
        <v>794</v>
      </c>
      <c r="G93" s="1535">
        <v>2011</v>
      </c>
      <c r="H93" s="1535">
        <v>2011</v>
      </c>
      <c r="I93" s="1536">
        <v>400</v>
      </c>
      <c r="J93" s="1537">
        <v>0</v>
      </c>
      <c r="K93" s="1537">
        <v>0</v>
      </c>
      <c r="L93" s="1538">
        <v>400</v>
      </c>
      <c r="M93" s="1539"/>
      <c r="N93" s="1538">
        <v>0</v>
      </c>
      <c r="O93" s="1540"/>
      <c r="P93" s="1480"/>
      <c r="Q93" s="1478"/>
      <c r="R93" s="1478"/>
      <c r="S93" s="1478"/>
    </row>
    <row r="94" spans="1:19" s="1541" customFormat="1" ht="18" customHeight="1">
      <c r="A94" s="1530">
        <v>122</v>
      </c>
      <c r="B94" s="1531">
        <v>600</v>
      </c>
      <c r="C94" s="1532">
        <v>60017</v>
      </c>
      <c r="D94" s="1533">
        <v>6050</v>
      </c>
      <c r="E94" s="1559" t="s">
        <v>693</v>
      </c>
      <c r="F94" s="1532" t="s">
        <v>794</v>
      </c>
      <c r="G94" s="1535">
        <v>2009</v>
      </c>
      <c r="H94" s="1535">
        <v>2009</v>
      </c>
      <c r="I94" s="1536">
        <v>20</v>
      </c>
      <c r="J94" s="1537">
        <v>20</v>
      </c>
      <c r="K94" s="1537">
        <v>0</v>
      </c>
      <c r="L94" s="1538">
        <v>0</v>
      </c>
      <c r="M94" s="1539"/>
      <c r="N94" s="1538">
        <v>0</v>
      </c>
      <c r="O94" s="1540"/>
      <c r="P94" s="1480"/>
      <c r="Q94" s="1478"/>
      <c r="R94" s="1478"/>
      <c r="S94" s="1478"/>
    </row>
    <row r="95" spans="1:19" s="1541" customFormat="1" ht="18" customHeight="1">
      <c r="A95" s="1530">
        <v>56</v>
      </c>
      <c r="B95" s="1531">
        <v>600</v>
      </c>
      <c r="C95" s="1532">
        <v>60017</v>
      </c>
      <c r="D95" s="1533">
        <v>6050</v>
      </c>
      <c r="E95" s="1559" t="s">
        <v>15</v>
      </c>
      <c r="F95" s="1532" t="s">
        <v>794</v>
      </c>
      <c r="G95" s="1535">
        <v>2010</v>
      </c>
      <c r="H95" s="1535">
        <v>2010</v>
      </c>
      <c r="I95" s="1536">
        <v>200</v>
      </c>
      <c r="J95" s="1537">
        <v>0</v>
      </c>
      <c r="K95" s="1537">
        <v>0</v>
      </c>
      <c r="L95" s="1538">
        <v>200</v>
      </c>
      <c r="M95" s="1539"/>
      <c r="N95" s="1538">
        <v>0</v>
      </c>
      <c r="O95" s="1540"/>
      <c r="P95" s="1480"/>
      <c r="Q95" s="1478"/>
      <c r="R95" s="1478"/>
      <c r="S95" s="1478"/>
    </row>
    <row r="96" spans="1:18" s="1541" customFormat="1" ht="18" customHeight="1">
      <c r="A96" s="1530">
        <v>57</v>
      </c>
      <c r="B96" s="1531">
        <v>600</v>
      </c>
      <c r="C96" s="1532">
        <v>60017</v>
      </c>
      <c r="D96" s="1533">
        <v>6050</v>
      </c>
      <c r="E96" s="1534" t="s">
        <v>16</v>
      </c>
      <c r="F96" s="1532" t="s">
        <v>794</v>
      </c>
      <c r="G96" s="1535">
        <v>2007</v>
      </c>
      <c r="H96" s="1535">
        <v>2011</v>
      </c>
      <c r="I96" s="1536">
        <v>1400</v>
      </c>
      <c r="J96" s="1537">
        <v>0</v>
      </c>
      <c r="K96" s="1537">
        <v>700</v>
      </c>
      <c r="L96" s="1538">
        <v>700</v>
      </c>
      <c r="M96" s="1539"/>
      <c r="N96" s="1538">
        <v>0</v>
      </c>
      <c r="O96" s="1540"/>
      <c r="P96" s="1478"/>
      <c r="Q96" s="1478"/>
      <c r="R96" s="1478"/>
    </row>
    <row r="97" spans="1:18" s="1541" customFormat="1" ht="18" customHeight="1">
      <c r="A97" s="1530">
        <v>125</v>
      </c>
      <c r="B97" s="1531">
        <v>750</v>
      </c>
      <c r="C97" s="1532">
        <v>75020</v>
      </c>
      <c r="D97" s="1533">
        <v>6300</v>
      </c>
      <c r="E97" s="1534" t="s">
        <v>725</v>
      </c>
      <c r="F97" s="1532" t="s">
        <v>700</v>
      </c>
      <c r="G97" s="1535">
        <v>2009</v>
      </c>
      <c r="H97" s="1535">
        <v>2009</v>
      </c>
      <c r="I97" s="1536">
        <v>176.6</v>
      </c>
      <c r="J97" s="1537">
        <v>176.6</v>
      </c>
      <c r="K97" s="1537">
        <v>0</v>
      </c>
      <c r="L97" s="1538">
        <v>0</v>
      </c>
      <c r="M97" s="1539"/>
      <c r="N97" s="1538"/>
      <c r="O97" s="1540"/>
      <c r="P97" s="1478"/>
      <c r="Q97" s="1478"/>
      <c r="R97" s="1478"/>
    </row>
    <row r="98" spans="1:18" s="1541" customFormat="1" ht="18" customHeight="1">
      <c r="A98" s="1530">
        <v>58</v>
      </c>
      <c r="B98" s="1531">
        <v>801</v>
      </c>
      <c r="C98" s="1532">
        <v>80101</v>
      </c>
      <c r="D98" s="1532">
        <v>6050</v>
      </c>
      <c r="E98" s="1560" t="s">
        <v>17</v>
      </c>
      <c r="F98" s="1532" t="s">
        <v>18</v>
      </c>
      <c r="G98" s="1553">
        <v>2009</v>
      </c>
      <c r="H98" s="1553">
        <v>2009</v>
      </c>
      <c r="I98" s="1561">
        <f>SUM(J98:L98)</f>
        <v>162.8</v>
      </c>
      <c r="J98" s="1562">
        <v>162.8</v>
      </c>
      <c r="K98" s="1562">
        <v>0</v>
      </c>
      <c r="L98" s="1563">
        <v>0</v>
      </c>
      <c r="M98" s="1564"/>
      <c r="N98" s="1538">
        <v>0</v>
      </c>
      <c r="O98" s="1540"/>
      <c r="P98" s="1478"/>
      <c r="Q98" s="1478"/>
      <c r="R98" s="1478"/>
    </row>
    <row r="99" spans="1:18" s="1541" customFormat="1" ht="18" customHeight="1">
      <c r="A99" s="1530">
        <v>59</v>
      </c>
      <c r="B99" s="1531">
        <v>801</v>
      </c>
      <c r="C99" s="1532">
        <v>80104</v>
      </c>
      <c r="D99" s="1532">
        <v>6210</v>
      </c>
      <c r="E99" s="1560" t="s">
        <v>19</v>
      </c>
      <c r="F99" s="1532" t="s">
        <v>18</v>
      </c>
      <c r="G99" s="1553">
        <v>2009</v>
      </c>
      <c r="H99" s="1553">
        <v>2009</v>
      </c>
      <c r="I99" s="1561">
        <v>360</v>
      </c>
      <c r="J99" s="1562">
        <v>360</v>
      </c>
      <c r="K99" s="1562">
        <v>0</v>
      </c>
      <c r="L99" s="1563">
        <v>0</v>
      </c>
      <c r="M99" s="1564"/>
      <c r="N99" s="1538"/>
      <c r="O99" s="1540"/>
      <c r="P99" s="1478"/>
      <c r="Q99" s="1478"/>
      <c r="R99" s="1478"/>
    </row>
    <row r="100" spans="1:18" s="1541" customFormat="1" ht="17.25" customHeight="1">
      <c r="A100" s="1530">
        <v>60</v>
      </c>
      <c r="B100" s="1531">
        <v>801</v>
      </c>
      <c r="C100" s="1532">
        <v>80110</v>
      </c>
      <c r="D100" s="1532">
        <v>6050</v>
      </c>
      <c r="E100" s="1560" t="s">
        <v>17</v>
      </c>
      <c r="F100" s="1532" t="s">
        <v>18</v>
      </c>
      <c r="G100" s="1553">
        <v>2009</v>
      </c>
      <c r="H100" s="1553">
        <v>2009</v>
      </c>
      <c r="I100" s="1561">
        <f>SUM(J100:L100)</f>
        <v>87.037</v>
      </c>
      <c r="J100" s="1562">
        <v>87.037</v>
      </c>
      <c r="K100" s="1562">
        <v>0</v>
      </c>
      <c r="L100" s="1563">
        <v>0</v>
      </c>
      <c r="M100" s="1564"/>
      <c r="N100" s="1538">
        <v>0</v>
      </c>
      <c r="O100" s="1540"/>
      <c r="P100" s="1478"/>
      <c r="Q100" s="1478"/>
      <c r="R100" s="1478"/>
    </row>
    <row r="101" spans="1:18" s="1541" customFormat="1" ht="18" customHeight="1">
      <c r="A101" s="1530">
        <v>61</v>
      </c>
      <c r="B101" s="1542">
        <v>801</v>
      </c>
      <c r="C101" s="1532">
        <v>80114</v>
      </c>
      <c r="D101" s="1532">
        <v>6050</v>
      </c>
      <c r="E101" s="1560" t="s">
        <v>20</v>
      </c>
      <c r="F101" s="1532" t="s">
        <v>18</v>
      </c>
      <c r="G101" s="1553">
        <v>2009</v>
      </c>
      <c r="H101" s="1553">
        <v>2009</v>
      </c>
      <c r="I101" s="1561">
        <v>385</v>
      </c>
      <c r="J101" s="1562">
        <v>385</v>
      </c>
      <c r="K101" s="1562">
        <v>0</v>
      </c>
      <c r="L101" s="1563">
        <v>0</v>
      </c>
      <c r="M101" s="1564"/>
      <c r="N101" s="1538">
        <v>0</v>
      </c>
      <c r="O101" s="1540"/>
      <c r="P101" s="1478"/>
      <c r="Q101" s="1478"/>
      <c r="R101" s="1478"/>
    </row>
    <row r="102" spans="1:18" s="1541" customFormat="1" ht="18" customHeight="1">
      <c r="A102" s="1530">
        <v>62</v>
      </c>
      <c r="B102" s="1531">
        <v>801</v>
      </c>
      <c r="C102" s="1532">
        <v>80120</v>
      </c>
      <c r="D102" s="1532">
        <v>6050</v>
      </c>
      <c r="E102" s="1534" t="s">
        <v>646</v>
      </c>
      <c r="F102" s="1532" t="s">
        <v>722</v>
      </c>
      <c r="G102" s="1553">
        <v>2008</v>
      </c>
      <c r="H102" s="1553">
        <v>2009</v>
      </c>
      <c r="I102" s="1561">
        <f>SUM(J102:L102)</f>
        <v>1531</v>
      </c>
      <c r="J102" s="1562">
        <v>1531</v>
      </c>
      <c r="K102" s="1562">
        <v>0</v>
      </c>
      <c r="L102" s="1563">
        <v>0</v>
      </c>
      <c r="M102" s="1564"/>
      <c r="N102" s="1538"/>
      <c r="O102" s="1540"/>
      <c r="P102" s="1478"/>
      <c r="Q102" s="1478"/>
      <c r="R102" s="1478"/>
    </row>
    <row r="103" spans="1:18" s="1541" customFormat="1" ht="17.25" customHeight="1">
      <c r="A103" s="1530">
        <v>63</v>
      </c>
      <c r="B103" s="1531">
        <v>801</v>
      </c>
      <c r="C103" s="1532">
        <v>80120</v>
      </c>
      <c r="D103" s="1532">
        <v>6050</v>
      </c>
      <c r="E103" s="1560" t="s">
        <v>17</v>
      </c>
      <c r="F103" s="1532" t="s">
        <v>18</v>
      </c>
      <c r="G103" s="1553">
        <v>2009</v>
      </c>
      <c r="H103" s="1553">
        <v>2009</v>
      </c>
      <c r="I103" s="1561">
        <f>SUM(J103:L103)</f>
        <v>166.3</v>
      </c>
      <c r="J103" s="1562">
        <v>166.3</v>
      </c>
      <c r="K103" s="1562">
        <v>0</v>
      </c>
      <c r="L103" s="1563">
        <v>0</v>
      </c>
      <c r="M103" s="1564"/>
      <c r="N103" s="1538">
        <v>0</v>
      </c>
      <c r="O103" s="1540"/>
      <c r="P103" s="1478"/>
      <c r="Q103" s="1478"/>
      <c r="R103" s="1478"/>
    </row>
    <row r="104" spans="1:18" s="1541" customFormat="1" ht="17.25" customHeight="1">
      <c r="A104" s="1530">
        <v>64</v>
      </c>
      <c r="B104" s="1531">
        <v>801</v>
      </c>
      <c r="C104" s="1532">
        <v>80130</v>
      </c>
      <c r="D104" s="1532">
        <v>6050</v>
      </c>
      <c r="E104" s="1560" t="s">
        <v>17</v>
      </c>
      <c r="F104" s="1532" t="s">
        <v>18</v>
      </c>
      <c r="G104" s="1553">
        <v>2009</v>
      </c>
      <c r="H104" s="1553">
        <v>2009</v>
      </c>
      <c r="I104" s="1561">
        <f>SUM(J104:L104)</f>
        <v>169.165</v>
      </c>
      <c r="J104" s="1562">
        <v>169.165</v>
      </c>
      <c r="K104" s="1562">
        <v>0</v>
      </c>
      <c r="L104" s="1563">
        <v>0</v>
      </c>
      <c r="M104" s="1564"/>
      <c r="N104" s="1538">
        <v>0</v>
      </c>
      <c r="O104" s="1540"/>
      <c r="P104" s="1478"/>
      <c r="Q104" s="1478"/>
      <c r="R104" s="1478"/>
    </row>
    <row r="105" spans="1:18" s="1541" customFormat="1" ht="17.25" customHeight="1">
      <c r="A105" s="1530">
        <v>65</v>
      </c>
      <c r="B105" s="1531">
        <v>801</v>
      </c>
      <c r="C105" s="1532">
        <v>80140</v>
      </c>
      <c r="D105" s="1532">
        <v>6050</v>
      </c>
      <c r="E105" s="1560" t="s">
        <v>17</v>
      </c>
      <c r="F105" s="1532" t="s">
        <v>18</v>
      </c>
      <c r="G105" s="1553">
        <v>2009</v>
      </c>
      <c r="H105" s="1553">
        <v>2009</v>
      </c>
      <c r="I105" s="1561">
        <v>41.6</v>
      </c>
      <c r="J105" s="1562">
        <v>32</v>
      </c>
      <c r="K105" s="1562">
        <v>0</v>
      </c>
      <c r="L105" s="1563">
        <v>0</v>
      </c>
      <c r="M105" s="1564"/>
      <c r="N105" s="1538">
        <v>0</v>
      </c>
      <c r="O105" s="1540"/>
      <c r="P105" s="1478"/>
      <c r="Q105" s="1478"/>
      <c r="R105" s="1478"/>
    </row>
    <row r="106" spans="1:18" s="1541" customFormat="1" ht="17.25" customHeight="1">
      <c r="A106" s="1530">
        <v>66</v>
      </c>
      <c r="B106" s="1531">
        <v>801</v>
      </c>
      <c r="C106" s="1532">
        <v>80195</v>
      </c>
      <c r="D106" s="1532">
        <v>6050</v>
      </c>
      <c r="E106" s="1560" t="s">
        <v>17</v>
      </c>
      <c r="F106" s="1532" t="s">
        <v>18</v>
      </c>
      <c r="G106" s="1553">
        <v>2009</v>
      </c>
      <c r="H106" s="1553">
        <v>2009</v>
      </c>
      <c r="I106" s="1561">
        <f>SUM(J106:L106)</f>
        <v>1989.352</v>
      </c>
      <c r="J106" s="1562">
        <v>1989.352</v>
      </c>
      <c r="K106" s="1562">
        <v>0</v>
      </c>
      <c r="L106" s="1563">
        <v>0</v>
      </c>
      <c r="M106" s="1564"/>
      <c r="N106" s="1538">
        <v>0</v>
      </c>
      <c r="O106" s="1540"/>
      <c r="P106" s="1478"/>
      <c r="Q106" s="1478"/>
      <c r="R106" s="1478"/>
    </row>
    <row r="107" ht="12.75" hidden="1"/>
    <row r="108" spans="1:18" s="1541" customFormat="1" ht="18" customHeight="1">
      <c r="A108" s="1530">
        <v>123</v>
      </c>
      <c r="B108" s="1531">
        <v>801</v>
      </c>
      <c r="C108" s="1532">
        <v>80195</v>
      </c>
      <c r="D108" s="1532">
        <v>6050</v>
      </c>
      <c r="E108" s="1534" t="s">
        <v>701</v>
      </c>
      <c r="F108" s="1532" t="s">
        <v>722</v>
      </c>
      <c r="G108" s="1553">
        <v>2008</v>
      </c>
      <c r="H108" s="1553">
        <v>2009</v>
      </c>
      <c r="I108" s="1561">
        <f>SUM(J108:L108)</f>
        <v>365</v>
      </c>
      <c r="J108" s="1562">
        <v>365</v>
      </c>
      <c r="K108" s="1562">
        <v>0</v>
      </c>
      <c r="L108" s="1563">
        <v>0</v>
      </c>
      <c r="M108" s="1564"/>
      <c r="N108" s="1538"/>
      <c r="O108" s="1540"/>
      <c r="P108" s="1478"/>
      <c r="Q108" s="1478"/>
      <c r="R108" s="1478"/>
    </row>
    <row r="109" spans="1:18" s="1541" customFormat="1" ht="31.5" customHeight="1">
      <c r="A109" s="1530">
        <v>67</v>
      </c>
      <c r="B109" s="1531">
        <v>801</v>
      </c>
      <c r="C109" s="1532">
        <v>80195</v>
      </c>
      <c r="D109" s="1532">
        <v>6050</v>
      </c>
      <c r="E109" s="1534" t="s">
        <v>21</v>
      </c>
      <c r="F109" s="1532" t="s">
        <v>18</v>
      </c>
      <c r="G109" s="1553">
        <v>2009</v>
      </c>
      <c r="H109" s="1553">
        <v>2010</v>
      </c>
      <c r="I109" s="1561">
        <v>4048.4</v>
      </c>
      <c r="J109" s="1562">
        <v>2395.3</v>
      </c>
      <c r="K109" s="1562">
        <v>883.1</v>
      </c>
      <c r="L109" s="1563">
        <v>0</v>
      </c>
      <c r="M109" s="1564"/>
      <c r="N109" s="1538"/>
      <c r="O109" s="1540"/>
      <c r="P109" s="1478"/>
      <c r="Q109" s="1478"/>
      <c r="R109" s="1478"/>
    </row>
    <row r="110" spans="1:18" s="1541" customFormat="1" ht="18.75" customHeight="1">
      <c r="A110" s="1530">
        <v>68</v>
      </c>
      <c r="B110" s="1542">
        <v>851</v>
      </c>
      <c r="C110" s="1533">
        <v>85154</v>
      </c>
      <c r="D110" s="1532">
        <v>6050</v>
      </c>
      <c r="E110" s="1534" t="s">
        <v>713</v>
      </c>
      <c r="F110" s="1532" t="s">
        <v>22</v>
      </c>
      <c r="G110" s="1553">
        <v>2009</v>
      </c>
      <c r="H110" s="1553">
        <v>2009</v>
      </c>
      <c r="I110" s="1561">
        <f>SUM(J110:L110)</f>
        <v>18.09</v>
      </c>
      <c r="J110" s="1562">
        <v>18.09</v>
      </c>
      <c r="K110" s="1562">
        <v>0</v>
      </c>
      <c r="L110" s="1563">
        <v>0</v>
      </c>
      <c r="M110" s="1564"/>
      <c r="N110" s="1538"/>
      <c r="O110" s="1540"/>
      <c r="P110" s="1478"/>
      <c r="Q110" s="1478"/>
      <c r="R110" s="1478"/>
    </row>
    <row r="111" spans="1:18" s="1541" customFormat="1" ht="21" customHeight="1">
      <c r="A111" s="1530">
        <v>119</v>
      </c>
      <c r="B111" s="1542">
        <v>851</v>
      </c>
      <c r="C111" s="1533">
        <v>85154</v>
      </c>
      <c r="D111" s="1532">
        <v>6050</v>
      </c>
      <c r="E111" s="1534" t="s">
        <v>688</v>
      </c>
      <c r="F111" s="1532" t="s">
        <v>22</v>
      </c>
      <c r="G111" s="1553">
        <v>2009</v>
      </c>
      <c r="H111" s="1553">
        <v>2009</v>
      </c>
      <c r="I111" s="1561">
        <f>SUM(J111:L111)</f>
        <v>105.5</v>
      </c>
      <c r="J111" s="1562">
        <v>105.5</v>
      </c>
      <c r="K111" s="1562">
        <v>0</v>
      </c>
      <c r="L111" s="1563">
        <v>0</v>
      </c>
      <c r="M111" s="1564"/>
      <c r="N111" s="1538"/>
      <c r="O111" s="1540"/>
      <c r="P111" s="1478"/>
      <c r="Q111" s="1478"/>
      <c r="R111" s="1478"/>
    </row>
    <row r="112" spans="1:18" s="1541" customFormat="1" ht="38.25">
      <c r="A112" s="1530">
        <v>120</v>
      </c>
      <c r="B112" s="1542">
        <v>851</v>
      </c>
      <c r="C112" s="1533">
        <v>85195</v>
      </c>
      <c r="D112" s="1532">
        <v>6210</v>
      </c>
      <c r="E112" s="1534" t="s">
        <v>689</v>
      </c>
      <c r="F112" s="1532" t="s">
        <v>710</v>
      </c>
      <c r="G112" s="1553">
        <v>2009</v>
      </c>
      <c r="H112" s="1553">
        <v>2009</v>
      </c>
      <c r="I112" s="1561">
        <v>36</v>
      </c>
      <c r="J112" s="1562">
        <v>36</v>
      </c>
      <c r="K112" s="1562">
        <v>0</v>
      </c>
      <c r="L112" s="1563">
        <v>0</v>
      </c>
      <c r="M112" s="1564"/>
      <c r="N112" s="1538"/>
      <c r="O112" s="1540"/>
      <c r="P112" s="1478"/>
      <c r="Q112" s="1478"/>
      <c r="R112" s="1478"/>
    </row>
    <row r="113" spans="1:18" s="1541" customFormat="1" ht="39.75" customHeight="1">
      <c r="A113" s="1530">
        <v>69</v>
      </c>
      <c r="B113" s="1531">
        <v>852</v>
      </c>
      <c r="C113" s="1532">
        <v>85219</v>
      </c>
      <c r="D113" s="1532">
        <v>6050</v>
      </c>
      <c r="E113" s="1534" t="s">
        <v>23</v>
      </c>
      <c r="F113" s="1532" t="s">
        <v>24</v>
      </c>
      <c r="G113" s="1535">
        <v>2009</v>
      </c>
      <c r="H113" s="1553">
        <v>2009</v>
      </c>
      <c r="I113" s="1561">
        <f>SUM(J113:L113)</f>
        <v>394.5</v>
      </c>
      <c r="J113" s="1562">
        <f>400-5.5</f>
        <v>394.5</v>
      </c>
      <c r="K113" s="1562">
        <v>0</v>
      </c>
      <c r="L113" s="1563">
        <v>0</v>
      </c>
      <c r="M113" s="1564"/>
      <c r="N113" s="1538">
        <v>0</v>
      </c>
      <c r="O113" s="1540"/>
      <c r="P113" s="1478"/>
      <c r="Q113" s="1478"/>
      <c r="R113" s="1478"/>
    </row>
    <row r="114" spans="1:19" s="1541" customFormat="1" ht="27" customHeight="1">
      <c r="A114" s="1530">
        <v>70</v>
      </c>
      <c r="B114" s="1531">
        <v>853</v>
      </c>
      <c r="C114" s="1532">
        <v>85305</v>
      </c>
      <c r="D114" s="1533">
        <v>6210</v>
      </c>
      <c r="E114" s="1534" t="s">
        <v>25</v>
      </c>
      <c r="F114" s="1532" t="s">
        <v>24</v>
      </c>
      <c r="G114" s="1535">
        <v>2009</v>
      </c>
      <c r="H114" s="1535">
        <v>2009</v>
      </c>
      <c r="I114" s="1536">
        <v>166</v>
      </c>
      <c r="J114" s="1537">
        <v>166</v>
      </c>
      <c r="K114" s="1537">
        <v>0</v>
      </c>
      <c r="L114" s="1538">
        <v>0</v>
      </c>
      <c r="M114" s="1539"/>
      <c r="N114" s="1538"/>
      <c r="O114" s="1540"/>
      <c r="P114" s="1480"/>
      <c r="Q114" s="1478"/>
      <c r="R114" s="1478"/>
      <c r="S114" s="1478"/>
    </row>
    <row r="115" spans="1:19" s="1541" customFormat="1" ht="38.25">
      <c r="A115" s="1530">
        <v>109</v>
      </c>
      <c r="B115" s="1531">
        <v>853</v>
      </c>
      <c r="C115" s="1532">
        <v>85305</v>
      </c>
      <c r="D115" s="1533">
        <v>6050</v>
      </c>
      <c r="E115" s="2362" t="s">
        <v>651</v>
      </c>
      <c r="F115" s="1532" t="s">
        <v>710</v>
      </c>
      <c r="G115" s="1535">
        <v>2009</v>
      </c>
      <c r="H115" s="1535">
        <v>2011</v>
      </c>
      <c r="I115" s="1536">
        <f>SUM(J115:L115)</f>
        <v>1760</v>
      </c>
      <c r="J115" s="1537">
        <v>0</v>
      </c>
      <c r="K115" s="1537">
        <v>1560</v>
      </c>
      <c r="L115" s="1538">
        <v>200</v>
      </c>
      <c r="M115" s="1539"/>
      <c r="N115" s="1538"/>
      <c r="O115" s="1540"/>
      <c r="P115" s="1480"/>
      <c r="Q115" s="1478"/>
      <c r="R115" s="1478"/>
      <c r="S115" s="1478"/>
    </row>
    <row r="116" spans="1:19" s="1541" customFormat="1" ht="17.25" customHeight="1">
      <c r="A116" s="1530">
        <v>71</v>
      </c>
      <c r="B116" s="1531">
        <v>854</v>
      </c>
      <c r="C116" s="1532">
        <v>85407</v>
      </c>
      <c r="D116" s="1533">
        <v>6050</v>
      </c>
      <c r="E116" s="1534" t="s">
        <v>26</v>
      </c>
      <c r="F116" s="1532" t="s">
        <v>18</v>
      </c>
      <c r="G116" s="1535">
        <v>2009</v>
      </c>
      <c r="H116" s="1535">
        <v>2009</v>
      </c>
      <c r="I116" s="1536">
        <v>70</v>
      </c>
      <c r="J116" s="1537">
        <v>70</v>
      </c>
      <c r="K116" s="1537">
        <v>0</v>
      </c>
      <c r="L116" s="1538">
        <v>0</v>
      </c>
      <c r="M116" s="1539"/>
      <c r="N116" s="1538"/>
      <c r="O116" s="1540"/>
      <c r="P116" s="1480"/>
      <c r="Q116" s="1478"/>
      <c r="R116" s="1478"/>
      <c r="S116" s="1478"/>
    </row>
    <row r="117" spans="1:19" s="1541" customFormat="1" ht="28.5" customHeight="1">
      <c r="A117" s="1530">
        <v>72</v>
      </c>
      <c r="B117" s="1531">
        <v>854</v>
      </c>
      <c r="C117" s="1532">
        <v>85410</v>
      </c>
      <c r="D117" s="1533">
        <v>6050</v>
      </c>
      <c r="E117" s="1534" t="s">
        <v>21</v>
      </c>
      <c r="F117" s="1532" t="s">
        <v>18</v>
      </c>
      <c r="G117" s="1535">
        <v>2009</v>
      </c>
      <c r="H117" s="1535">
        <v>2010</v>
      </c>
      <c r="I117" s="1536">
        <v>3731.6</v>
      </c>
      <c r="J117" s="1537">
        <v>0</v>
      </c>
      <c r="K117" s="1537">
        <v>966.9</v>
      </c>
      <c r="L117" s="1538">
        <v>0</v>
      </c>
      <c r="M117" s="1539"/>
      <c r="N117" s="1538"/>
      <c r="O117" s="1540"/>
      <c r="P117" s="1480"/>
      <c r="Q117" s="1478"/>
      <c r="R117" s="1478"/>
      <c r="S117" s="1478"/>
    </row>
    <row r="118" spans="1:18" s="1541" customFormat="1" ht="18" customHeight="1">
      <c r="A118" s="1530">
        <v>73</v>
      </c>
      <c r="B118" s="1531">
        <v>854</v>
      </c>
      <c r="C118" s="1532">
        <v>85410</v>
      </c>
      <c r="D118" s="1532">
        <v>6050</v>
      </c>
      <c r="E118" s="1560" t="s">
        <v>27</v>
      </c>
      <c r="F118" s="1532" t="s">
        <v>18</v>
      </c>
      <c r="G118" s="1535">
        <v>2009</v>
      </c>
      <c r="H118" s="1553">
        <v>2009</v>
      </c>
      <c r="I118" s="1561">
        <v>112.1</v>
      </c>
      <c r="J118" s="1562">
        <v>136.3</v>
      </c>
      <c r="K118" s="1562">
        <v>0</v>
      </c>
      <c r="L118" s="1563">
        <v>0</v>
      </c>
      <c r="M118" s="1564"/>
      <c r="N118" s="1538">
        <v>0</v>
      </c>
      <c r="O118" s="1540"/>
      <c r="P118" s="1478"/>
      <c r="Q118" s="1478"/>
      <c r="R118" s="1478"/>
    </row>
    <row r="119" spans="1:18" s="1541" customFormat="1" ht="25.5">
      <c r="A119" s="1530">
        <v>74</v>
      </c>
      <c r="B119" s="1531">
        <v>854</v>
      </c>
      <c r="C119" s="1532">
        <v>85417</v>
      </c>
      <c r="D119" s="1532">
        <v>6050</v>
      </c>
      <c r="E119" s="1534" t="s">
        <v>28</v>
      </c>
      <c r="F119" s="1532" t="s">
        <v>18</v>
      </c>
      <c r="G119" s="1535">
        <v>2009</v>
      </c>
      <c r="H119" s="1553">
        <v>2009</v>
      </c>
      <c r="I119" s="1561">
        <v>41.2</v>
      </c>
      <c r="J119" s="1562">
        <v>41.2</v>
      </c>
      <c r="K119" s="1562">
        <v>0</v>
      </c>
      <c r="L119" s="1563">
        <v>0</v>
      </c>
      <c r="M119" s="1564"/>
      <c r="N119" s="1538">
        <v>0</v>
      </c>
      <c r="O119" s="1540"/>
      <c r="P119" s="1478"/>
      <c r="Q119" s="1478"/>
      <c r="R119" s="1478"/>
    </row>
    <row r="120" spans="1:18" s="1541" customFormat="1" ht="18" customHeight="1">
      <c r="A120" s="1530">
        <v>75</v>
      </c>
      <c r="B120" s="1531">
        <v>900</v>
      </c>
      <c r="C120" s="1532">
        <v>90013</v>
      </c>
      <c r="D120" s="1532">
        <v>6050</v>
      </c>
      <c r="E120" s="1534" t="s">
        <v>29</v>
      </c>
      <c r="F120" s="1532" t="s">
        <v>710</v>
      </c>
      <c r="G120" s="1535">
        <v>2009</v>
      </c>
      <c r="H120" s="1553">
        <v>2011</v>
      </c>
      <c r="I120" s="1536">
        <f>SUM(J120:L120)</f>
        <v>4957.7</v>
      </c>
      <c r="J120" s="1537">
        <v>457.7</v>
      </c>
      <c r="K120" s="1537">
        <v>2500</v>
      </c>
      <c r="L120" s="1538">
        <v>2000</v>
      </c>
      <c r="M120" s="1539"/>
      <c r="N120" s="1538">
        <v>0</v>
      </c>
      <c r="O120" s="1540"/>
      <c r="P120" s="1478"/>
      <c r="Q120" s="1478"/>
      <c r="R120" s="1478"/>
    </row>
    <row r="121" spans="1:18" s="1541" customFormat="1" ht="38.25">
      <c r="A121" s="1530">
        <v>113</v>
      </c>
      <c r="B121" s="1531">
        <v>900</v>
      </c>
      <c r="C121" s="1532">
        <v>90095</v>
      </c>
      <c r="D121" s="1532">
        <v>6300</v>
      </c>
      <c r="E121" s="2363" t="s">
        <v>676</v>
      </c>
      <c r="F121" s="1532" t="s">
        <v>710</v>
      </c>
      <c r="G121" s="1535">
        <v>2009</v>
      </c>
      <c r="H121" s="1553">
        <v>2009</v>
      </c>
      <c r="I121" s="1536">
        <v>1200</v>
      </c>
      <c r="J121" s="1537">
        <v>1200</v>
      </c>
      <c r="K121" s="1537">
        <v>0</v>
      </c>
      <c r="L121" s="1538">
        <v>0</v>
      </c>
      <c r="M121" s="1539"/>
      <c r="N121" s="1538">
        <v>0</v>
      </c>
      <c r="O121" s="1540"/>
      <c r="P121" s="1478"/>
      <c r="Q121" s="1478"/>
      <c r="R121" s="1478"/>
    </row>
    <row r="122" spans="1:18" s="1541" customFormat="1" ht="18" customHeight="1">
      <c r="A122" s="1530">
        <v>114</v>
      </c>
      <c r="B122" s="1531">
        <v>900</v>
      </c>
      <c r="C122" s="1532">
        <v>90095</v>
      </c>
      <c r="D122" s="1532">
        <v>6050</v>
      </c>
      <c r="E122" s="1534" t="s">
        <v>657</v>
      </c>
      <c r="F122" s="1532" t="s">
        <v>794</v>
      </c>
      <c r="G122" s="1535">
        <v>2009</v>
      </c>
      <c r="H122" s="1553">
        <v>2009</v>
      </c>
      <c r="I122" s="1536">
        <v>21.5</v>
      </c>
      <c r="J122" s="1537">
        <f>21.54+0.36</f>
        <v>21.9</v>
      </c>
      <c r="K122" s="1537">
        <v>0</v>
      </c>
      <c r="L122" s="1538">
        <v>0</v>
      </c>
      <c r="M122" s="1539"/>
      <c r="N122" s="1538"/>
      <c r="O122" s="1540"/>
      <c r="P122" s="1478"/>
      <c r="Q122" s="1478"/>
      <c r="R122" s="1478"/>
    </row>
    <row r="123" spans="1:18" s="1541" customFormat="1" ht="25.5">
      <c r="A123" s="1530">
        <v>126</v>
      </c>
      <c r="B123" s="1531">
        <v>900</v>
      </c>
      <c r="C123" s="1532">
        <v>90095</v>
      </c>
      <c r="D123" s="1532">
        <v>6050</v>
      </c>
      <c r="E123" s="1534" t="s">
        <v>724</v>
      </c>
      <c r="F123" s="1532" t="s">
        <v>794</v>
      </c>
      <c r="G123" s="1535">
        <v>2010</v>
      </c>
      <c r="H123" s="1553">
        <v>2012</v>
      </c>
      <c r="I123" s="1536">
        <v>1700</v>
      </c>
      <c r="J123" s="1537">
        <v>0</v>
      </c>
      <c r="K123" s="1537">
        <v>600</v>
      </c>
      <c r="L123" s="1538">
        <v>550</v>
      </c>
      <c r="M123" s="1539"/>
      <c r="N123" s="1538"/>
      <c r="O123" s="1540"/>
      <c r="P123" s="1478"/>
      <c r="Q123" s="1478"/>
      <c r="R123" s="1478"/>
    </row>
    <row r="124" spans="1:18" s="1541" customFormat="1" ht="29.25" customHeight="1">
      <c r="A124" s="1530">
        <v>76</v>
      </c>
      <c r="B124" s="1531">
        <v>900</v>
      </c>
      <c r="C124" s="1532">
        <v>90095</v>
      </c>
      <c r="D124" s="1532">
        <v>6050</v>
      </c>
      <c r="E124" s="1569" t="s">
        <v>30</v>
      </c>
      <c r="F124" s="1558" t="s">
        <v>723</v>
      </c>
      <c r="G124" s="1553">
        <v>2009</v>
      </c>
      <c r="H124" s="1553">
        <v>2010</v>
      </c>
      <c r="I124" s="1561">
        <f>J124+K124</f>
        <v>520</v>
      </c>
      <c r="J124" s="1562">
        <v>20</v>
      </c>
      <c r="K124" s="1562">
        <v>500</v>
      </c>
      <c r="L124" s="1563">
        <v>0</v>
      </c>
      <c r="M124" s="1564"/>
      <c r="N124" s="1538">
        <v>1000</v>
      </c>
      <c r="O124" s="1540"/>
      <c r="P124" s="1478"/>
      <c r="Q124" s="1478"/>
      <c r="R124" s="1478"/>
    </row>
    <row r="125" spans="1:18" s="1541" customFormat="1" ht="18" customHeight="1" thickBot="1">
      <c r="A125" s="1530">
        <v>77</v>
      </c>
      <c r="B125" s="1542">
        <v>921</v>
      </c>
      <c r="C125" s="1532">
        <v>92118</v>
      </c>
      <c r="D125" s="1533">
        <v>6220</v>
      </c>
      <c r="E125" s="1569" t="s">
        <v>31</v>
      </c>
      <c r="F125" s="1602" t="s">
        <v>24</v>
      </c>
      <c r="G125" s="1535">
        <v>2009</v>
      </c>
      <c r="H125" s="1553">
        <v>2009</v>
      </c>
      <c r="I125" s="1603">
        <v>357</v>
      </c>
      <c r="J125" s="1537">
        <v>357</v>
      </c>
      <c r="K125" s="1537">
        <v>0</v>
      </c>
      <c r="L125" s="1538">
        <v>0</v>
      </c>
      <c r="M125" s="1539"/>
      <c r="N125" s="1538"/>
      <c r="O125" s="1540"/>
      <c r="P125" s="1478"/>
      <c r="Q125" s="1478"/>
      <c r="R125" s="1478"/>
    </row>
    <row r="126" ht="13.5" hidden="1" thickBot="1"/>
    <row r="127" ht="13.5" hidden="1" thickBot="1"/>
    <row r="128" spans="1:28" s="1615" customFormat="1" ht="27" customHeight="1" thickBot="1" thickTop="1">
      <c r="A128" s="1604"/>
      <c r="B128" s="1605"/>
      <c r="C128" s="1605"/>
      <c r="D128" s="1606"/>
      <c r="E128" s="1607" t="s">
        <v>32</v>
      </c>
      <c r="F128" s="1607"/>
      <c r="G128" s="1608"/>
      <c r="H128" s="1609"/>
      <c r="I128" s="1609"/>
      <c r="J128" s="1610">
        <f>J10+J67</f>
        <v>41919.994</v>
      </c>
      <c r="K128" s="1610">
        <f>K10+K67</f>
        <v>42920</v>
      </c>
      <c r="L128" s="1611">
        <f>L10+L67</f>
        <v>36890</v>
      </c>
      <c r="M128" s="1612"/>
      <c r="N128" s="1613" t="e">
        <f>#REF!+#REF!+N86</f>
        <v>#REF!</v>
      </c>
      <c r="O128" s="1614"/>
      <c r="P128" s="1593"/>
      <c r="Q128" s="1593"/>
      <c r="R128" s="1593"/>
      <c r="S128" s="1593"/>
      <c r="T128" s="1593"/>
      <c r="U128" s="1593"/>
      <c r="V128" s="1593"/>
      <c r="W128" s="1593"/>
      <c r="X128" s="1593"/>
      <c r="Y128" s="1593"/>
      <c r="Z128" s="1593"/>
      <c r="AA128" s="1593"/>
      <c r="AB128" s="1593"/>
    </row>
    <row r="129" spans="1:16" s="1593" customFormat="1" ht="33.75" thickTop="1">
      <c r="A129" s="1616" t="s">
        <v>205</v>
      </c>
      <c r="B129" s="1617"/>
      <c r="C129" s="1617"/>
      <c r="D129" s="1618"/>
      <c r="E129" s="1619" t="s">
        <v>33</v>
      </c>
      <c r="F129" s="1620"/>
      <c r="G129" s="1621"/>
      <c r="H129" s="1621"/>
      <c r="I129" s="1622"/>
      <c r="J129" s="1623">
        <f>SUM(J130:J165)</f>
        <v>41500.307</v>
      </c>
      <c r="K129" s="1623">
        <f>SUM(K130:K165)</f>
        <v>63544.2</v>
      </c>
      <c r="L129" s="1590">
        <f>SUM(L130:L165)</f>
        <v>83551.7</v>
      </c>
      <c r="M129" s="1591"/>
      <c r="N129" s="1590">
        <f>SUM(N130:N135)</f>
        <v>14700</v>
      </c>
      <c r="O129" s="1592"/>
      <c r="P129" s="1599"/>
    </row>
    <row r="130" spans="1:16" s="1544" customFormat="1" ht="17.25" customHeight="1" hidden="1" thickBot="1" thickTop="1">
      <c r="A130" s="1530">
        <v>77</v>
      </c>
      <c r="B130" s="1542">
        <v>600</v>
      </c>
      <c r="C130" s="1532">
        <v>60015</v>
      </c>
      <c r="D130" s="1533">
        <v>6050</v>
      </c>
      <c r="E130" s="1543" t="s">
        <v>34</v>
      </c>
      <c r="F130" s="1542" t="s">
        <v>794</v>
      </c>
      <c r="G130" s="1535">
        <v>2007</v>
      </c>
      <c r="H130" s="1535">
        <v>2014</v>
      </c>
      <c r="I130" s="1603">
        <v>10000</v>
      </c>
      <c r="J130" s="1537">
        <v>0</v>
      </c>
      <c r="K130" s="1537">
        <v>0</v>
      </c>
      <c r="L130" s="1538">
        <v>0</v>
      </c>
      <c r="M130" s="1539"/>
      <c r="N130" s="1538">
        <v>0</v>
      </c>
      <c r="O130" s="1540"/>
      <c r="P130" s="1624"/>
    </row>
    <row r="131" spans="1:19" s="1551" customFormat="1" ht="18" customHeight="1">
      <c r="A131" s="1530">
        <v>78</v>
      </c>
      <c r="B131" s="1542">
        <v>600</v>
      </c>
      <c r="C131" s="1532">
        <v>60015</v>
      </c>
      <c r="D131" s="1533">
        <v>6050</v>
      </c>
      <c r="E131" s="1534" t="s">
        <v>35</v>
      </c>
      <c r="F131" s="1532" t="s">
        <v>794</v>
      </c>
      <c r="G131" s="1625" t="s">
        <v>36</v>
      </c>
      <c r="H131" s="1546" t="s">
        <v>839</v>
      </c>
      <c r="I131" s="1536">
        <v>4433.7</v>
      </c>
      <c r="J131" s="1536">
        <v>1300</v>
      </c>
      <c r="K131" s="1536">
        <v>600</v>
      </c>
      <c r="L131" s="1547">
        <v>600</v>
      </c>
      <c r="M131" s="1548"/>
      <c r="N131" s="1547">
        <v>700</v>
      </c>
      <c r="O131" s="1549"/>
      <c r="P131" s="1550"/>
      <c r="Q131" s="1550"/>
      <c r="R131" s="1550"/>
      <c r="S131" s="1550"/>
    </row>
    <row r="132" spans="1:19" s="1557" customFormat="1" ht="25.5">
      <c r="A132" s="1530">
        <v>79</v>
      </c>
      <c r="B132" s="1542">
        <v>600</v>
      </c>
      <c r="C132" s="1532">
        <v>60015</v>
      </c>
      <c r="D132" s="1533">
        <v>6050</v>
      </c>
      <c r="E132" s="1543" t="s">
        <v>42</v>
      </c>
      <c r="F132" s="1532" t="s">
        <v>794</v>
      </c>
      <c r="G132" s="1535">
        <v>2008</v>
      </c>
      <c r="H132" s="1535">
        <v>2013</v>
      </c>
      <c r="I132" s="1536">
        <v>50000</v>
      </c>
      <c r="J132" s="1537">
        <v>1023</v>
      </c>
      <c r="K132" s="1537">
        <v>8000</v>
      </c>
      <c r="L132" s="1538">
        <v>22000</v>
      </c>
      <c r="M132" s="1539"/>
      <c r="N132" s="1538">
        <v>10000</v>
      </c>
      <c r="O132" s="1540"/>
      <c r="P132" s="1556"/>
      <c r="Q132" s="1544"/>
      <c r="R132" s="1544"/>
      <c r="S132" s="1544"/>
    </row>
    <row r="133" ht="12.75" hidden="1"/>
    <row r="134" spans="1:16" s="1593" customFormat="1" ht="25.5">
      <c r="A134" s="1530">
        <v>81</v>
      </c>
      <c r="B134" s="1542">
        <v>600</v>
      </c>
      <c r="C134" s="1532">
        <v>60015</v>
      </c>
      <c r="D134" s="1533">
        <v>6050</v>
      </c>
      <c r="E134" s="1543" t="s">
        <v>44</v>
      </c>
      <c r="F134" s="1542" t="s">
        <v>794</v>
      </c>
      <c r="G134" s="1535">
        <v>2008</v>
      </c>
      <c r="H134" s="1535">
        <v>2014</v>
      </c>
      <c r="I134" s="1603">
        <f>10699.2+4500</f>
        <v>15199.2</v>
      </c>
      <c r="J134" s="1537">
        <v>2500</v>
      </c>
      <c r="K134" s="1537">
        <v>3820</v>
      </c>
      <c r="L134" s="1538">
        <v>102</v>
      </c>
      <c r="M134" s="1539"/>
      <c r="N134" s="1538">
        <v>0</v>
      </c>
      <c r="O134" s="1540"/>
      <c r="P134" s="1599"/>
    </row>
    <row r="135" spans="1:16" s="1593" customFormat="1" ht="18" customHeight="1">
      <c r="A135" s="1530">
        <v>82</v>
      </c>
      <c r="B135" s="1542">
        <v>600</v>
      </c>
      <c r="C135" s="1532">
        <v>60015</v>
      </c>
      <c r="D135" s="1533">
        <v>6050</v>
      </c>
      <c r="E135" s="1543" t="s">
        <v>45</v>
      </c>
      <c r="F135" s="1542" t="s">
        <v>794</v>
      </c>
      <c r="G135" s="1535">
        <v>2006</v>
      </c>
      <c r="H135" s="1535">
        <v>2012</v>
      </c>
      <c r="I135" s="1603">
        <v>11062.6</v>
      </c>
      <c r="J135" s="1537">
        <v>0</v>
      </c>
      <c r="K135" s="1537">
        <v>0</v>
      </c>
      <c r="L135" s="1538">
        <v>0</v>
      </c>
      <c r="M135" s="1539"/>
      <c r="N135" s="1538">
        <v>4000</v>
      </c>
      <c r="O135" s="1540"/>
      <c r="P135" s="1599"/>
    </row>
    <row r="136" spans="1:16" s="1593" customFormat="1" ht="25.5">
      <c r="A136" s="1530">
        <v>82</v>
      </c>
      <c r="B136" s="1531">
        <v>600</v>
      </c>
      <c r="C136" s="1532">
        <v>60015</v>
      </c>
      <c r="D136" s="1532">
        <v>6050</v>
      </c>
      <c r="E136" s="1543" t="s">
        <v>652</v>
      </c>
      <c r="F136" s="1626" t="s">
        <v>794</v>
      </c>
      <c r="G136" s="1535">
        <v>2007</v>
      </c>
      <c r="H136" s="1535">
        <v>2010</v>
      </c>
      <c r="I136" s="1603">
        <v>22479.4</v>
      </c>
      <c r="J136" s="1537">
        <v>8500</v>
      </c>
      <c r="K136" s="1537">
        <v>3271</v>
      </c>
      <c r="L136" s="1538">
        <v>4000</v>
      </c>
      <c r="M136" s="1539"/>
      <c r="N136" s="1538">
        <v>0</v>
      </c>
      <c r="O136" s="1540"/>
      <c r="P136" s="1599"/>
    </row>
    <row r="137" spans="1:19" s="1529" customFormat="1" ht="25.5">
      <c r="A137" s="1530">
        <v>110</v>
      </c>
      <c r="B137" s="1531">
        <v>600</v>
      </c>
      <c r="C137" s="1532">
        <v>60015</v>
      </c>
      <c r="D137" s="1532">
        <v>6050</v>
      </c>
      <c r="E137" s="1543" t="s">
        <v>663</v>
      </c>
      <c r="F137" s="1532" t="s">
        <v>794</v>
      </c>
      <c r="G137" s="1545">
        <v>2008</v>
      </c>
      <c r="H137" s="1546" t="s">
        <v>664</v>
      </c>
      <c r="I137" s="1536">
        <v>40000</v>
      </c>
      <c r="J137" s="1537">
        <v>977</v>
      </c>
      <c r="K137" s="1537">
        <v>480</v>
      </c>
      <c r="L137" s="1538">
        <v>798</v>
      </c>
      <c r="M137" s="1539"/>
      <c r="N137" s="1538"/>
      <c r="O137" s="1540"/>
      <c r="P137" s="1528"/>
      <c r="Q137" s="1528"/>
      <c r="R137" s="1528"/>
      <c r="S137" s="1528"/>
    </row>
    <row r="138" spans="1:18" s="1541" customFormat="1" ht="25.5" customHeight="1">
      <c r="A138" s="1530">
        <v>83</v>
      </c>
      <c r="B138" s="1531">
        <v>600</v>
      </c>
      <c r="C138" s="1532">
        <v>60016</v>
      </c>
      <c r="D138" s="1533">
        <v>6050</v>
      </c>
      <c r="E138" s="1534" t="s">
        <v>46</v>
      </c>
      <c r="F138" s="1532" t="s">
        <v>710</v>
      </c>
      <c r="G138" s="1535">
        <v>2007</v>
      </c>
      <c r="H138" s="1535" t="s">
        <v>811</v>
      </c>
      <c r="I138" s="1536">
        <v>10000</v>
      </c>
      <c r="J138" s="1537">
        <v>273</v>
      </c>
      <c r="K138" s="1537">
        <v>500</v>
      </c>
      <c r="L138" s="1538">
        <v>0</v>
      </c>
      <c r="M138" s="1539"/>
      <c r="N138" s="1538">
        <v>0</v>
      </c>
      <c r="O138" s="1540"/>
      <c r="P138" s="1478"/>
      <c r="Q138" s="1478"/>
      <c r="R138" s="1478"/>
    </row>
    <row r="139" spans="1:18" s="1557" customFormat="1" ht="18" customHeight="1">
      <c r="A139" s="1530">
        <v>84</v>
      </c>
      <c r="B139" s="1542">
        <v>600</v>
      </c>
      <c r="C139" s="1532">
        <v>60016</v>
      </c>
      <c r="D139" s="1533">
        <v>6050</v>
      </c>
      <c r="E139" s="1552" t="s">
        <v>47</v>
      </c>
      <c r="F139" s="1558" t="s">
        <v>710</v>
      </c>
      <c r="G139" s="1535">
        <v>1998</v>
      </c>
      <c r="H139" s="1535" t="s">
        <v>811</v>
      </c>
      <c r="I139" s="1536">
        <v>6740</v>
      </c>
      <c r="J139" s="1536">
        <v>1800</v>
      </c>
      <c r="K139" s="1536">
        <v>3100</v>
      </c>
      <c r="L139" s="1547">
        <v>1000</v>
      </c>
      <c r="M139" s="1548"/>
      <c r="N139" s="1547">
        <v>1000</v>
      </c>
      <c r="O139" s="1549"/>
      <c r="P139" s="1544"/>
      <c r="Q139" s="1544"/>
      <c r="R139" s="1544"/>
    </row>
    <row r="140" spans="1:18" s="1557" customFormat="1" ht="18" customHeight="1">
      <c r="A140" s="1530">
        <v>85</v>
      </c>
      <c r="B140" s="1542">
        <v>600</v>
      </c>
      <c r="C140" s="1532">
        <v>60016</v>
      </c>
      <c r="D140" s="1533">
        <v>6050</v>
      </c>
      <c r="E140" s="1552" t="s">
        <v>48</v>
      </c>
      <c r="F140" s="1558" t="s">
        <v>710</v>
      </c>
      <c r="G140" s="1535">
        <v>2007</v>
      </c>
      <c r="H140" s="1553" t="s">
        <v>811</v>
      </c>
      <c r="I140" s="1536">
        <v>2500</v>
      </c>
      <c r="J140" s="1537">
        <v>0</v>
      </c>
      <c r="K140" s="1537">
        <v>1000</v>
      </c>
      <c r="L140" s="1538">
        <v>100</v>
      </c>
      <c r="M140" s="1539"/>
      <c r="N140" s="1538">
        <v>600</v>
      </c>
      <c r="O140" s="1540"/>
      <c r="P140" s="1544"/>
      <c r="Q140" s="1544"/>
      <c r="R140" s="1544"/>
    </row>
    <row r="141" spans="1:19" s="1541" customFormat="1" ht="18" customHeight="1">
      <c r="A141" s="1530">
        <v>86</v>
      </c>
      <c r="B141" s="1542">
        <v>600</v>
      </c>
      <c r="C141" s="1532">
        <v>60016</v>
      </c>
      <c r="D141" s="1533">
        <v>6050</v>
      </c>
      <c r="E141" s="1534" t="s">
        <v>49</v>
      </c>
      <c r="F141" s="1558" t="s">
        <v>710</v>
      </c>
      <c r="G141" s="1535">
        <v>2006</v>
      </c>
      <c r="H141" s="1535">
        <v>2011</v>
      </c>
      <c r="I141" s="1536">
        <v>1200</v>
      </c>
      <c r="J141" s="1537">
        <v>0</v>
      </c>
      <c r="K141" s="1537">
        <v>100</v>
      </c>
      <c r="L141" s="1538">
        <v>0</v>
      </c>
      <c r="M141" s="1539"/>
      <c r="N141" s="1538"/>
      <c r="O141" s="1540"/>
      <c r="P141" s="1480"/>
      <c r="Q141" s="1478"/>
      <c r="R141" s="1478"/>
      <c r="S141" s="1478"/>
    </row>
    <row r="142" spans="1:18" s="1541" customFormat="1" ht="18" customHeight="1">
      <c r="A142" s="1530">
        <v>23</v>
      </c>
      <c r="B142" s="1542">
        <v>600</v>
      </c>
      <c r="C142" s="1532">
        <v>60053</v>
      </c>
      <c r="D142" s="1533">
        <v>6050</v>
      </c>
      <c r="E142" s="1534" t="s">
        <v>665</v>
      </c>
      <c r="F142" s="1532" t="s">
        <v>817</v>
      </c>
      <c r="G142" s="1535">
        <v>2006</v>
      </c>
      <c r="H142" s="1535">
        <v>2011</v>
      </c>
      <c r="I142" s="1536">
        <v>2900</v>
      </c>
      <c r="J142" s="1537">
        <v>990</v>
      </c>
      <c r="K142" s="1537">
        <v>700</v>
      </c>
      <c r="L142" s="1538">
        <v>1200</v>
      </c>
      <c r="M142" s="1539"/>
      <c r="N142" s="1538">
        <v>0</v>
      </c>
      <c r="O142" s="1540"/>
      <c r="P142" s="1478"/>
      <c r="Q142" s="1478"/>
      <c r="R142" s="1478"/>
    </row>
    <row r="143" spans="1:18" s="1541" customFormat="1" ht="18" customHeight="1">
      <c r="A143" s="1530">
        <v>115</v>
      </c>
      <c r="B143" s="1542">
        <v>600</v>
      </c>
      <c r="C143" s="1532">
        <v>60053</v>
      </c>
      <c r="D143" s="1533">
        <v>6050</v>
      </c>
      <c r="E143" s="1534" t="s">
        <v>675</v>
      </c>
      <c r="F143" s="1532" t="s">
        <v>817</v>
      </c>
      <c r="G143" s="1535">
        <v>2009</v>
      </c>
      <c r="H143" s="1535">
        <v>2009</v>
      </c>
      <c r="I143" s="1536">
        <v>10</v>
      </c>
      <c r="J143" s="1537">
        <v>10</v>
      </c>
      <c r="K143" s="1537">
        <v>0</v>
      </c>
      <c r="L143" s="1538">
        <v>0</v>
      </c>
      <c r="M143" s="1539"/>
      <c r="N143" s="1538">
        <v>0</v>
      </c>
      <c r="O143" s="1540"/>
      <c r="P143" s="1478"/>
      <c r="Q143" s="1478"/>
      <c r="R143" s="1478"/>
    </row>
    <row r="144" spans="1:19" s="1541" customFormat="1" ht="25.5">
      <c r="A144" s="1530">
        <v>87</v>
      </c>
      <c r="B144" s="1531">
        <v>754</v>
      </c>
      <c r="C144" s="1532">
        <v>75495</v>
      </c>
      <c r="D144" s="1533">
        <v>6050</v>
      </c>
      <c r="E144" s="1534" t="s">
        <v>687</v>
      </c>
      <c r="F144" s="1532" t="s">
        <v>817</v>
      </c>
      <c r="G144" s="1535">
        <v>2009</v>
      </c>
      <c r="H144" s="1535">
        <v>2011</v>
      </c>
      <c r="I144" s="1536">
        <f>SUM(J144:N144)</f>
        <v>11200</v>
      </c>
      <c r="J144" s="1537">
        <v>100</v>
      </c>
      <c r="K144" s="1537">
        <v>1300</v>
      </c>
      <c r="L144" s="1538">
        <v>1800</v>
      </c>
      <c r="M144" s="1539"/>
      <c r="N144" s="1538">
        <v>8000</v>
      </c>
      <c r="O144" s="1540"/>
      <c r="P144" s="1480"/>
      <c r="Q144" s="1478"/>
      <c r="R144" s="1478"/>
      <c r="S144" s="1478"/>
    </row>
    <row r="145" spans="1:18" s="1541" customFormat="1" ht="18" customHeight="1">
      <c r="A145" s="1530">
        <v>88</v>
      </c>
      <c r="B145" s="1531">
        <v>801</v>
      </c>
      <c r="C145" s="1532">
        <v>80101</v>
      </c>
      <c r="D145" s="1532">
        <v>6050</v>
      </c>
      <c r="E145" s="1560" t="s">
        <v>50</v>
      </c>
      <c r="F145" s="1532" t="s">
        <v>710</v>
      </c>
      <c r="G145" s="1628">
        <v>2008</v>
      </c>
      <c r="H145" s="1629">
        <v>2009</v>
      </c>
      <c r="I145" s="1630">
        <v>3100</v>
      </c>
      <c r="J145" s="1631">
        <v>2163.1</v>
      </c>
      <c r="K145" s="1631">
        <v>0</v>
      </c>
      <c r="L145" s="1566">
        <v>0</v>
      </c>
      <c r="M145" s="1573"/>
      <c r="N145" s="1632">
        <v>0</v>
      </c>
      <c r="O145" s="1568"/>
      <c r="P145" s="1478"/>
      <c r="Q145" s="1478"/>
      <c r="R145" s="1478"/>
    </row>
    <row r="146" spans="1:18" s="1541" customFormat="1" ht="18" customHeight="1">
      <c r="A146" s="1530">
        <v>89</v>
      </c>
      <c r="B146" s="1531">
        <v>801</v>
      </c>
      <c r="C146" s="1532">
        <v>80101</v>
      </c>
      <c r="D146" s="1532">
        <v>6050</v>
      </c>
      <c r="E146" s="1560" t="s">
        <v>51</v>
      </c>
      <c r="F146" s="1627" t="s">
        <v>710</v>
      </c>
      <c r="G146" s="1553">
        <v>2008</v>
      </c>
      <c r="H146" s="1553">
        <v>2009</v>
      </c>
      <c r="I146" s="1561">
        <v>1530</v>
      </c>
      <c r="J146" s="1562">
        <v>1576.5</v>
      </c>
      <c r="K146" s="1562">
        <v>0</v>
      </c>
      <c r="L146" s="1563">
        <v>0</v>
      </c>
      <c r="M146" s="1564"/>
      <c r="N146" s="1538"/>
      <c r="O146" s="1540"/>
      <c r="P146" s="1478"/>
      <c r="Q146" s="1478"/>
      <c r="R146" s="1478"/>
    </row>
    <row r="147" spans="1:18" s="1541" customFormat="1" ht="18" customHeight="1">
      <c r="A147" s="1530">
        <v>90</v>
      </c>
      <c r="B147" s="1531">
        <v>801</v>
      </c>
      <c r="C147" s="1532">
        <v>80101</v>
      </c>
      <c r="D147" s="1532">
        <v>6050</v>
      </c>
      <c r="E147" s="1560" t="s">
        <v>52</v>
      </c>
      <c r="F147" s="1532" t="s">
        <v>722</v>
      </c>
      <c r="G147" s="1553">
        <v>2008</v>
      </c>
      <c r="H147" s="1553">
        <v>2011</v>
      </c>
      <c r="I147" s="1561">
        <v>3000</v>
      </c>
      <c r="J147" s="1562">
        <v>370</v>
      </c>
      <c r="K147" s="1562">
        <v>1500</v>
      </c>
      <c r="L147" s="1563">
        <v>1000</v>
      </c>
      <c r="M147" s="1564"/>
      <c r="N147" s="1538"/>
      <c r="O147" s="1540"/>
      <c r="P147" s="1478"/>
      <c r="Q147" s="1478"/>
      <c r="R147" s="1478"/>
    </row>
    <row r="148" spans="1:18" s="1541" customFormat="1" ht="18" customHeight="1">
      <c r="A148" s="1530">
        <v>91</v>
      </c>
      <c r="B148" s="1531">
        <v>801</v>
      </c>
      <c r="C148" s="1532">
        <v>80110</v>
      </c>
      <c r="D148" s="1532">
        <v>6050</v>
      </c>
      <c r="E148" s="1560" t="s">
        <v>53</v>
      </c>
      <c r="F148" s="1532" t="s">
        <v>722</v>
      </c>
      <c r="G148" s="1535">
        <v>2007</v>
      </c>
      <c r="H148" s="1553">
        <v>2011</v>
      </c>
      <c r="I148" s="1536">
        <v>11500</v>
      </c>
      <c r="J148" s="1537">
        <v>600</v>
      </c>
      <c r="K148" s="1537">
        <v>2450</v>
      </c>
      <c r="L148" s="1538">
        <v>7000</v>
      </c>
      <c r="M148" s="1539"/>
      <c r="N148" s="1567">
        <v>900</v>
      </c>
      <c r="O148" s="1568"/>
      <c r="P148" s="1478"/>
      <c r="Q148" s="1478"/>
      <c r="R148" s="1478"/>
    </row>
    <row r="149" spans="1:18" s="1541" customFormat="1" ht="25.5">
      <c r="A149" s="1530">
        <v>105</v>
      </c>
      <c r="B149" s="1531">
        <v>801</v>
      </c>
      <c r="C149" s="1532">
        <v>80195</v>
      </c>
      <c r="D149" s="1532">
        <v>6050</v>
      </c>
      <c r="E149" s="1534" t="s">
        <v>708</v>
      </c>
      <c r="F149" s="1532" t="s">
        <v>18</v>
      </c>
      <c r="G149" s="1553">
        <v>2009</v>
      </c>
      <c r="H149" s="1553">
        <v>2011</v>
      </c>
      <c r="I149" s="1561">
        <f>SUM(J149:L149)</f>
        <v>22500</v>
      </c>
      <c r="J149" s="1562">
        <v>2170</v>
      </c>
      <c r="K149" s="1562">
        <v>8915</v>
      </c>
      <c r="L149" s="1563">
        <v>11415</v>
      </c>
      <c r="M149" s="1564"/>
      <c r="N149" s="1538">
        <v>0</v>
      </c>
      <c r="O149" s="1540"/>
      <c r="P149" s="1478"/>
      <c r="Q149" s="1478"/>
      <c r="R149" s="1478"/>
    </row>
    <row r="150" spans="1:18" s="1541" customFormat="1" ht="25.5">
      <c r="A150" s="1530">
        <v>92</v>
      </c>
      <c r="B150" s="1531">
        <v>900</v>
      </c>
      <c r="C150" s="1532">
        <v>90001</v>
      </c>
      <c r="D150" s="1532">
        <v>6050</v>
      </c>
      <c r="E150" s="1569" t="s">
        <v>54</v>
      </c>
      <c r="F150" s="1633" t="s">
        <v>710</v>
      </c>
      <c r="G150" s="1535">
        <v>2004</v>
      </c>
      <c r="H150" s="1553">
        <v>2011</v>
      </c>
      <c r="I150" s="1603">
        <v>6600</v>
      </c>
      <c r="J150" s="1537">
        <v>1600</v>
      </c>
      <c r="K150" s="1537">
        <v>2800</v>
      </c>
      <c r="L150" s="1538">
        <v>0</v>
      </c>
      <c r="M150" s="1539"/>
      <c r="N150" s="1538">
        <v>3000</v>
      </c>
      <c r="O150" s="1540"/>
      <c r="P150" s="1478"/>
      <c r="Q150" s="1478"/>
      <c r="R150" s="1478"/>
    </row>
    <row r="151" spans="1:18" s="1541" customFormat="1" ht="25.5" customHeight="1">
      <c r="A151" s="1530">
        <v>93</v>
      </c>
      <c r="B151" s="1542">
        <v>900</v>
      </c>
      <c r="C151" s="1532">
        <v>90001</v>
      </c>
      <c r="D151" s="1532">
        <v>6050</v>
      </c>
      <c r="E151" s="1534" t="s">
        <v>440</v>
      </c>
      <c r="F151" s="1633" t="s">
        <v>710</v>
      </c>
      <c r="G151" s="1535">
        <v>2004</v>
      </c>
      <c r="H151" s="1553" t="s">
        <v>811</v>
      </c>
      <c r="I151" s="1536">
        <v>35000</v>
      </c>
      <c r="J151" s="1537">
        <v>5398.5</v>
      </c>
      <c r="K151" s="1537">
        <v>6000</v>
      </c>
      <c r="L151" s="1538">
        <v>6200</v>
      </c>
      <c r="M151" s="1539"/>
      <c r="N151" s="1538">
        <v>0</v>
      </c>
      <c r="O151" s="1540"/>
      <c r="P151" s="1478"/>
      <c r="Q151" s="1478"/>
      <c r="R151" s="1478"/>
    </row>
    <row r="152" spans="1:18" s="1541" customFormat="1" ht="18" customHeight="1">
      <c r="A152" s="1530">
        <v>94</v>
      </c>
      <c r="B152" s="1531">
        <v>900</v>
      </c>
      <c r="C152" s="1532">
        <v>90001</v>
      </c>
      <c r="D152" s="1532">
        <v>6050</v>
      </c>
      <c r="E152" s="1552" t="s">
        <v>55</v>
      </c>
      <c r="F152" s="1633" t="s">
        <v>710</v>
      </c>
      <c r="G152" s="1535">
        <v>2007</v>
      </c>
      <c r="H152" s="1553" t="s">
        <v>811</v>
      </c>
      <c r="I152" s="1536">
        <v>5000</v>
      </c>
      <c r="J152" s="1537">
        <v>3</v>
      </c>
      <c r="K152" s="1537">
        <v>500</v>
      </c>
      <c r="L152" s="1538">
        <v>500</v>
      </c>
      <c r="M152" s="1539"/>
      <c r="N152" s="1538">
        <v>500</v>
      </c>
      <c r="O152" s="1540"/>
      <c r="P152" s="1478"/>
      <c r="Q152" s="1478"/>
      <c r="R152" s="1478"/>
    </row>
    <row r="153" spans="1:18" s="1541" customFormat="1" ht="18" customHeight="1">
      <c r="A153" s="1530">
        <v>95</v>
      </c>
      <c r="B153" s="1542">
        <v>900</v>
      </c>
      <c r="C153" s="1532">
        <v>90001</v>
      </c>
      <c r="D153" s="1532">
        <v>6050</v>
      </c>
      <c r="E153" s="1552" t="s">
        <v>56</v>
      </c>
      <c r="F153" s="1633" t="s">
        <v>418</v>
      </c>
      <c r="G153" s="1571">
        <v>2004</v>
      </c>
      <c r="H153" s="1572" t="s">
        <v>811</v>
      </c>
      <c r="I153" s="1549">
        <v>6400</v>
      </c>
      <c r="J153" s="1631">
        <v>220</v>
      </c>
      <c r="K153" s="1631">
        <v>3180</v>
      </c>
      <c r="L153" s="1566">
        <v>3000</v>
      </c>
      <c r="M153" s="1573"/>
      <c r="N153" s="1632">
        <v>1000</v>
      </c>
      <c r="O153" s="1568"/>
      <c r="P153" s="1478"/>
      <c r="Q153" s="1478"/>
      <c r="R153" s="1478"/>
    </row>
    <row r="154" spans="1:18" s="1541" customFormat="1" ht="18.75" customHeight="1">
      <c r="A154" s="1530">
        <v>96</v>
      </c>
      <c r="B154" s="1531">
        <v>900</v>
      </c>
      <c r="C154" s="1532">
        <v>90001</v>
      </c>
      <c r="D154" s="1532">
        <v>6050</v>
      </c>
      <c r="E154" s="1552" t="s">
        <v>57</v>
      </c>
      <c r="F154" s="1633" t="s">
        <v>418</v>
      </c>
      <c r="G154" s="1553">
        <v>2007</v>
      </c>
      <c r="H154" s="1553" t="s">
        <v>811</v>
      </c>
      <c r="I154" s="1561">
        <v>3000</v>
      </c>
      <c r="J154" s="1562">
        <v>330</v>
      </c>
      <c r="K154" s="1562">
        <v>1800</v>
      </c>
      <c r="L154" s="1563">
        <v>0</v>
      </c>
      <c r="M154" s="1564"/>
      <c r="N154" s="1538">
        <v>1000</v>
      </c>
      <c r="O154" s="1540"/>
      <c r="P154" s="1478"/>
      <c r="Q154" s="1478"/>
      <c r="R154" s="1478"/>
    </row>
    <row r="155" spans="1:18" s="1541" customFormat="1" ht="18.75" customHeight="1">
      <c r="A155" s="1530">
        <v>97</v>
      </c>
      <c r="B155" s="1531">
        <v>900</v>
      </c>
      <c r="C155" s="1532">
        <v>90001</v>
      </c>
      <c r="D155" s="1532">
        <v>6050</v>
      </c>
      <c r="E155" s="1552" t="s">
        <v>58</v>
      </c>
      <c r="F155" s="1633" t="s">
        <v>710</v>
      </c>
      <c r="G155" s="1553">
        <v>2000</v>
      </c>
      <c r="H155" s="1553" t="s">
        <v>811</v>
      </c>
      <c r="I155" s="1561">
        <v>2400</v>
      </c>
      <c r="J155" s="1562">
        <v>50</v>
      </c>
      <c r="K155" s="1562">
        <v>620</v>
      </c>
      <c r="L155" s="1563">
        <v>0</v>
      </c>
      <c r="M155" s="1564"/>
      <c r="N155" s="1538">
        <v>1000</v>
      </c>
      <c r="O155" s="1540"/>
      <c r="P155" s="1478"/>
      <c r="Q155" s="1478"/>
      <c r="R155" s="1478"/>
    </row>
    <row r="156" spans="1:18" s="1541" customFormat="1" ht="18.75" customHeight="1">
      <c r="A156" s="1530">
        <v>104</v>
      </c>
      <c r="B156" s="1531">
        <v>900</v>
      </c>
      <c r="C156" s="1532">
        <v>90001</v>
      </c>
      <c r="D156" s="1532">
        <v>6050</v>
      </c>
      <c r="E156" s="1552" t="s">
        <v>702</v>
      </c>
      <c r="F156" s="1633" t="s">
        <v>418</v>
      </c>
      <c r="G156" s="1553">
        <v>2009</v>
      </c>
      <c r="H156" s="1553">
        <v>2011</v>
      </c>
      <c r="I156" s="1561">
        <f>SUM(J156:L156)</f>
        <v>3620</v>
      </c>
      <c r="J156" s="1562">
        <v>180</v>
      </c>
      <c r="K156" s="1562">
        <v>1080</v>
      </c>
      <c r="L156" s="1563">
        <v>2360</v>
      </c>
      <c r="M156" s="1564"/>
      <c r="N156" s="1538">
        <v>1000</v>
      </c>
      <c r="O156" s="1540"/>
      <c r="P156" s="1478"/>
      <c r="Q156" s="1478"/>
      <c r="R156" s="1478"/>
    </row>
    <row r="157" spans="1:18" s="1541" customFormat="1" ht="18.75" customHeight="1">
      <c r="A157" s="1530">
        <v>98</v>
      </c>
      <c r="B157" s="1531">
        <v>900</v>
      </c>
      <c r="C157" s="1532">
        <v>90001</v>
      </c>
      <c r="D157" s="1532">
        <v>6050</v>
      </c>
      <c r="E157" s="1552" t="s">
        <v>59</v>
      </c>
      <c r="F157" s="1633" t="s">
        <v>710</v>
      </c>
      <c r="G157" s="1553">
        <v>2008</v>
      </c>
      <c r="H157" s="1553">
        <v>2010</v>
      </c>
      <c r="I157" s="1561">
        <v>600</v>
      </c>
      <c r="J157" s="1562">
        <v>30</v>
      </c>
      <c r="K157" s="1562">
        <v>300</v>
      </c>
      <c r="L157" s="1563">
        <v>0</v>
      </c>
      <c r="M157" s="1564"/>
      <c r="N157" s="1538"/>
      <c r="O157" s="1540"/>
      <c r="P157" s="1478"/>
      <c r="Q157" s="1478"/>
      <c r="R157" s="1478"/>
    </row>
    <row r="158" spans="1:18" s="1541" customFormat="1" ht="38.25">
      <c r="A158" s="1530">
        <v>124</v>
      </c>
      <c r="B158" s="1531">
        <v>900</v>
      </c>
      <c r="C158" s="1532">
        <v>90002</v>
      </c>
      <c r="D158" s="1532">
        <v>6050</v>
      </c>
      <c r="E158" s="1569" t="s">
        <v>709</v>
      </c>
      <c r="F158" s="1633" t="s">
        <v>710</v>
      </c>
      <c r="G158" s="1553">
        <v>2009</v>
      </c>
      <c r="H158" s="1553">
        <v>2013</v>
      </c>
      <c r="I158" s="1561">
        <v>280000</v>
      </c>
      <c r="J158" s="1562">
        <v>500</v>
      </c>
      <c r="K158" s="1562">
        <v>2000</v>
      </c>
      <c r="L158" s="1563">
        <v>5000</v>
      </c>
      <c r="M158" s="1564"/>
      <c r="N158" s="1538"/>
      <c r="O158" s="1540"/>
      <c r="P158" s="1478"/>
      <c r="Q158" s="1478"/>
      <c r="R158" s="1478"/>
    </row>
    <row r="159" spans="1:19" s="1541" customFormat="1" ht="19.5" customHeight="1">
      <c r="A159" s="1530">
        <v>99</v>
      </c>
      <c r="B159" s="1531">
        <v>900</v>
      </c>
      <c r="C159" s="1532">
        <v>90004</v>
      </c>
      <c r="D159" s="1532">
        <v>6050</v>
      </c>
      <c r="E159" s="1569" t="s">
        <v>649</v>
      </c>
      <c r="F159" s="1532" t="s">
        <v>794</v>
      </c>
      <c r="G159" s="1535">
        <v>2009</v>
      </c>
      <c r="H159" s="1535">
        <v>2011</v>
      </c>
      <c r="I159" s="1536">
        <f>SUM(J159:L159)</f>
        <v>2700</v>
      </c>
      <c r="J159" s="1537">
        <v>700</v>
      </c>
      <c r="K159" s="1537">
        <v>1000</v>
      </c>
      <c r="L159" s="1538">
        <v>1000</v>
      </c>
      <c r="M159" s="1539"/>
      <c r="N159" s="1538">
        <v>0</v>
      </c>
      <c r="O159" s="1540"/>
      <c r="P159" s="1480"/>
      <c r="Q159" s="1478"/>
      <c r="R159" s="1478"/>
      <c r="S159" s="1478"/>
    </row>
    <row r="160" spans="1:18" s="1541" customFormat="1" ht="16.5" customHeight="1">
      <c r="A160" s="1530">
        <v>100</v>
      </c>
      <c r="B160" s="1542">
        <v>900</v>
      </c>
      <c r="C160" s="1532">
        <v>90015</v>
      </c>
      <c r="D160" s="1532">
        <v>6050</v>
      </c>
      <c r="E160" s="1552" t="s">
        <v>60</v>
      </c>
      <c r="F160" s="1558" t="s">
        <v>710</v>
      </c>
      <c r="G160" s="1553">
        <v>2003</v>
      </c>
      <c r="H160" s="1553" t="s">
        <v>811</v>
      </c>
      <c r="I160" s="1561">
        <v>950</v>
      </c>
      <c r="J160" s="1562">
        <v>10</v>
      </c>
      <c r="K160" s="1562">
        <v>100</v>
      </c>
      <c r="L160" s="1563">
        <v>100</v>
      </c>
      <c r="M160" s="1564"/>
      <c r="N160" s="1538">
        <v>100</v>
      </c>
      <c r="O160" s="1540"/>
      <c r="P160" s="1478"/>
      <c r="Q160" s="1478"/>
      <c r="R160" s="1478"/>
    </row>
    <row r="161" spans="1:18" s="1541" customFormat="1" ht="18" customHeight="1">
      <c r="A161" s="1530">
        <v>101</v>
      </c>
      <c r="B161" s="1542">
        <v>921</v>
      </c>
      <c r="C161" s="1532">
        <v>92108</v>
      </c>
      <c r="D161" s="1533">
        <v>6050</v>
      </c>
      <c r="E161" s="1569" t="s">
        <v>61</v>
      </c>
      <c r="F161" s="1602" t="s">
        <v>711</v>
      </c>
      <c r="G161" s="1535">
        <v>2008</v>
      </c>
      <c r="H161" s="1553" t="s">
        <v>811</v>
      </c>
      <c r="I161" s="1603">
        <v>30000</v>
      </c>
      <c r="J161" s="1537">
        <v>730</v>
      </c>
      <c r="K161" s="1537">
        <v>2400</v>
      </c>
      <c r="L161" s="1538">
        <v>3700</v>
      </c>
      <c r="M161" s="1539"/>
      <c r="N161" s="1538">
        <v>18000</v>
      </c>
      <c r="O161" s="1540"/>
      <c r="P161" s="1478"/>
      <c r="Q161" s="1478"/>
      <c r="R161" s="1478"/>
    </row>
    <row r="162" spans="1:18" s="1541" customFormat="1" ht="18" customHeight="1">
      <c r="A162" s="1530">
        <v>108</v>
      </c>
      <c r="B162" s="1793">
        <v>926</v>
      </c>
      <c r="C162" s="1635">
        <v>92601</v>
      </c>
      <c r="D162" s="1801">
        <v>6050</v>
      </c>
      <c r="E162" s="1802" t="s">
        <v>597</v>
      </c>
      <c r="F162" s="1803" t="s">
        <v>710</v>
      </c>
      <c r="G162" s="1535">
        <v>2009</v>
      </c>
      <c r="H162" s="1553">
        <v>2012</v>
      </c>
      <c r="I162" s="1603">
        <v>47651.1</v>
      </c>
      <c r="J162" s="1537">
        <v>4556.707</v>
      </c>
      <c r="K162" s="1537">
        <v>3028.2</v>
      </c>
      <c r="L162" s="1538">
        <v>7676.7</v>
      </c>
      <c r="M162" s="1539"/>
      <c r="N162" s="1538"/>
      <c r="O162" s="1540"/>
      <c r="P162" s="1478"/>
      <c r="Q162" s="1478"/>
      <c r="R162" s="1478"/>
    </row>
    <row r="163" spans="1:18" s="1541" customFormat="1" ht="18" customHeight="1">
      <c r="A163" s="1530">
        <v>102</v>
      </c>
      <c r="B163" s="1634">
        <v>926</v>
      </c>
      <c r="C163" s="1635">
        <v>92601</v>
      </c>
      <c r="D163" s="1635">
        <v>6050</v>
      </c>
      <c r="E163" s="1636" t="s">
        <v>690</v>
      </c>
      <c r="F163" s="1635" t="s">
        <v>711</v>
      </c>
      <c r="G163" s="1553">
        <v>2008</v>
      </c>
      <c r="H163" s="1553">
        <v>2009</v>
      </c>
      <c r="I163" s="1561">
        <v>2000</v>
      </c>
      <c r="J163" s="1562">
        <v>1385</v>
      </c>
      <c r="K163" s="1562">
        <v>0</v>
      </c>
      <c r="L163" s="1563">
        <v>0</v>
      </c>
      <c r="M163" s="1564"/>
      <c r="N163" s="1538"/>
      <c r="O163" s="1540"/>
      <c r="P163" s="1478"/>
      <c r="Q163" s="1478"/>
      <c r="R163" s="1478"/>
    </row>
    <row r="164" spans="1:18" s="1541" customFormat="1" ht="20.25" customHeight="1">
      <c r="A164" s="1530">
        <v>103</v>
      </c>
      <c r="B164" s="1531">
        <v>926</v>
      </c>
      <c r="C164" s="1532">
        <v>92601</v>
      </c>
      <c r="D164" s="1532">
        <v>6050</v>
      </c>
      <c r="E164" s="1560" t="s">
        <v>62</v>
      </c>
      <c r="F164" s="1532" t="s">
        <v>711</v>
      </c>
      <c r="G164" s="1553">
        <v>2008</v>
      </c>
      <c r="H164" s="1553">
        <v>2009</v>
      </c>
      <c r="I164" s="1561">
        <v>2000</v>
      </c>
      <c r="J164" s="1562">
        <v>1454.5</v>
      </c>
      <c r="K164" s="1562">
        <v>0</v>
      </c>
      <c r="L164" s="1563">
        <v>0</v>
      </c>
      <c r="M164" s="1564"/>
      <c r="N164" s="1538"/>
      <c r="O164" s="1540"/>
      <c r="P164" s="1478"/>
      <c r="Q164" s="1478"/>
      <c r="R164" s="1478"/>
    </row>
    <row r="165" spans="1:18" s="1541" customFormat="1" ht="26.25" thickBot="1">
      <c r="A165" s="2430">
        <v>127</v>
      </c>
      <c r="B165" s="1582">
        <v>926</v>
      </c>
      <c r="C165" s="2436">
        <v>92601</v>
      </c>
      <c r="D165" s="1582">
        <v>6050</v>
      </c>
      <c r="E165" s="2434" t="s">
        <v>639</v>
      </c>
      <c r="F165" s="1532" t="s">
        <v>711</v>
      </c>
      <c r="G165" s="2432">
        <v>2010</v>
      </c>
      <c r="H165" s="2435">
        <v>2011</v>
      </c>
      <c r="I165" s="2433">
        <v>6000</v>
      </c>
      <c r="J165" s="2431">
        <v>0</v>
      </c>
      <c r="K165" s="2431">
        <v>3000</v>
      </c>
      <c r="L165" s="1583">
        <v>3000</v>
      </c>
      <c r="M165" s="1565"/>
      <c r="N165" s="1566"/>
      <c r="O165" s="1540"/>
      <c r="P165" s="1574"/>
      <c r="Q165" s="1478"/>
      <c r="R165" s="1478"/>
    </row>
    <row r="166" spans="1:28" s="1615" customFormat="1" ht="24.75" customHeight="1" thickBot="1" thickTop="1">
      <c r="A166" s="2308"/>
      <c r="B166" s="1637"/>
      <c r="C166" s="1637"/>
      <c r="D166" s="1638"/>
      <c r="E166" s="1639" t="s">
        <v>63</v>
      </c>
      <c r="F166" s="1639"/>
      <c r="G166" s="1640"/>
      <c r="H166" s="1641"/>
      <c r="I166" s="1641"/>
      <c r="J166" s="1642">
        <f>J10+J67+J129</f>
        <v>83420.301</v>
      </c>
      <c r="K166" s="1642">
        <f>K10+K67+K129</f>
        <v>106464.2</v>
      </c>
      <c r="L166" s="1613">
        <f>L10+L67+L129</f>
        <v>120441.7</v>
      </c>
      <c r="M166" s="1612"/>
      <c r="N166" s="1613" t="e">
        <f>N10+N67+N129</f>
        <v>#REF!</v>
      </c>
      <c r="O166" s="1614"/>
      <c r="P166" s="1593"/>
      <c r="Q166" s="1593"/>
      <c r="R166" s="1593"/>
      <c r="S166" s="1593"/>
      <c r="T166" s="1593"/>
      <c r="U166" s="1593"/>
      <c r="V166" s="1593"/>
      <c r="W166" s="1593"/>
      <c r="X166" s="1593"/>
      <c r="Y166" s="1593"/>
      <c r="Z166" s="1593"/>
      <c r="AA166" s="1593"/>
      <c r="AB166" s="1593"/>
    </row>
    <row r="167" spans="2:28" s="1615" customFormat="1" ht="6" customHeight="1" thickTop="1">
      <c r="B167" s="1643"/>
      <c r="C167" s="1643"/>
      <c r="D167" s="1644"/>
      <c r="E167" s="1645"/>
      <c r="F167" s="1645"/>
      <c r="G167" s="1646"/>
      <c r="H167" s="1647"/>
      <c r="I167" s="1647"/>
      <c r="J167" s="1614"/>
      <c r="K167" s="1614"/>
      <c r="L167" s="1614"/>
      <c r="M167" s="1614"/>
      <c r="N167" s="1614"/>
      <c r="O167" s="1614"/>
      <c r="P167" s="1593"/>
      <c r="Q167" s="1593"/>
      <c r="R167" s="1593"/>
      <c r="S167" s="1593"/>
      <c r="T167" s="1593"/>
      <c r="U167" s="1593"/>
      <c r="V167" s="1593"/>
      <c r="W167" s="1593"/>
      <c r="X167" s="1593"/>
      <c r="Y167" s="1593"/>
      <c r="Z167" s="1593"/>
      <c r="AA167" s="1593"/>
      <c r="AB167" s="1593"/>
    </row>
    <row r="168" spans="1:5" s="1348" customFormat="1" ht="12.75">
      <c r="A168" s="87" t="s">
        <v>620</v>
      </c>
      <c r="B168" s="1469"/>
      <c r="D168" s="1349"/>
      <c r="E168" s="1470"/>
    </row>
    <row r="169" spans="1:10" s="1348" customFormat="1" ht="12.75">
      <c r="A169" s="87" t="s">
        <v>181</v>
      </c>
      <c r="B169" s="1469"/>
      <c r="D169" s="1349"/>
      <c r="E169" s="1470"/>
      <c r="J169" s="1348" t="s">
        <v>317</v>
      </c>
    </row>
    <row r="170" spans="1:10" s="1348" customFormat="1" ht="12.75">
      <c r="A170" s="87" t="s">
        <v>40</v>
      </c>
      <c r="B170" s="1469"/>
      <c r="D170" s="1349"/>
      <c r="E170" s="1470"/>
      <c r="J170" s="1648"/>
    </row>
    <row r="171" spans="2:19" s="1649" customFormat="1" ht="12.75">
      <c r="B171" s="1650"/>
      <c r="E171" s="1651"/>
      <c r="H171" s="1652"/>
      <c r="J171" s="1651"/>
      <c r="K171" s="1651"/>
      <c r="L171" s="1653"/>
      <c r="M171" s="1653"/>
      <c r="N171" s="1654"/>
      <c r="O171" s="1654"/>
      <c r="Q171" s="1651"/>
      <c r="R171" s="1655"/>
      <c r="S171" s="1652"/>
    </row>
    <row r="172" spans="2:19" s="1649" customFormat="1" ht="12.75">
      <c r="B172" s="1656"/>
      <c r="D172" s="1657"/>
      <c r="E172" s="1651"/>
      <c r="H172" s="1652"/>
      <c r="J172" s="1651"/>
      <c r="K172" s="1651"/>
      <c r="L172" s="1653"/>
      <c r="M172" s="1653"/>
      <c r="N172" s="1654"/>
      <c r="O172" s="1654"/>
      <c r="Q172" s="1651"/>
      <c r="R172" s="1655"/>
      <c r="S172" s="1652"/>
    </row>
    <row r="173" spans="4:21" ht="18">
      <c r="D173" s="1658"/>
      <c r="E173" s="1659"/>
      <c r="F173" s="1659"/>
      <c r="G173" s="1660"/>
      <c r="H173" s="1659"/>
      <c r="I173" s="1659"/>
      <c r="J173" s="1659"/>
      <c r="K173" s="1661"/>
      <c r="L173" s="1661"/>
      <c r="M173" s="1661"/>
      <c r="N173" s="1662"/>
      <c r="O173" s="1662"/>
      <c r="P173" s="1661"/>
      <c r="Q173" s="1661"/>
      <c r="R173" s="1661"/>
      <c r="S173" s="1661"/>
      <c r="T173" s="1661"/>
      <c r="U173" s="1661"/>
    </row>
    <row r="174" spans="4:55" s="1661" customFormat="1" ht="18">
      <c r="D174" s="1658"/>
      <c r="E174" s="1576"/>
      <c r="F174" s="1576"/>
      <c r="G174" s="1663"/>
      <c r="H174" s="1576"/>
      <c r="I174" s="1576"/>
      <c r="J174" s="1576"/>
      <c r="K174" s="1664"/>
      <c r="L174" s="1664"/>
      <c r="M174" s="1664"/>
      <c r="N174" s="1665"/>
      <c r="O174" s="1665"/>
      <c r="P174" s="1664"/>
      <c r="Q174" s="1664"/>
      <c r="R174" s="1664"/>
      <c r="S174" s="1664"/>
      <c r="T174" s="1664"/>
      <c r="U174" s="1664"/>
      <c r="V174" s="1664"/>
      <c r="W174" s="1664"/>
      <c r="X174" s="1664"/>
      <c r="Y174" s="1664"/>
      <c r="Z174" s="1664"/>
      <c r="AA174" s="1664"/>
      <c r="AB174" s="1664"/>
      <c r="AC174" s="1664"/>
      <c r="AD174" s="1664"/>
      <c r="AE174" s="1664"/>
      <c r="AF174" s="1664"/>
      <c r="AG174" s="1664"/>
      <c r="AH174" s="1664"/>
      <c r="AI174" s="1664"/>
      <c r="AJ174" s="1664"/>
      <c r="AK174" s="1664"/>
      <c r="AL174" s="1664"/>
      <c r="AM174" s="1664"/>
      <c r="AN174" s="1664"/>
      <c r="AO174" s="1664"/>
      <c r="AP174" s="1664"/>
      <c r="AQ174" s="1664"/>
      <c r="AR174" s="1664"/>
      <c r="AS174" s="1664"/>
      <c r="AT174" s="1664"/>
      <c r="AU174" s="1664"/>
      <c r="AV174" s="1664"/>
      <c r="AW174" s="1664"/>
      <c r="AX174" s="1664"/>
      <c r="AY174" s="1664"/>
      <c r="AZ174" s="1664"/>
      <c r="BA174" s="1664"/>
      <c r="BB174" s="1664"/>
      <c r="BC174" s="1664"/>
    </row>
    <row r="175" spans="4:15" s="1664" customFormat="1" ht="12.75">
      <c r="D175" s="1666"/>
      <c r="E175" s="1576"/>
      <c r="F175" s="1576"/>
      <c r="G175" s="1663"/>
      <c r="H175" s="1576"/>
      <c r="I175" s="1576"/>
      <c r="J175" s="1576"/>
      <c r="N175" s="1665"/>
      <c r="O175" s="1665"/>
    </row>
    <row r="176" spans="4:15" s="1664" customFormat="1" ht="12.75">
      <c r="D176" s="1666"/>
      <c r="E176" s="1576"/>
      <c r="F176" s="1576"/>
      <c r="G176" s="1663"/>
      <c r="H176" s="1576"/>
      <c r="I176" s="1576"/>
      <c r="J176" s="1576"/>
      <c r="N176" s="1665"/>
      <c r="O176" s="1665"/>
    </row>
    <row r="177" spans="4:21" s="1664" customFormat="1" ht="12.75">
      <c r="D177" s="1658"/>
      <c r="E177" s="1667"/>
      <c r="F177" s="1667"/>
      <c r="G177" s="1582"/>
      <c r="H177" s="1667"/>
      <c r="I177" s="1667"/>
      <c r="J177" s="1667"/>
      <c r="K177" s="1667"/>
      <c r="L177" s="1667"/>
      <c r="M177" s="1667"/>
      <c r="N177" s="1540"/>
      <c r="O177" s="1540"/>
      <c r="P177" s="1667"/>
      <c r="Q177" s="1667"/>
      <c r="R177" s="1667"/>
      <c r="S177" s="1667"/>
      <c r="T177" s="1667"/>
      <c r="U177" s="1667"/>
    </row>
    <row r="178" spans="4:55" s="1664" customFormat="1" ht="12.75">
      <c r="D178" s="1658"/>
      <c r="E178" s="1667"/>
      <c r="F178" s="1667"/>
      <c r="G178" s="1582"/>
      <c r="H178" s="1667"/>
      <c r="I178" s="1667"/>
      <c r="J178" s="1667"/>
      <c r="K178" s="1667"/>
      <c r="L178" s="1667"/>
      <c r="M178" s="1667"/>
      <c r="N178" s="1540"/>
      <c r="O178" s="1540"/>
      <c r="P178" s="1667"/>
      <c r="Q178" s="1667"/>
      <c r="R178" s="1667"/>
      <c r="S178" s="1667"/>
      <c r="T178" s="1667"/>
      <c r="U178" s="1667"/>
      <c r="V178" s="1667"/>
      <c r="W178" s="1667"/>
      <c r="X178" s="1667"/>
      <c r="Y178" s="1667"/>
      <c r="Z178" s="1667"/>
      <c r="AA178" s="1667"/>
      <c r="AB178" s="1667"/>
      <c r="AC178" s="1667"/>
      <c r="AD178" s="1667"/>
      <c r="AE178" s="1667"/>
      <c r="AF178" s="1667"/>
      <c r="AG178" s="1667"/>
      <c r="AH178" s="1667"/>
      <c r="AI178" s="1667"/>
      <c r="AJ178" s="1667"/>
      <c r="AK178" s="1667"/>
      <c r="AL178" s="1667"/>
      <c r="AM178" s="1667"/>
      <c r="AN178" s="1667"/>
      <c r="AO178" s="1667"/>
      <c r="AP178" s="1667"/>
      <c r="AQ178" s="1667"/>
      <c r="AR178" s="1667"/>
      <c r="AS178" s="1667"/>
      <c r="AT178" s="1667"/>
      <c r="AU178" s="1667"/>
      <c r="AV178" s="1667"/>
      <c r="AW178" s="1667"/>
      <c r="AX178" s="1667"/>
      <c r="AY178" s="1667"/>
      <c r="AZ178" s="1667"/>
      <c r="BA178" s="1667"/>
      <c r="BB178" s="1667"/>
      <c r="BC178" s="1667"/>
    </row>
    <row r="179" spans="4:27" s="1667" customFormat="1" ht="12.75">
      <c r="D179" s="1658"/>
      <c r="E179" s="1664"/>
      <c r="F179" s="1664"/>
      <c r="G179" s="1582"/>
      <c r="N179" s="1668"/>
      <c r="O179" s="1668"/>
      <c r="P179" s="1576"/>
      <c r="Q179" s="1576"/>
      <c r="R179" s="1576"/>
      <c r="S179" s="1664"/>
      <c r="T179" s="1664"/>
      <c r="U179" s="1664"/>
      <c r="V179" s="1664"/>
      <c r="W179" s="1664"/>
      <c r="X179" s="1664"/>
      <c r="Y179" s="1664"/>
      <c r="Z179" s="1664"/>
      <c r="AA179" s="1664"/>
    </row>
    <row r="180" spans="4:61" s="1667" customFormat="1" ht="12.75">
      <c r="D180" s="1658"/>
      <c r="E180" s="1664"/>
      <c r="F180" s="1664"/>
      <c r="G180" s="1582"/>
      <c r="N180" s="1668"/>
      <c r="O180" s="1668"/>
      <c r="P180" s="1576"/>
      <c r="Q180" s="1576"/>
      <c r="R180" s="1576"/>
      <c r="S180" s="1664"/>
      <c r="T180" s="1664"/>
      <c r="U180" s="1664"/>
      <c r="V180" s="1664"/>
      <c r="W180" s="1664"/>
      <c r="X180" s="1664"/>
      <c r="Y180" s="1664"/>
      <c r="Z180" s="1664"/>
      <c r="AA180" s="1664"/>
      <c r="AB180" s="1664"/>
      <c r="AC180" s="1664"/>
      <c r="AD180" s="1664"/>
      <c r="AE180" s="1664"/>
      <c r="AF180" s="1664"/>
      <c r="AG180" s="1664"/>
      <c r="AH180" s="1664"/>
      <c r="AI180" s="1664"/>
      <c r="AJ180" s="1664"/>
      <c r="AK180" s="1664"/>
      <c r="AL180" s="1664"/>
      <c r="AM180" s="1664"/>
      <c r="AN180" s="1664"/>
      <c r="AO180" s="1664"/>
      <c r="AP180" s="1664"/>
      <c r="AQ180" s="1664"/>
      <c r="AR180" s="1664"/>
      <c r="AS180" s="1664"/>
      <c r="AT180" s="1664"/>
      <c r="AU180" s="1664"/>
      <c r="AV180" s="1664"/>
      <c r="AW180" s="1664"/>
      <c r="AX180" s="1664"/>
      <c r="AY180" s="1664"/>
      <c r="AZ180" s="1664"/>
      <c r="BA180" s="1664"/>
      <c r="BB180" s="1664"/>
      <c r="BC180" s="1664"/>
      <c r="BD180" s="1664"/>
      <c r="BE180" s="1664"/>
      <c r="BF180" s="1664"/>
      <c r="BG180" s="1664"/>
      <c r="BH180" s="1664"/>
      <c r="BI180" s="1664"/>
    </row>
    <row r="181" spans="4:18" s="1664" customFormat="1" ht="12.75">
      <c r="D181" s="1658"/>
      <c r="G181" s="1582"/>
      <c r="H181" s="1667"/>
      <c r="I181" s="1667"/>
      <c r="J181" s="1667"/>
      <c r="K181" s="1667"/>
      <c r="L181" s="1667"/>
      <c r="M181" s="1667"/>
      <c r="N181" s="1668"/>
      <c r="O181" s="1668"/>
      <c r="P181" s="1576"/>
      <c r="Q181" s="1576"/>
      <c r="R181" s="1576"/>
    </row>
    <row r="182" spans="4:18" s="1664" customFormat="1" ht="12.75">
      <c r="D182" s="1658"/>
      <c r="E182" s="1669"/>
      <c r="F182" s="1669"/>
      <c r="G182" s="1670"/>
      <c r="H182" s="1671"/>
      <c r="I182" s="1671"/>
      <c r="J182" s="1671"/>
      <c r="K182" s="1671"/>
      <c r="L182" s="1671"/>
      <c r="M182" s="1671"/>
      <c r="N182" s="1668"/>
      <c r="O182" s="1668"/>
      <c r="P182" s="1576"/>
      <c r="Q182" s="1576"/>
      <c r="R182" s="1576"/>
    </row>
    <row r="183" spans="4:18" s="1664" customFormat="1" ht="12.75">
      <c r="D183" s="1672"/>
      <c r="E183" s="1669"/>
      <c r="F183" s="1669"/>
      <c r="G183" s="1670"/>
      <c r="H183" s="1671"/>
      <c r="I183" s="1671"/>
      <c r="J183" s="1671"/>
      <c r="K183" s="1671"/>
      <c r="L183" s="1671"/>
      <c r="M183" s="1671"/>
      <c r="N183" s="1668"/>
      <c r="O183" s="1668"/>
      <c r="P183" s="1576"/>
      <c r="Q183" s="1576"/>
      <c r="R183" s="1576"/>
    </row>
    <row r="184" spans="4:18" s="1664" customFormat="1" ht="12.75">
      <c r="D184" s="1672"/>
      <c r="E184" s="1669"/>
      <c r="F184" s="1669"/>
      <c r="G184" s="1670"/>
      <c r="H184" s="1671"/>
      <c r="I184" s="1671"/>
      <c r="J184" s="1671"/>
      <c r="K184" s="1671"/>
      <c r="L184" s="1671"/>
      <c r="M184" s="1671"/>
      <c r="N184" s="1668"/>
      <c r="O184" s="1668"/>
      <c r="P184" s="1576"/>
      <c r="Q184" s="1576"/>
      <c r="R184" s="1576"/>
    </row>
    <row r="185" spans="4:27" s="1664" customFormat="1" ht="12.75">
      <c r="D185" s="1672"/>
      <c r="E185" s="1669"/>
      <c r="F185" s="1669"/>
      <c r="G185" s="1670"/>
      <c r="H185" s="1671"/>
      <c r="I185" s="1671"/>
      <c r="J185" s="1671"/>
      <c r="K185" s="1673"/>
      <c r="L185" s="1673"/>
      <c r="M185" s="1673"/>
      <c r="N185" s="1674"/>
      <c r="O185" s="1674"/>
      <c r="P185" s="1675"/>
      <c r="Q185" s="1675"/>
      <c r="R185" s="1675"/>
      <c r="S185" s="1669"/>
      <c r="T185" s="1669"/>
      <c r="U185" s="1669"/>
      <c r="V185" s="1669"/>
      <c r="W185" s="1669"/>
      <c r="X185" s="1669"/>
      <c r="Y185" s="1669"/>
      <c r="Z185" s="1669"/>
      <c r="AA185" s="1669"/>
    </row>
    <row r="186" spans="4:61" s="1664" customFormat="1" ht="12.75">
      <c r="D186" s="1672"/>
      <c r="E186" s="1669"/>
      <c r="F186" s="1669"/>
      <c r="G186" s="1670"/>
      <c r="H186" s="1671"/>
      <c r="I186" s="1671"/>
      <c r="J186" s="1671"/>
      <c r="K186" s="1671"/>
      <c r="L186" s="1671"/>
      <c r="M186" s="1671"/>
      <c r="N186" s="1674"/>
      <c r="O186" s="1674"/>
      <c r="P186" s="1675"/>
      <c r="Q186" s="1675"/>
      <c r="R186" s="1675"/>
      <c r="S186" s="1669"/>
      <c r="T186" s="1669"/>
      <c r="U186" s="1669"/>
      <c r="V186" s="1669"/>
      <c r="W186" s="1669"/>
      <c r="X186" s="1669"/>
      <c r="Y186" s="1669"/>
      <c r="Z186" s="1669"/>
      <c r="AA186" s="1669"/>
      <c r="AB186" s="1669"/>
      <c r="AC186" s="1669"/>
      <c r="AD186" s="1669"/>
      <c r="AE186" s="1669"/>
      <c r="AF186" s="1669"/>
      <c r="AG186" s="1669"/>
      <c r="AH186" s="1669"/>
      <c r="AI186" s="1669"/>
      <c r="AJ186" s="1669"/>
      <c r="AK186" s="1669"/>
      <c r="AL186" s="1669"/>
      <c r="AM186" s="1669"/>
      <c r="AN186" s="1669"/>
      <c r="AO186" s="1669"/>
      <c r="AP186" s="1669"/>
      <c r="AQ186" s="1669"/>
      <c r="AR186" s="1669"/>
      <c r="AS186" s="1669"/>
      <c r="AT186" s="1669"/>
      <c r="AU186" s="1669"/>
      <c r="AV186" s="1669"/>
      <c r="AW186" s="1669"/>
      <c r="AX186" s="1669"/>
      <c r="AY186" s="1669"/>
      <c r="AZ186" s="1669"/>
      <c r="BA186" s="1669"/>
      <c r="BB186" s="1669"/>
      <c r="BC186" s="1669"/>
      <c r="BD186" s="1669"/>
      <c r="BE186" s="1669"/>
      <c r="BF186" s="1669"/>
      <c r="BG186" s="1669"/>
      <c r="BH186" s="1669"/>
      <c r="BI186" s="1669"/>
    </row>
    <row r="187" spans="4:18" s="1669" customFormat="1" ht="12.75">
      <c r="D187" s="1672"/>
      <c r="G187" s="1670"/>
      <c r="H187" s="1671"/>
      <c r="I187" s="1671"/>
      <c r="J187" s="1671"/>
      <c r="K187" s="1671"/>
      <c r="L187" s="1671"/>
      <c r="M187" s="1671"/>
      <c r="N187" s="1674"/>
      <c r="O187" s="1674"/>
      <c r="P187" s="1675"/>
      <c r="Q187" s="1675"/>
      <c r="R187" s="1675"/>
    </row>
    <row r="188" spans="4:18" s="1669" customFormat="1" ht="12.75">
      <c r="D188" s="1672"/>
      <c r="G188" s="1670"/>
      <c r="H188" s="1671"/>
      <c r="I188" s="1671"/>
      <c r="J188" s="1671"/>
      <c r="K188" s="1671"/>
      <c r="L188" s="1671"/>
      <c r="M188" s="1671"/>
      <c r="N188" s="1674"/>
      <c r="O188" s="1674"/>
      <c r="P188" s="1675"/>
      <c r="Q188" s="1675"/>
      <c r="R188" s="1675"/>
    </row>
    <row r="189" spans="4:18" s="1669" customFormat="1" ht="12.75">
      <c r="D189" s="1672"/>
      <c r="G189" s="1670"/>
      <c r="H189" s="1671"/>
      <c r="I189" s="1671"/>
      <c r="J189" s="1671"/>
      <c r="K189" s="1671"/>
      <c r="L189" s="1671"/>
      <c r="M189" s="1671"/>
      <c r="N189" s="1674"/>
      <c r="O189" s="1674"/>
      <c r="P189" s="1675"/>
      <c r="Q189" s="1675"/>
      <c r="R189" s="1675"/>
    </row>
    <row r="190" spans="4:18" s="1669" customFormat="1" ht="12.75">
      <c r="D190" s="1672"/>
      <c r="G190" s="1670"/>
      <c r="H190" s="1671"/>
      <c r="I190" s="1671"/>
      <c r="J190" s="1671"/>
      <c r="K190" s="1671"/>
      <c r="L190" s="1671"/>
      <c r="M190" s="1671"/>
      <c r="N190" s="1674"/>
      <c r="O190" s="1674"/>
      <c r="P190" s="1675"/>
      <c r="Q190" s="1675"/>
      <c r="R190" s="1675"/>
    </row>
    <row r="191" spans="4:18" s="1669" customFormat="1" ht="12.75">
      <c r="D191" s="1672"/>
      <c r="E191" s="1478"/>
      <c r="F191" s="1478"/>
      <c r="G191" s="1479"/>
      <c r="H191" s="1480"/>
      <c r="I191" s="1480"/>
      <c r="J191" s="1480"/>
      <c r="K191" s="1480"/>
      <c r="L191" s="1480"/>
      <c r="M191" s="1480"/>
      <c r="N191" s="1674"/>
      <c r="O191" s="1674"/>
      <c r="P191" s="1675"/>
      <c r="Q191" s="1675"/>
      <c r="R191" s="1675"/>
    </row>
    <row r="192" spans="4:18" s="1669" customFormat="1" ht="12.75">
      <c r="D192" s="1477"/>
      <c r="E192" s="1478"/>
      <c r="F192" s="1478"/>
      <c r="G192" s="1479"/>
      <c r="H192" s="1480"/>
      <c r="I192" s="1480"/>
      <c r="J192" s="1480"/>
      <c r="K192" s="1480"/>
      <c r="L192" s="1480"/>
      <c r="M192" s="1480"/>
      <c r="N192" s="1674"/>
      <c r="O192" s="1674"/>
      <c r="P192" s="1675"/>
      <c r="Q192" s="1675"/>
      <c r="R192" s="1675"/>
    </row>
    <row r="193" spans="4:18" s="1669" customFormat="1" ht="12.75">
      <c r="D193" s="1477"/>
      <c r="E193" s="1478"/>
      <c r="F193" s="1478"/>
      <c r="G193" s="1479"/>
      <c r="H193" s="1480"/>
      <c r="I193" s="1480"/>
      <c r="J193" s="1480"/>
      <c r="K193" s="1480"/>
      <c r="L193" s="1480"/>
      <c r="M193" s="1480"/>
      <c r="N193" s="1674"/>
      <c r="O193" s="1674"/>
      <c r="P193" s="1675"/>
      <c r="Q193" s="1675"/>
      <c r="R193" s="1675"/>
    </row>
    <row r="194" spans="4:27" s="1669" customFormat="1" ht="12.75">
      <c r="D194" s="1477"/>
      <c r="E194" s="1478"/>
      <c r="F194" s="1478"/>
      <c r="G194" s="1479"/>
      <c r="H194" s="1480"/>
      <c r="I194" s="1480"/>
      <c r="J194" s="1480"/>
      <c r="K194" s="1480"/>
      <c r="L194" s="1480"/>
      <c r="M194" s="1480"/>
      <c r="N194" s="1574"/>
      <c r="O194" s="1574"/>
      <c r="P194" s="1480"/>
      <c r="Q194" s="1480"/>
      <c r="R194" s="1480"/>
      <c r="S194" s="1476"/>
      <c r="T194" s="1476"/>
      <c r="U194" s="1476"/>
      <c r="V194" s="1476"/>
      <c r="W194" s="1476"/>
      <c r="X194" s="1476"/>
      <c r="Y194" s="1476"/>
      <c r="Z194" s="1476"/>
      <c r="AA194" s="1476"/>
    </row>
    <row r="195" spans="4:61" s="1669" customFormat="1" ht="12.75">
      <c r="D195" s="1477"/>
      <c r="E195" s="1478"/>
      <c r="F195" s="1478"/>
      <c r="G195" s="1479"/>
      <c r="H195" s="1480"/>
      <c r="I195" s="1480"/>
      <c r="J195" s="1480"/>
      <c r="K195" s="1480"/>
      <c r="L195" s="1480"/>
      <c r="M195" s="1480"/>
      <c r="N195" s="1574"/>
      <c r="O195" s="1574"/>
      <c r="P195" s="1480"/>
      <c r="Q195" s="1480"/>
      <c r="R195" s="1480"/>
      <c r="S195" s="1476"/>
      <c r="T195" s="1476"/>
      <c r="U195" s="1476"/>
      <c r="V195" s="1476"/>
      <c r="W195" s="1476"/>
      <c r="X195" s="1476"/>
      <c r="Y195" s="1476"/>
      <c r="Z195" s="1476"/>
      <c r="AA195" s="1476"/>
      <c r="AB195" s="1476"/>
      <c r="AC195" s="1476"/>
      <c r="AD195" s="1476"/>
      <c r="AE195" s="1476"/>
      <c r="AF195" s="1476"/>
      <c r="AG195" s="1476"/>
      <c r="AH195" s="1476"/>
      <c r="AI195" s="1476"/>
      <c r="AJ195" s="1476"/>
      <c r="AK195" s="1476"/>
      <c r="AL195" s="1476"/>
      <c r="AM195" s="1476"/>
      <c r="AN195" s="1476"/>
      <c r="AO195" s="1476"/>
      <c r="AP195" s="1476"/>
      <c r="AQ195" s="1476"/>
      <c r="AR195" s="1476"/>
      <c r="AS195" s="1476"/>
      <c r="AT195" s="1476"/>
      <c r="AU195" s="1476"/>
      <c r="AV195" s="1476"/>
      <c r="AW195" s="1476"/>
      <c r="AX195" s="1476"/>
      <c r="AY195" s="1476"/>
      <c r="AZ195" s="1476"/>
      <c r="BA195" s="1476"/>
      <c r="BB195" s="1476"/>
      <c r="BC195" s="1476"/>
      <c r="BD195" s="1476"/>
      <c r="BE195" s="1476"/>
      <c r="BF195" s="1476"/>
      <c r="BG195" s="1476"/>
      <c r="BH195" s="1476"/>
      <c r="BI195" s="1476"/>
    </row>
    <row r="196" spans="14:15" ht="12.75">
      <c r="N196" s="1574"/>
      <c r="O196" s="1574"/>
    </row>
    <row r="197" spans="14:15" ht="12.75">
      <c r="N197" s="1574"/>
      <c r="O197" s="1574"/>
    </row>
    <row r="198" spans="14:15" ht="12.75">
      <c r="N198" s="1574"/>
      <c r="O198" s="1574"/>
    </row>
    <row r="199" spans="14:15" ht="12.75">
      <c r="N199" s="1574"/>
      <c r="O199" s="1574"/>
    </row>
    <row r="200" spans="14:15" ht="12.75">
      <c r="N200" s="1574"/>
      <c r="O200" s="1574"/>
    </row>
    <row r="201" spans="14:15" ht="12.75">
      <c r="N201" s="1574"/>
      <c r="O201" s="1574"/>
    </row>
    <row r="202" spans="14:15" ht="12.75">
      <c r="N202" s="1574"/>
      <c r="O202" s="1574"/>
    </row>
    <row r="203" spans="14:15" ht="12.75">
      <c r="N203" s="1574"/>
      <c r="O203" s="1574"/>
    </row>
    <row r="204" spans="14:15" ht="12.75">
      <c r="N204" s="1574"/>
      <c r="O204" s="1574"/>
    </row>
    <row r="205" spans="14:15" ht="12.75">
      <c r="N205" s="1574"/>
      <c r="O205" s="1574"/>
    </row>
    <row r="206" spans="14:15" ht="12.75">
      <c r="N206" s="1574"/>
      <c r="O206" s="1574"/>
    </row>
    <row r="207" spans="14:15" ht="12.75">
      <c r="N207" s="1574"/>
      <c r="O207" s="1574"/>
    </row>
    <row r="208" spans="14:15" ht="12.75">
      <c r="N208" s="1574"/>
      <c r="O208" s="1574"/>
    </row>
    <row r="209" spans="14:15" ht="12.75">
      <c r="N209" s="1574"/>
      <c r="O209" s="1574"/>
    </row>
    <row r="210" spans="14:15" ht="12.75">
      <c r="N210" s="1574"/>
      <c r="O210" s="1574"/>
    </row>
    <row r="211" spans="14:15" ht="12.75">
      <c r="N211" s="1574"/>
      <c r="O211" s="1574"/>
    </row>
    <row r="212" spans="14:15" ht="12.75">
      <c r="N212" s="1574"/>
      <c r="O212" s="1574"/>
    </row>
    <row r="213" spans="14:15" ht="12.75">
      <c r="N213" s="1574"/>
      <c r="O213" s="1574"/>
    </row>
    <row r="214" spans="14:15" ht="12.75">
      <c r="N214" s="1574"/>
      <c r="O214" s="1574"/>
    </row>
    <row r="215" spans="14:15" ht="12.75">
      <c r="N215" s="1574"/>
      <c r="O215" s="1574"/>
    </row>
    <row r="216" spans="14:15" ht="12.75">
      <c r="N216" s="1574"/>
      <c r="O216" s="1574"/>
    </row>
    <row r="217" spans="14:15" ht="12.75">
      <c r="N217" s="1574"/>
      <c r="O217" s="1574"/>
    </row>
    <row r="218" spans="14:15" ht="12.75">
      <c r="N218" s="1574"/>
      <c r="O218" s="1574"/>
    </row>
    <row r="219" spans="14:15" ht="12.75">
      <c r="N219" s="1574"/>
      <c r="O219" s="1574"/>
    </row>
    <row r="220" spans="14:15" ht="12.75">
      <c r="N220" s="1574"/>
      <c r="O220" s="1574"/>
    </row>
    <row r="221" spans="14:15" ht="12.75">
      <c r="N221" s="1574"/>
      <c r="O221" s="1574"/>
    </row>
  </sheetData>
  <mergeCells count="12">
    <mergeCell ref="F64:F66"/>
    <mergeCell ref="G64:G66"/>
    <mergeCell ref="H64:H66"/>
    <mergeCell ref="I64:I66"/>
    <mergeCell ref="A64:A66"/>
    <mergeCell ref="B64:B66"/>
    <mergeCell ref="C64:C66"/>
    <mergeCell ref="E64:E66"/>
    <mergeCell ref="K64:K66"/>
    <mergeCell ref="N64:N66"/>
    <mergeCell ref="G7:H7"/>
    <mergeCell ref="J7:L7"/>
  </mergeCells>
  <printOptions horizontalCentered="1"/>
  <pageMargins left="0.2" right="0.2" top="0.5" bottom="0.45" header="0.25" footer="0.46"/>
  <pageSetup horizontalDpi="600" verticalDpi="600" orientation="landscape" paperSize="9" r:id="rId3"/>
  <headerFooter alignWithMargins="0">
    <oddHeader>&amp;C&amp;"Times New Roman CE,Normalny" &amp;P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224"/>
  <sheetViews>
    <sheetView workbookViewId="0" topLeftCell="A205">
      <selection activeCell="A224" sqref="A224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5.75390625" style="1676" customWidth="1"/>
    <col min="4" max="4" width="35.625" style="806" customWidth="1"/>
    <col min="5" max="5" width="25.125" style="806" customWidth="1"/>
    <col min="6" max="6" width="11.375" style="806" customWidth="1"/>
    <col min="7" max="7" width="12.125" style="806" customWidth="1"/>
    <col min="8" max="8" width="12.625" style="737" customWidth="1"/>
    <col min="9" max="9" width="11.375" style="737" customWidth="1"/>
    <col min="10" max="10" width="12.125" style="737" customWidth="1"/>
    <col min="11" max="11" width="8.125" style="0" hidden="1" customWidth="1"/>
  </cols>
  <sheetData>
    <row r="1" ht="12.75">
      <c r="I1" s="68" t="s">
        <v>64</v>
      </c>
    </row>
    <row r="2" ht="12.75">
      <c r="I2" s="6" t="s">
        <v>183</v>
      </c>
    </row>
    <row r="3" ht="12.75">
      <c r="I3" s="4" t="s">
        <v>747</v>
      </c>
    </row>
    <row r="4" ht="15.75">
      <c r="J4" s="1677"/>
    </row>
    <row r="5" ht="16.5" customHeight="1">
      <c r="J5" s="1677"/>
    </row>
    <row r="6" spans="1:10" ht="20.25">
      <c r="A6" s="739" t="s">
        <v>68</v>
      </c>
      <c r="B6" s="1678"/>
      <c r="C6" s="1679"/>
      <c r="D6" s="1680"/>
      <c r="E6" s="1680"/>
      <c r="F6" s="1680"/>
      <c r="G6" s="1680"/>
      <c r="H6" s="1681"/>
      <c r="I6" s="1681"/>
      <c r="J6" s="1682"/>
    </row>
    <row r="7" spans="1:10" ht="20.25">
      <c r="A7" s="739" t="s">
        <v>69</v>
      </c>
      <c r="B7" s="1678"/>
      <c r="C7" s="1679"/>
      <c r="D7" s="1680"/>
      <c r="E7" s="1680"/>
      <c r="F7" s="1680"/>
      <c r="G7" s="1680"/>
      <c r="H7" s="1681"/>
      <c r="I7" s="1681"/>
      <c r="J7" s="1682"/>
    </row>
    <row r="8" spans="1:10" ht="13.5" thickBot="1">
      <c r="A8" s="223" t="s">
        <v>525</v>
      </c>
      <c r="I8" s="1683"/>
      <c r="J8" s="738" t="s">
        <v>121</v>
      </c>
    </row>
    <row r="9" spans="1:11" ht="27.75" customHeight="1" thickTop="1">
      <c r="A9" s="1684" t="s">
        <v>122</v>
      </c>
      <c r="B9" s="1685" t="s">
        <v>779</v>
      </c>
      <c r="C9" s="1685" t="s">
        <v>412</v>
      </c>
      <c r="D9" s="1686" t="s">
        <v>70</v>
      </c>
      <c r="E9" s="1687" t="s">
        <v>781</v>
      </c>
      <c r="F9" s="2559" t="s">
        <v>782</v>
      </c>
      <c r="G9" s="2560"/>
      <c r="H9" s="1688" t="s">
        <v>783</v>
      </c>
      <c r="I9" s="2559" t="s">
        <v>71</v>
      </c>
      <c r="J9" s="2561"/>
      <c r="K9" s="1689" t="s">
        <v>72</v>
      </c>
    </row>
    <row r="10" spans="1:11" ht="31.5" customHeight="1">
      <c r="A10" s="1690"/>
      <c r="B10" s="1691"/>
      <c r="C10" s="1691"/>
      <c r="D10" s="1692"/>
      <c r="E10" s="1693" t="s">
        <v>785</v>
      </c>
      <c r="F10" s="1694" t="s">
        <v>786</v>
      </c>
      <c r="G10" s="1694" t="s">
        <v>787</v>
      </c>
      <c r="H10" s="1695" t="s">
        <v>73</v>
      </c>
      <c r="I10" s="1696" t="s">
        <v>74</v>
      </c>
      <c r="J10" s="1697" t="s">
        <v>75</v>
      </c>
      <c r="K10" s="1698" t="s">
        <v>76</v>
      </c>
    </row>
    <row r="11" spans="1:11" s="1703" customFormat="1" ht="12" thickBot="1">
      <c r="A11" s="747">
        <v>1</v>
      </c>
      <c r="B11" s="1471">
        <v>2</v>
      </c>
      <c r="C11" s="1699">
        <v>3</v>
      </c>
      <c r="D11" s="1700">
        <v>4</v>
      </c>
      <c r="E11" s="1471">
        <v>5</v>
      </c>
      <c r="F11" s="1471">
        <v>6</v>
      </c>
      <c r="G11" s="1471">
        <v>7</v>
      </c>
      <c r="H11" s="1471">
        <v>8</v>
      </c>
      <c r="I11" s="1471">
        <v>9</v>
      </c>
      <c r="J11" s="1701">
        <v>10</v>
      </c>
      <c r="K11" s="1702">
        <v>11</v>
      </c>
    </row>
    <row r="12" spans="1:11" s="1710" customFormat="1" ht="63" customHeight="1" thickBot="1" thickTop="1">
      <c r="A12" s="843">
        <v>600</v>
      </c>
      <c r="B12" s="1038">
        <v>60015</v>
      </c>
      <c r="C12" s="1704"/>
      <c r="D12" s="1085" t="s">
        <v>43</v>
      </c>
      <c r="E12" s="2214" t="s">
        <v>77</v>
      </c>
      <c r="F12" s="1706">
        <v>2007</v>
      </c>
      <c r="G12" s="1706">
        <v>2010</v>
      </c>
      <c r="H12" s="1707">
        <f>H13</f>
        <v>0</v>
      </c>
      <c r="I12" s="1707">
        <f>I13</f>
        <v>0</v>
      </c>
      <c r="J12" s="1708">
        <f>J13</f>
        <v>0</v>
      </c>
      <c r="K12" s="1709"/>
    </row>
    <row r="13" spans="1:11" s="1718" customFormat="1" ht="31.5" thickBot="1" thickTop="1">
      <c r="A13" s="1711"/>
      <c r="B13" s="2364"/>
      <c r="C13" s="1712">
        <v>6050</v>
      </c>
      <c r="D13" s="1713" t="s">
        <v>618</v>
      </c>
      <c r="E13" s="1714"/>
      <c r="F13" s="1714"/>
      <c r="G13" s="1714"/>
      <c r="H13" s="1715">
        <f>I13+J13</f>
        <v>0</v>
      </c>
      <c r="I13" s="1715">
        <f>10000000-10000000</f>
        <v>0</v>
      </c>
      <c r="J13" s="1716"/>
      <c r="K13" s="1717"/>
    </row>
    <row r="14" spans="1:11" s="1710" customFormat="1" ht="58.5" thickBot="1" thickTop="1">
      <c r="A14" s="1344">
        <v>750</v>
      </c>
      <c r="B14" s="2158">
        <v>75075</v>
      </c>
      <c r="C14" s="1704"/>
      <c r="D14" s="1824" t="s">
        <v>719</v>
      </c>
      <c r="E14" s="1038"/>
      <c r="F14" s="1038"/>
      <c r="G14" s="1038"/>
      <c r="H14" s="1707">
        <f>I14+J14</f>
        <v>74643</v>
      </c>
      <c r="I14" s="1707">
        <f>SUM(I15:I24)</f>
        <v>12601</v>
      </c>
      <c r="J14" s="1708">
        <f>SUM(J15:J24)</f>
        <v>62042</v>
      </c>
      <c r="K14" s="2365"/>
    </row>
    <row r="15" spans="1:11" s="1718" customFormat="1" ht="15.75" thickTop="1">
      <c r="A15" s="1723"/>
      <c r="B15" s="1474"/>
      <c r="C15" s="1712">
        <v>4110</v>
      </c>
      <c r="D15" s="2237" t="s">
        <v>80</v>
      </c>
      <c r="E15" s="1714"/>
      <c r="F15" s="1714"/>
      <c r="G15" s="1714"/>
      <c r="H15" s="1715">
        <f>I15+J15</f>
        <v>1431</v>
      </c>
      <c r="I15" s="1715">
        <v>1431</v>
      </c>
      <c r="J15" s="1716"/>
      <c r="K15" s="2366"/>
    </row>
    <row r="16" spans="1:11" s="1718" customFormat="1" ht="15">
      <c r="A16" s="1723"/>
      <c r="B16" s="1474"/>
      <c r="C16" s="1712">
        <v>4120</v>
      </c>
      <c r="D16" s="2237" t="s">
        <v>81</v>
      </c>
      <c r="E16" s="1714"/>
      <c r="F16" s="1714"/>
      <c r="G16" s="1714"/>
      <c r="H16" s="1715">
        <f aca="true" t="shared" si="0" ref="H16:H60">I16+J16</f>
        <v>221</v>
      </c>
      <c r="I16" s="1715">
        <v>221</v>
      </c>
      <c r="J16" s="1716"/>
      <c r="K16" s="2366"/>
    </row>
    <row r="17" spans="1:11" s="1718" customFormat="1" ht="15">
      <c r="A17" s="1723"/>
      <c r="B17" s="1474"/>
      <c r="C17" s="1712">
        <v>4178</v>
      </c>
      <c r="D17" s="2367" t="s">
        <v>609</v>
      </c>
      <c r="E17" s="1714"/>
      <c r="F17" s="1714"/>
      <c r="G17" s="1714"/>
      <c r="H17" s="1715">
        <f t="shared" si="0"/>
        <v>7650</v>
      </c>
      <c r="I17" s="1715"/>
      <c r="J17" s="1716">
        <v>7650</v>
      </c>
      <c r="K17" s="2366"/>
    </row>
    <row r="18" spans="1:11" s="1718" customFormat="1" ht="15">
      <c r="A18" s="1723"/>
      <c r="B18" s="1474"/>
      <c r="C18" s="1712">
        <v>4179</v>
      </c>
      <c r="D18" s="2367" t="s">
        <v>609</v>
      </c>
      <c r="E18" s="1714"/>
      <c r="F18" s="1714"/>
      <c r="G18" s="1827"/>
      <c r="H18" s="1715">
        <f t="shared" si="0"/>
        <v>1350</v>
      </c>
      <c r="I18" s="1715">
        <v>1350</v>
      </c>
      <c r="J18" s="1716"/>
      <c r="K18" s="2366"/>
    </row>
    <row r="19" spans="1:11" s="1718" customFormat="1" ht="15">
      <c r="A19" s="1723"/>
      <c r="B19" s="1474"/>
      <c r="C19" s="1712">
        <v>4218</v>
      </c>
      <c r="D19" s="2367" t="s">
        <v>605</v>
      </c>
      <c r="E19" s="1714"/>
      <c r="F19" s="1714"/>
      <c r="G19" s="1714"/>
      <c r="H19" s="1715">
        <f t="shared" si="0"/>
        <v>459</v>
      </c>
      <c r="I19" s="1715"/>
      <c r="J19" s="1716">
        <v>459</v>
      </c>
      <c r="K19" s="2366"/>
    </row>
    <row r="20" spans="1:11" s="1718" customFormat="1" ht="15">
      <c r="A20" s="1723"/>
      <c r="B20" s="1474"/>
      <c r="C20" s="1712">
        <v>4219</v>
      </c>
      <c r="D20" s="2367" t="s">
        <v>605</v>
      </c>
      <c r="E20" s="1714"/>
      <c r="F20" s="1714"/>
      <c r="G20" s="1714"/>
      <c r="H20" s="1715">
        <f t="shared" si="0"/>
        <v>81</v>
      </c>
      <c r="I20" s="1715">
        <v>81</v>
      </c>
      <c r="J20" s="1716"/>
      <c r="K20" s="2366"/>
    </row>
    <row r="21" spans="1:11" s="1718" customFormat="1" ht="15">
      <c r="A21" s="1723"/>
      <c r="B21" s="1474"/>
      <c r="C21" s="1712">
        <v>4308</v>
      </c>
      <c r="D21" s="2367" t="s">
        <v>606</v>
      </c>
      <c r="E21" s="1714"/>
      <c r="F21" s="1714"/>
      <c r="G21" s="1714"/>
      <c r="H21" s="1715">
        <f t="shared" si="0"/>
        <v>46283</v>
      </c>
      <c r="I21" s="1715"/>
      <c r="J21" s="1716">
        <v>46283</v>
      </c>
      <c r="K21" s="2366"/>
    </row>
    <row r="22" spans="1:11" s="1718" customFormat="1" ht="15">
      <c r="A22" s="1723"/>
      <c r="B22" s="1474"/>
      <c r="C22" s="1712">
        <v>4309</v>
      </c>
      <c r="D22" s="2367" t="s">
        <v>606</v>
      </c>
      <c r="E22" s="1714"/>
      <c r="F22" s="1714"/>
      <c r="G22" s="1714"/>
      <c r="H22" s="1715">
        <f t="shared" si="0"/>
        <v>8168</v>
      </c>
      <c r="I22" s="1715">
        <v>8168</v>
      </c>
      <c r="J22" s="1716"/>
      <c r="K22" s="2366"/>
    </row>
    <row r="23" spans="1:11" s="1718" customFormat="1" ht="15">
      <c r="A23" s="1723"/>
      <c r="B23" s="1474"/>
      <c r="C23" s="1712">
        <v>4388</v>
      </c>
      <c r="D23" s="1713" t="s">
        <v>115</v>
      </c>
      <c r="E23" s="1714"/>
      <c r="F23" s="1714"/>
      <c r="G23" s="1714"/>
      <c r="H23" s="1715">
        <f t="shared" si="0"/>
        <v>7650</v>
      </c>
      <c r="I23" s="1715"/>
      <c r="J23" s="1716">
        <v>7650</v>
      </c>
      <c r="K23" s="2366"/>
    </row>
    <row r="24" spans="1:11" s="1718" customFormat="1" ht="15.75" thickBot="1">
      <c r="A24" s="1723"/>
      <c r="B24" s="1474"/>
      <c r="C24" s="1712">
        <v>4389</v>
      </c>
      <c r="D24" s="1713" t="s">
        <v>115</v>
      </c>
      <c r="E24" s="1714"/>
      <c r="F24" s="1714"/>
      <c r="G24" s="1714"/>
      <c r="H24" s="1715">
        <f t="shared" si="0"/>
        <v>1350</v>
      </c>
      <c r="I24" s="1715">
        <v>1350</v>
      </c>
      <c r="J24" s="1716"/>
      <c r="K24" s="2366"/>
    </row>
    <row r="25" spans="1:11" s="2369" customFormat="1" ht="57.75" customHeight="1" thickBot="1" thickTop="1">
      <c r="A25" s="843">
        <v>801</v>
      </c>
      <c r="B25" s="1038">
        <v>80195</v>
      </c>
      <c r="C25" s="1704"/>
      <c r="D25" s="1719" t="s">
        <v>78</v>
      </c>
      <c r="E25" s="1704" t="s">
        <v>79</v>
      </c>
      <c r="F25" s="1706">
        <v>2007</v>
      </c>
      <c r="G25" s="1706">
        <v>2009</v>
      </c>
      <c r="H25" s="1720">
        <f t="shared" si="0"/>
        <v>131400</v>
      </c>
      <c r="I25" s="1720"/>
      <c r="J25" s="1708">
        <f>SUM(J26:J31)</f>
        <v>131400</v>
      </c>
      <c r="K25" s="2368">
        <f>J25/H25*100</f>
        <v>100</v>
      </c>
    </row>
    <row r="26" spans="1:11" s="2372" customFormat="1" ht="13.5" thickTop="1">
      <c r="A26" s="1457"/>
      <c r="B26" s="1732"/>
      <c r="C26" s="2236">
        <v>4117</v>
      </c>
      <c r="D26" s="2237" t="s">
        <v>80</v>
      </c>
      <c r="E26" s="2309"/>
      <c r="F26" s="2310"/>
      <c r="G26" s="2310"/>
      <c r="H26" s="2311">
        <f t="shared" si="0"/>
        <v>470</v>
      </c>
      <c r="I26" s="2370"/>
      <c r="J26" s="2312">
        <f>10+460</f>
        <v>470</v>
      </c>
      <c r="K26" s="2371"/>
    </row>
    <row r="27" spans="1:11" s="2372" customFormat="1" ht="12.75">
      <c r="A27" s="1457"/>
      <c r="B27" s="1732"/>
      <c r="C27" s="2236">
        <v>4127</v>
      </c>
      <c r="D27" s="2237" t="s">
        <v>81</v>
      </c>
      <c r="E27" s="2309"/>
      <c r="F27" s="2310"/>
      <c r="G27" s="2310"/>
      <c r="H27" s="2311">
        <f t="shared" si="0"/>
        <v>80</v>
      </c>
      <c r="I27" s="2370"/>
      <c r="J27" s="2312">
        <f>10+70</f>
        <v>80</v>
      </c>
      <c r="K27" s="2371"/>
    </row>
    <row r="28" spans="1:11" s="2372" customFormat="1" ht="12.75">
      <c r="A28" s="1457"/>
      <c r="B28" s="1732"/>
      <c r="C28" s="2236">
        <v>4177</v>
      </c>
      <c r="D28" s="2367" t="s">
        <v>609</v>
      </c>
      <c r="E28" s="2309"/>
      <c r="F28" s="2310"/>
      <c r="G28" s="2310"/>
      <c r="H28" s="2311">
        <f t="shared" si="0"/>
        <v>3080</v>
      </c>
      <c r="I28" s="2370"/>
      <c r="J28" s="2312">
        <f>230+2850</f>
        <v>3080</v>
      </c>
      <c r="K28" s="2371"/>
    </row>
    <row r="29" spans="1:11" s="2372" customFormat="1" ht="12.75">
      <c r="A29" s="1457"/>
      <c r="B29" s="1732"/>
      <c r="C29" s="2236">
        <v>4217</v>
      </c>
      <c r="D29" s="2367" t="s">
        <v>605</v>
      </c>
      <c r="E29" s="2309"/>
      <c r="F29" s="2310"/>
      <c r="G29" s="2310"/>
      <c r="H29" s="2311">
        <f t="shared" si="0"/>
        <v>8800</v>
      </c>
      <c r="I29" s="2370"/>
      <c r="J29" s="2312">
        <v>8800</v>
      </c>
      <c r="K29" s="2371"/>
    </row>
    <row r="30" spans="1:11" s="2372" customFormat="1" ht="12.75">
      <c r="A30" s="1457"/>
      <c r="B30" s="1732"/>
      <c r="C30" s="2236">
        <v>4307</v>
      </c>
      <c r="D30" s="2367" t="s">
        <v>606</v>
      </c>
      <c r="E30" s="2309"/>
      <c r="F30" s="2310"/>
      <c r="G30" s="2310"/>
      <c r="H30" s="2311">
        <f t="shared" si="0"/>
        <v>114770</v>
      </c>
      <c r="I30" s="2370"/>
      <c r="J30" s="2312">
        <f>118150-3380</f>
        <v>114770</v>
      </c>
      <c r="K30" s="2371"/>
    </row>
    <row r="31" spans="1:11" s="2372" customFormat="1" ht="13.5" thickBot="1">
      <c r="A31" s="1457"/>
      <c r="B31" s="1732"/>
      <c r="C31" s="2236">
        <v>4427</v>
      </c>
      <c r="D31" s="2237" t="s">
        <v>82</v>
      </c>
      <c r="E31" s="2309"/>
      <c r="F31" s="2310"/>
      <c r="G31" s="2310"/>
      <c r="H31" s="2311">
        <f t="shared" si="0"/>
        <v>4200</v>
      </c>
      <c r="I31" s="2370"/>
      <c r="J31" s="2312">
        <v>4200</v>
      </c>
      <c r="K31" s="2371"/>
    </row>
    <row r="32" spans="1:11" s="2369" customFormat="1" ht="30" thickBot="1" thickTop="1">
      <c r="A32" s="843">
        <v>801</v>
      </c>
      <c r="B32" s="1038">
        <v>80195</v>
      </c>
      <c r="C32" s="1704"/>
      <c r="D32" s="1824" t="s">
        <v>660</v>
      </c>
      <c r="E32" s="1704" t="s">
        <v>79</v>
      </c>
      <c r="F32" s="1038">
        <v>2007</v>
      </c>
      <c r="G32" s="1038">
        <v>2009</v>
      </c>
      <c r="H32" s="1707">
        <f t="shared" si="0"/>
        <v>176880</v>
      </c>
      <c r="I32" s="2440"/>
      <c r="J32" s="1708">
        <f>SUM(J33:J43)</f>
        <v>176880</v>
      </c>
      <c r="K32" s="2373"/>
    </row>
    <row r="33" spans="1:11" s="1722" customFormat="1" ht="15.75" thickTop="1">
      <c r="A33" s="2229"/>
      <c r="B33" s="2230"/>
      <c r="C33" s="1939">
        <v>4017</v>
      </c>
      <c r="D33" s="2231" t="s">
        <v>588</v>
      </c>
      <c r="E33" s="2232"/>
      <c r="F33" s="2233"/>
      <c r="G33" s="2233"/>
      <c r="H33" s="2374">
        <f t="shared" si="0"/>
        <v>1100</v>
      </c>
      <c r="I33" s="2234"/>
      <c r="J33" s="2235">
        <v>1100</v>
      </c>
      <c r="K33" s="1721"/>
    </row>
    <row r="34" spans="1:11" s="1722" customFormat="1" ht="15">
      <c r="A34" s="987"/>
      <c r="B34" s="1737"/>
      <c r="C34" s="2236">
        <v>4117</v>
      </c>
      <c r="D34" s="2237" t="s">
        <v>80</v>
      </c>
      <c r="E34" s="2238"/>
      <c r="F34" s="2239"/>
      <c r="G34" s="2239"/>
      <c r="H34" s="1715">
        <f t="shared" si="0"/>
        <v>167</v>
      </c>
      <c r="I34" s="2240"/>
      <c r="J34" s="2171">
        <v>167</v>
      </c>
      <c r="K34" s="1721"/>
    </row>
    <row r="35" spans="1:11" s="1722" customFormat="1" ht="15">
      <c r="A35" s="987"/>
      <c r="B35" s="1737"/>
      <c r="C35" s="2236">
        <v>4127</v>
      </c>
      <c r="D35" s="2237" t="s">
        <v>81</v>
      </c>
      <c r="E35" s="2238"/>
      <c r="F35" s="2239"/>
      <c r="G35" s="2239"/>
      <c r="H35" s="2313">
        <f t="shared" si="0"/>
        <v>27</v>
      </c>
      <c r="I35" s="2240"/>
      <c r="J35" s="2171">
        <v>27</v>
      </c>
      <c r="K35" s="1721"/>
    </row>
    <row r="36" spans="1:11" s="1725" customFormat="1" ht="15">
      <c r="A36" s="1723"/>
      <c r="B36" s="1474"/>
      <c r="C36" s="1712">
        <v>4217</v>
      </c>
      <c r="D36" s="2157" t="s">
        <v>605</v>
      </c>
      <c r="E36" s="1826"/>
      <c r="F36" s="1714"/>
      <c r="G36" s="1714"/>
      <c r="H36" s="1715">
        <f t="shared" si="0"/>
        <v>29721</v>
      </c>
      <c r="I36" s="1827"/>
      <c r="J36" s="1716">
        <f>29246+2207-1732</f>
        <v>29721</v>
      </c>
      <c r="K36" s="1724"/>
    </row>
    <row r="37" spans="1:11" s="1725" customFormat="1" ht="25.5">
      <c r="A37" s="1723"/>
      <c r="B37" s="1474"/>
      <c r="C37" s="1712">
        <v>4247</v>
      </c>
      <c r="D37" s="2156" t="s">
        <v>610</v>
      </c>
      <c r="E37" s="1826"/>
      <c r="F37" s="1714"/>
      <c r="G37" s="1714"/>
      <c r="H37" s="1715">
        <f t="shared" si="0"/>
        <v>7000</v>
      </c>
      <c r="I37" s="1827"/>
      <c r="J37" s="1716">
        <v>7000</v>
      </c>
      <c r="K37" s="1724"/>
    </row>
    <row r="38" spans="1:11" s="1725" customFormat="1" ht="15">
      <c r="A38" s="1723"/>
      <c r="B38" s="1474"/>
      <c r="C38" s="1712">
        <v>4307</v>
      </c>
      <c r="D38" s="2156" t="s">
        <v>606</v>
      </c>
      <c r="E38" s="1826"/>
      <c r="F38" s="1714"/>
      <c r="G38" s="1714"/>
      <c r="H38" s="1715">
        <f t="shared" si="0"/>
        <v>47614</v>
      </c>
      <c r="I38" s="1827"/>
      <c r="J38" s="1716">
        <f>39524+10000-1910</f>
        <v>47614</v>
      </c>
      <c r="K38" s="1724"/>
    </row>
    <row r="39" spans="1:11" s="1725" customFormat="1" ht="15">
      <c r="A39" s="1723"/>
      <c r="B39" s="1474"/>
      <c r="C39" s="1712">
        <v>4417</v>
      </c>
      <c r="D39" s="2157" t="s">
        <v>613</v>
      </c>
      <c r="E39" s="1826"/>
      <c r="F39" s="1714"/>
      <c r="G39" s="1714"/>
      <c r="H39" s="1715">
        <f t="shared" si="0"/>
        <v>6178</v>
      </c>
      <c r="I39" s="1827"/>
      <c r="J39" s="1716">
        <f>6500-471+149</f>
        <v>6178</v>
      </c>
      <c r="K39" s="1724"/>
    </row>
    <row r="40" spans="1:11" s="1725" customFormat="1" ht="15">
      <c r="A40" s="1723"/>
      <c r="B40" s="1474"/>
      <c r="C40" s="1712">
        <v>4427</v>
      </c>
      <c r="D40" s="2157" t="s">
        <v>82</v>
      </c>
      <c r="E40" s="1826"/>
      <c r="F40" s="1714"/>
      <c r="G40" s="1714"/>
      <c r="H40" s="1715">
        <f t="shared" si="0"/>
        <v>75310</v>
      </c>
      <c r="I40" s="1827"/>
      <c r="J40" s="1716">
        <f>83940-11753+3123</f>
        <v>75310</v>
      </c>
      <c r="K40" s="1724"/>
    </row>
    <row r="41" spans="1:11" s="1725" customFormat="1" ht="15">
      <c r="A41" s="1723"/>
      <c r="B41" s="1474"/>
      <c r="C41" s="1712">
        <v>4437</v>
      </c>
      <c r="D41" s="2156" t="s">
        <v>614</v>
      </c>
      <c r="E41" s="1826"/>
      <c r="F41" s="1714"/>
      <c r="G41" s="1714"/>
      <c r="H41" s="1715">
        <f t="shared" si="0"/>
        <v>6079</v>
      </c>
      <c r="I41" s="1827"/>
      <c r="J41" s="1716">
        <f>7370+17-1308</f>
        <v>6079</v>
      </c>
      <c r="K41" s="1724"/>
    </row>
    <row r="42" spans="1:11" s="1725" customFormat="1" ht="25.5">
      <c r="A42" s="1723"/>
      <c r="B42" s="1474"/>
      <c r="C42" s="1712">
        <v>4747</v>
      </c>
      <c r="D42" s="2156" t="s">
        <v>661</v>
      </c>
      <c r="E42" s="1826"/>
      <c r="F42" s="1714"/>
      <c r="G42" s="1714"/>
      <c r="H42" s="1715">
        <f t="shared" si="0"/>
        <v>2500</v>
      </c>
      <c r="I42" s="1827"/>
      <c r="J42" s="1716">
        <v>2500</v>
      </c>
      <c r="K42" s="1724"/>
    </row>
    <row r="43" spans="1:11" s="1725" customFormat="1" ht="26.25" thickBot="1">
      <c r="A43" s="1723"/>
      <c r="B43" s="1474"/>
      <c r="C43" s="1712">
        <v>4757</v>
      </c>
      <c r="D43" s="2156" t="s">
        <v>662</v>
      </c>
      <c r="E43" s="1826"/>
      <c r="F43" s="1714"/>
      <c r="G43" s="1714"/>
      <c r="H43" s="1715">
        <f t="shared" si="0"/>
        <v>1184</v>
      </c>
      <c r="I43" s="1827"/>
      <c r="J43" s="1716">
        <f>800+384</f>
        <v>1184</v>
      </c>
      <c r="K43" s="1724"/>
    </row>
    <row r="44" spans="1:11" s="2383" customFormat="1" ht="48.75" thickBot="1" thickTop="1">
      <c r="A44" s="2375">
        <v>801</v>
      </c>
      <c r="B44" s="2376">
        <v>80195</v>
      </c>
      <c r="C44" s="1475"/>
      <c r="D44" s="2377" t="s">
        <v>720</v>
      </c>
      <c r="E44" s="2378" t="s">
        <v>570</v>
      </c>
      <c r="F44" s="1735">
        <v>2007</v>
      </c>
      <c r="G44" s="1735">
        <v>2013</v>
      </c>
      <c r="H44" s="2379">
        <f t="shared" si="0"/>
        <v>358833</v>
      </c>
      <c r="I44" s="2380">
        <f>SUM(I45:I61)</f>
        <v>54654</v>
      </c>
      <c r="J44" s="2381">
        <f>SUM(J46:J61)</f>
        <v>304179</v>
      </c>
      <c r="K44" s="2382"/>
    </row>
    <row r="45" spans="1:15" s="2383" customFormat="1" ht="16.5" thickTop="1">
      <c r="A45" s="1789"/>
      <c r="B45" s="1472"/>
      <c r="C45" s="2236">
        <v>4118</v>
      </c>
      <c r="D45" s="2237" t="s">
        <v>80</v>
      </c>
      <c r="E45" s="2441"/>
      <c r="F45" s="2442"/>
      <c r="G45" s="2442"/>
      <c r="H45" s="2311">
        <f t="shared" si="0"/>
        <v>5523</v>
      </c>
      <c r="I45" s="2443"/>
      <c r="J45" s="2444">
        <v>5523</v>
      </c>
      <c r="K45" s="2382"/>
      <c r="M45" s="2445"/>
      <c r="N45" s="2446"/>
      <c r="O45" s="2447"/>
    </row>
    <row r="46" spans="1:15" s="1725" customFormat="1" ht="15">
      <c r="A46" s="1723"/>
      <c r="B46" s="1474"/>
      <c r="C46" s="2236">
        <v>4119</v>
      </c>
      <c r="D46" s="2237" t="s">
        <v>80</v>
      </c>
      <c r="E46" s="1826"/>
      <c r="F46" s="1714"/>
      <c r="G46" s="1714"/>
      <c r="H46" s="1715">
        <f t="shared" si="0"/>
        <v>2122</v>
      </c>
      <c r="I46" s="2384">
        <v>1147</v>
      </c>
      <c r="J46" s="1716">
        <v>975</v>
      </c>
      <c r="K46" s="1724"/>
      <c r="M46" s="2448"/>
      <c r="N46" s="2448"/>
      <c r="O46" s="2405"/>
    </row>
    <row r="47" spans="1:15" s="1725" customFormat="1" ht="15">
      <c r="A47" s="1723"/>
      <c r="B47" s="1474"/>
      <c r="C47" s="2236">
        <v>4128</v>
      </c>
      <c r="D47" s="2237" t="s">
        <v>81</v>
      </c>
      <c r="E47" s="1826"/>
      <c r="F47" s="1714"/>
      <c r="G47" s="1714"/>
      <c r="H47" s="1715">
        <f t="shared" si="0"/>
        <v>891</v>
      </c>
      <c r="I47" s="2384"/>
      <c r="J47" s="1716">
        <v>891</v>
      </c>
      <c r="K47" s="1724"/>
      <c r="M47" s="2448"/>
      <c r="N47" s="2448"/>
      <c r="O47" s="2405"/>
    </row>
    <row r="48" spans="1:15" s="1725" customFormat="1" ht="15">
      <c r="A48" s="1723"/>
      <c r="B48" s="1474"/>
      <c r="C48" s="2236">
        <v>4129</v>
      </c>
      <c r="D48" s="2237" t="s">
        <v>81</v>
      </c>
      <c r="E48" s="1826"/>
      <c r="F48" s="1714"/>
      <c r="G48" s="1714"/>
      <c r="H48" s="1715">
        <f t="shared" si="0"/>
        <v>343</v>
      </c>
      <c r="I48" s="2384">
        <v>185</v>
      </c>
      <c r="J48" s="1716">
        <v>158</v>
      </c>
      <c r="K48" s="1724"/>
      <c r="M48" s="2448"/>
      <c r="N48" s="2448"/>
      <c r="O48" s="2405"/>
    </row>
    <row r="49" spans="1:15" s="1725" customFormat="1" ht="15">
      <c r="A49" s="1723"/>
      <c r="B49" s="1474"/>
      <c r="C49" s="2250" t="s">
        <v>90</v>
      </c>
      <c r="D49" s="2251" t="s">
        <v>609</v>
      </c>
      <c r="E49" s="1826"/>
      <c r="F49" s="1714"/>
      <c r="G49" s="1714"/>
      <c r="H49" s="1715">
        <f t="shared" si="0"/>
        <v>36359</v>
      </c>
      <c r="I49" s="2384"/>
      <c r="J49" s="1716">
        <v>36359</v>
      </c>
      <c r="K49" s="1724"/>
      <c r="M49" s="2448"/>
      <c r="N49" s="2448"/>
      <c r="O49" s="2405"/>
    </row>
    <row r="50" spans="1:15" s="1725" customFormat="1" ht="15">
      <c r="A50" s="1723"/>
      <c r="B50" s="1474"/>
      <c r="C50" s="2250" t="s">
        <v>91</v>
      </c>
      <c r="D50" s="2251" t="s">
        <v>609</v>
      </c>
      <c r="E50" s="1826"/>
      <c r="F50" s="1714"/>
      <c r="G50" s="1714"/>
      <c r="H50" s="1715">
        <f t="shared" si="0"/>
        <v>13965</v>
      </c>
      <c r="I50" s="2384">
        <v>7549</v>
      </c>
      <c r="J50" s="1716">
        <v>6416</v>
      </c>
      <c r="K50" s="1724"/>
      <c r="M50" s="2448"/>
      <c r="N50" s="2448"/>
      <c r="O50" s="2405"/>
    </row>
    <row r="51" spans="1:15" s="1725" customFormat="1" ht="15">
      <c r="A51" s="1723"/>
      <c r="B51" s="1474"/>
      <c r="C51" s="2250" t="s">
        <v>92</v>
      </c>
      <c r="D51" s="2251" t="s">
        <v>605</v>
      </c>
      <c r="E51" s="1826"/>
      <c r="F51" s="1714"/>
      <c r="G51" s="1714"/>
      <c r="H51" s="1715">
        <f t="shared" si="0"/>
        <v>2096</v>
      </c>
      <c r="I51" s="2384"/>
      <c r="J51" s="1716">
        <v>2096</v>
      </c>
      <c r="K51" s="1724"/>
      <c r="M51" s="2448"/>
      <c r="N51" s="2448"/>
      <c r="O51" s="2405"/>
    </row>
    <row r="52" spans="1:15" s="1725" customFormat="1" ht="15">
      <c r="A52" s="1723"/>
      <c r="B52" s="1474"/>
      <c r="C52" s="2250" t="s">
        <v>93</v>
      </c>
      <c r="D52" s="2251" t="s">
        <v>605</v>
      </c>
      <c r="E52" s="1826"/>
      <c r="F52" s="1714"/>
      <c r="G52" s="1714"/>
      <c r="H52" s="1715">
        <f t="shared" si="0"/>
        <v>805</v>
      </c>
      <c r="I52" s="2384">
        <v>435</v>
      </c>
      <c r="J52" s="1716">
        <v>370</v>
      </c>
      <c r="K52" s="1724"/>
      <c r="M52" s="2448"/>
      <c r="N52" s="2448"/>
      <c r="O52" s="2405"/>
    </row>
    <row r="53" spans="1:15" s="1725" customFormat="1" ht="15">
      <c r="A53" s="1723"/>
      <c r="B53" s="1474"/>
      <c r="C53" s="2250" t="s">
        <v>94</v>
      </c>
      <c r="D53" s="2251" t="s">
        <v>606</v>
      </c>
      <c r="E53" s="1826"/>
      <c r="F53" s="1714"/>
      <c r="G53" s="1714"/>
      <c r="H53" s="1715">
        <f t="shared" si="0"/>
        <v>15715</v>
      </c>
      <c r="I53" s="2384"/>
      <c r="J53" s="1716">
        <v>15715</v>
      </c>
      <c r="K53" s="1724"/>
      <c r="M53" s="2448"/>
      <c r="N53" s="2448"/>
      <c r="O53" s="2405"/>
    </row>
    <row r="54" spans="1:15" s="1725" customFormat="1" ht="15">
      <c r="A54" s="1723"/>
      <c r="B54" s="1474"/>
      <c r="C54" s="2250" t="s">
        <v>95</v>
      </c>
      <c r="D54" s="2251" t="s">
        <v>606</v>
      </c>
      <c r="E54" s="1826"/>
      <c r="F54" s="1714"/>
      <c r="G54" s="1714"/>
      <c r="H54" s="1715">
        <f t="shared" si="0"/>
        <v>6036</v>
      </c>
      <c r="I54" s="2384">
        <v>3263</v>
      </c>
      <c r="J54" s="1716">
        <v>2773</v>
      </c>
      <c r="K54" s="1724"/>
      <c r="M54" s="2448"/>
      <c r="N54" s="2448"/>
      <c r="O54" s="2405"/>
    </row>
    <row r="55" spans="1:15" s="1725" customFormat="1" ht="15">
      <c r="A55" s="1723"/>
      <c r="B55" s="1474"/>
      <c r="C55" s="2218">
        <v>4438</v>
      </c>
      <c r="D55" s="2219" t="s">
        <v>614</v>
      </c>
      <c r="E55" s="1826"/>
      <c r="F55" s="1714"/>
      <c r="G55" s="1714"/>
      <c r="H55" s="1715">
        <f t="shared" si="0"/>
        <v>5780</v>
      </c>
      <c r="I55" s="2384"/>
      <c r="J55" s="1716">
        <v>5780</v>
      </c>
      <c r="K55" s="1724"/>
      <c r="M55" s="2448"/>
      <c r="N55" s="2448"/>
      <c r="O55" s="2405"/>
    </row>
    <row r="56" spans="1:15" s="1725" customFormat="1" ht="15">
      <c r="A56" s="1723"/>
      <c r="B56" s="1474"/>
      <c r="C56" s="2218">
        <v>4439</v>
      </c>
      <c r="D56" s="2219" t="s">
        <v>614</v>
      </c>
      <c r="E56" s="1826"/>
      <c r="F56" s="1714"/>
      <c r="G56" s="1714"/>
      <c r="H56" s="1715">
        <f t="shared" si="0"/>
        <v>2220</v>
      </c>
      <c r="I56" s="2384">
        <v>1200</v>
      </c>
      <c r="J56" s="1716">
        <v>1020</v>
      </c>
      <c r="K56" s="1724"/>
      <c r="M56" s="2448"/>
      <c r="N56" s="2448"/>
      <c r="O56" s="2405"/>
    </row>
    <row r="57" spans="1:15" s="1725" customFormat="1" ht="25.5">
      <c r="A57" s="1723"/>
      <c r="B57" s="1474"/>
      <c r="C57" s="2385" t="s">
        <v>108</v>
      </c>
      <c r="D57" s="2386" t="s">
        <v>109</v>
      </c>
      <c r="E57" s="1826"/>
      <c r="F57" s="1714"/>
      <c r="G57" s="1714"/>
      <c r="H57" s="1715">
        <f t="shared" si="0"/>
        <v>16257</v>
      </c>
      <c r="I57" s="2384"/>
      <c r="J57" s="1716">
        <v>16257</v>
      </c>
      <c r="K57" s="1724"/>
      <c r="M57" s="2448"/>
      <c r="N57" s="2448"/>
      <c r="O57" s="2405"/>
    </row>
    <row r="58" spans="1:15" s="1725" customFormat="1" ht="25.5">
      <c r="A58" s="1723"/>
      <c r="B58" s="1474"/>
      <c r="C58" s="2385" t="s">
        <v>110</v>
      </c>
      <c r="D58" s="2386" t="s">
        <v>109</v>
      </c>
      <c r="E58" s="1826"/>
      <c r="F58" s="1714"/>
      <c r="G58" s="1714"/>
      <c r="H58" s="1715">
        <f t="shared" si="0"/>
        <v>6244</v>
      </c>
      <c r="I58" s="2384">
        <v>3375</v>
      </c>
      <c r="J58" s="1716">
        <v>2869</v>
      </c>
      <c r="K58" s="1724"/>
      <c r="M58" s="2448"/>
      <c r="N58" s="2448"/>
      <c r="O58" s="2405"/>
    </row>
    <row r="59" spans="1:15" s="1725" customFormat="1" ht="25.5">
      <c r="A59" s="1723"/>
      <c r="B59" s="1474"/>
      <c r="C59" s="1712">
        <v>6060</v>
      </c>
      <c r="D59" s="2156" t="s">
        <v>437</v>
      </c>
      <c r="E59" s="1826"/>
      <c r="F59" s="1714"/>
      <c r="G59" s="1714"/>
      <c r="H59" s="1715">
        <f t="shared" si="0"/>
        <v>0</v>
      </c>
      <c r="I59" s="2384">
        <f>212500-212500</f>
        <v>0</v>
      </c>
      <c r="J59" s="1716"/>
      <c r="K59" s="1724"/>
      <c r="M59" s="2448"/>
      <c r="N59" s="2448"/>
      <c r="O59" s="2405"/>
    </row>
    <row r="60" spans="1:15" s="1725" customFormat="1" ht="25.5">
      <c r="A60" s="1723"/>
      <c r="B60" s="1474"/>
      <c r="C60" s="1712">
        <v>6068</v>
      </c>
      <c r="D60" s="2156" t="s">
        <v>437</v>
      </c>
      <c r="E60" s="1826"/>
      <c r="F60" s="1714"/>
      <c r="G60" s="1714"/>
      <c r="H60" s="1715">
        <f t="shared" si="0"/>
        <v>180625</v>
      </c>
      <c r="I60" s="2384"/>
      <c r="J60" s="1716">
        <v>180625</v>
      </c>
      <c r="K60" s="1724"/>
      <c r="M60" s="2448"/>
      <c r="N60" s="2448"/>
      <c r="O60" s="2405"/>
    </row>
    <row r="61" spans="1:15" s="1725" customFormat="1" ht="26.25" thickBot="1">
      <c r="A61" s="1723"/>
      <c r="B61" s="1474"/>
      <c r="C61" s="1712">
        <v>6069</v>
      </c>
      <c r="D61" s="2156" t="s">
        <v>437</v>
      </c>
      <c r="E61" s="1826"/>
      <c r="F61" s="1714"/>
      <c r="G61" s="1714"/>
      <c r="H61" s="1715">
        <f>I61+J61</f>
        <v>69375</v>
      </c>
      <c r="I61" s="2384">
        <v>37500</v>
      </c>
      <c r="J61" s="2410">
        <v>31875</v>
      </c>
      <c r="K61" s="1724"/>
      <c r="M61" s="2448"/>
      <c r="N61" s="2448"/>
      <c r="O61" s="2405"/>
    </row>
    <row r="62" spans="1:11" s="1725" customFormat="1" ht="44.25" thickBot="1" thickTop="1">
      <c r="A62" s="1711">
        <v>801</v>
      </c>
      <c r="B62" s="2449">
        <v>80195</v>
      </c>
      <c r="C62" s="2450"/>
      <c r="D62" s="1824" t="s">
        <v>571</v>
      </c>
      <c r="E62" s="1704" t="s">
        <v>79</v>
      </c>
      <c r="F62" s="1038">
        <v>2009</v>
      </c>
      <c r="G62" s="1038">
        <v>2010</v>
      </c>
      <c r="H62" s="1707">
        <f>SUM(H63:H67)</f>
        <v>48278</v>
      </c>
      <c r="I62" s="2451"/>
      <c r="J62" s="1708">
        <f>SUM(J63:J67)</f>
        <v>48278</v>
      </c>
      <c r="K62" s="1724"/>
    </row>
    <row r="63" spans="1:11" s="1725" customFormat="1" ht="15.75" thickTop="1">
      <c r="A63" s="1723"/>
      <c r="B63" s="1474"/>
      <c r="C63" s="1712">
        <v>4217</v>
      </c>
      <c r="D63" s="2157" t="s">
        <v>605</v>
      </c>
      <c r="E63" s="1826"/>
      <c r="F63" s="1714"/>
      <c r="G63" s="1714"/>
      <c r="H63" s="1715">
        <f aca="true" t="shared" si="1" ref="H63:H129">I63+J63</f>
        <v>500</v>
      </c>
      <c r="I63" s="2384"/>
      <c r="J63" s="1716">
        <v>500</v>
      </c>
      <c r="K63" s="1724"/>
    </row>
    <row r="64" spans="1:11" s="1725" customFormat="1" ht="15">
      <c r="A64" s="1723"/>
      <c r="B64" s="1474"/>
      <c r="C64" s="1712">
        <v>4307</v>
      </c>
      <c r="D64" s="2156" t="s">
        <v>606</v>
      </c>
      <c r="E64" s="1826"/>
      <c r="F64" s="1714"/>
      <c r="G64" s="1714"/>
      <c r="H64" s="1715">
        <f t="shared" si="1"/>
        <v>13000</v>
      </c>
      <c r="I64" s="2384"/>
      <c r="J64" s="1716">
        <v>13000</v>
      </c>
      <c r="K64" s="1724"/>
    </row>
    <row r="65" spans="1:11" s="1725" customFormat="1" ht="15">
      <c r="A65" s="1723"/>
      <c r="B65" s="1474"/>
      <c r="C65" s="1712">
        <v>4427</v>
      </c>
      <c r="D65" s="2157" t="s">
        <v>82</v>
      </c>
      <c r="E65" s="1826"/>
      <c r="F65" s="1714"/>
      <c r="G65" s="1714"/>
      <c r="H65" s="1715">
        <f t="shared" si="1"/>
        <v>33028</v>
      </c>
      <c r="I65" s="2384"/>
      <c r="J65" s="1716">
        <v>33028</v>
      </c>
      <c r="K65" s="1724"/>
    </row>
    <row r="66" spans="1:11" s="1725" customFormat="1" ht="15">
      <c r="A66" s="1723"/>
      <c r="B66" s="1474"/>
      <c r="C66" s="1712">
        <v>4437</v>
      </c>
      <c r="D66" s="2156" t="s">
        <v>614</v>
      </c>
      <c r="E66" s="1826"/>
      <c r="F66" s="1714"/>
      <c r="G66" s="1714"/>
      <c r="H66" s="1715">
        <f t="shared" si="1"/>
        <v>800</v>
      </c>
      <c r="I66" s="2384"/>
      <c r="J66" s="1716">
        <v>800</v>
      </c>
      <c r="K66" s="1724"/>
    </row>
    <row r="67" spans="1:11" s="1725" customFormat="1" ht="26.25" thickBot="1">
      <c r="A67" s="1723"/>
      <c r="B67" s="1474"/>
      <c r="C67" s="1712">
        <v>4757</v>
      </c>
      <c r="D67" s="2156" t="s">
        <v>654</v>
      </c>
      <c r="E67" s="1826"/>
      <c r="F67" s="1714"/>
      <c r="G67" s="1714"/>
      <c r="H67" s="1715">
        <f t="shared" si="1"/>
        <v>950</v>
      </c>
      <c r="I67" s="2384"/>
      <c r="J67" s="1716">
        <v>950</v>
      </c>
      <c r="K67" s="1724"/>
    </row>
    <row r="68" spans="1:11" s="1725" customFormat="1" ht="30" thickBot="1" thickTop="1">
      <c r="A68" s="1711">
        <v>801</v>
      </c>
      <c r="B68" s="2449">
        <v>80195</v>
      </c>
      <c r="C68" s="2450"/>
      <c r="D68" s="1824" t="s">
        <v>572</v>
      </c>
      <c r="E68" s="1704" t="s">
        <v>79</v>
      </c>
      <c r="F68" s="1038">
        <v>2009</v>
      </c>
      <c r="G68" s="1038">
        <v>2010</v>
      </c>
      <c r="H68" s="1707">
        <f t="shared" si="1"/>
        <v>78667</v>
      </c>
      <c r="I68" s="2451"/>
      <c r="J68" s="1708">
        <f>SUM(J69:J74)</f>
        <v>78667</v>
      </c>
      <c r="K68" s="1724"/>
    </row>
    <row r="69" spans="1:11" s="1725" customFormat="1" ht="15.75" thickTop="1">
      <c r="A69" s="1723"/>
      <c r="B69" s="1474"/>
      <c r="C69" s="1712">
        <v>4217</v>
      </c>
      <c r="D69" s="2157" t="s">
        <v>605</v>
      </c>
      <c r="E69" s="1826"/>
      <c r="F69" s="1714"/>
      <c r="G69" s="1714"/>
      <c r="H69" s="1715">
        <f t="shared" si="1"/>
        <v>7895</v>
      </c>
      <c r="I69" s="2384"/>
      <c r="J69" s="1716">
        <v>7895</v>
      </c>
      <c r="K69" s="1724"/>
    </row>
    <row r="70" spans="1:11" s="1725" customFormat="1" ht="25.5">
      <c r="A70" s="1723"/>
      <c r="B70" s="1474"/>
      <c r="C70" s="1712">
        <v>4247</v>
      </c>
      <c r="D70" s="2452" t="s">
        <v>610</v>
      </c>
      <c r="E70" s="1826"/>
      <c r="F70" s="1714"/>
      <c r="G70" s="1714"/>
      <c r="H70" s="1715">
        <f t="shared" si="1"/>
        <v>1000</v>
      </c>
      <c r="I70" s="2384"/>
      <c r="J70" s="1716">
        <v>1000</v>
      </c>
      <c r="K70" s="1724"/>
    </row>
    <row r="71" spans="1:11" s="1725" customFormat="1" ht="15">
      <c r="A71" s="1723"/>
      <c r="B71" s="1474"/>
      <c r="C71" s="1712">
        <v>4307</v>
      </c>
      <c r="D71" s="2156" t="s">
        <v>606</v>
      </c>
      <c r="E71" s="1826"/>
      <c r="F71" s="1714"/>
      <c r="G71" s="1714"/>
      <c r="H71" s="1715">
        <f t="shared" si="1"/>
        <v>5000</v>
      </c>
      <c r="I71" s="2384"/>
      <c r="J71" s="1716">
        <v>5000</v>
      </c>
      <c r="K71" s="1724"/>
    </row>
    <row r="72" spans="1:11" s="1725" customFormat="1" ht="15">
      <c r="A72" s="1723"/>
      <c r="B72" s="1474"/>
      <c r="C72" s="1712">
        <v>4427</v>
      </c>
      <c r="D72" s="2157" t="s">
        <v>82</v>
      </c>
      <c r="E72" s="1826"/>
      <c r="F72" s="1714"/>
      <c r="G72" s="1714"/>
      <c r="H72" s="1715">
        <f t="shared" si="1"/>
        <v>63672</v>
      </c>
      <c r="I72" s="2384"/>
      <c r="J72" s="1716">
        <v>63672</v>
      </c>
      <c r="K72" s="1724"/>
    </row>
    <row r="73" spans="1:11" s="1725" customFormat="1" ht="15">
      <c r="A73" s="1723"/>
      <c r="B73" s="1474"/>
      <c r="C73" s="1712">
        <v>4437</v>
      </c>
      <c r="D73" s="2156" t="s">
        <v>614</v>
      </c>
      <c r="E73" s="1826"/>
      <c r="F73" s="1714"/>
      <c r="G73" s="1714"/>
      <c r="H73" s="1715">
        <f t="shared" si="1"/>
        <v>600</v>
      </c>
      <c r="I73" s="2384"/>
      <c r="J73" s="1716">
        <v>600</v>
      </c>
      <c r="K73" s="1724"/>
    </row>
    <row r="74" spans="1:11" s="1725" customFormat="1" ht="26.25" thickBot="1">
      <c r="A74" s="1723"/>
      <c r="B74" s="1474"/>
      <c r="C74" s="1712">
        <v>4757</v>
      </c>
      <c r="D74" s="2156" t="s">
        <v>654</v>
      </c>
      <c r="E74" s="1826"/>
      <c r="F74" s="1714"/>
      <c r="G74" s="1714"/>
      <c r="H74" s="1715">
        <f t="shared" si="1"/>
        <v>500</v>
      </c>
      <c r="I74" s="2384"/>
      <c r="J74" s="1716">
        <v>500</v>
      </c>
      <c r="K74" s="1724"/>
    </row>
    <row r="75" spans="1:11" s="1725" customFormat="1" ht="72.75" thickBot="1" thickTop="1">
      <c r="A75" s="1711">
        <v>801</v>
      </c>
      <c r="B75" s="2449">
        <v>80195</v>
      </c>
      <c r="C75" s="2450"/>
      <c r="D75" s="1824" t="s">
        <v>573</v>
      </c>
      <c r="E75" s="1704" t="s">
        <v>79</v>
      </c>
      <c r="F75" s="1038">
        <v>2009</v>
      </c>
      <c r="G75" s="1038">
        <v>2010</v>
      </c>
      <c r="H75" s="1707">
        <f t="shared" si="1"/>
        <v>78667</v>
      </c>
      <c r="I75" s="2451"/>
      <c r="J75" s="1708">
        <f>SUM(J76:J81)</f>
        <v>78667</v>
      </c>
      <c r="K75" s="1724"/>
    </row>
    <row r="76" spans="1:11" s="1725" customFormat="1" ht="15.75" thickTop="1">
      <c r="A76" s="1723"/>
      <c r="B76" s="1474"/>
      <c r="C76" s="1712">
        <v>4217</v>
      </c>
      <c r="D76" s="2157" t="s">
        <v>605</v>
      </c>
      <c r="E76" s="1826"/>
      <c r="F76" s="1714"/>
      <c r="G76" s="1714"/>
      <c r="H76" s="1715">
        <f t="shared" si="1"/>
        <v>6795</v>
      </c>
      <c r="I76" s="2384"/>
      <c r="J76" s="1716">
        <v>6795</v>
      </c>
      <c r="K76" s="1724"/>
    </row>
    <row r="77" spans="1:11" s="1725" customFormat="1" ht="25.5">
      <c r="A77" s="1723"/>
      <c r="B77" s="1474"/>
      <c r="C77" s="1712">
        <v>4247</v>
      </c>
      <c r="D77" s="2452" t="s">
        <v>610</v>
      </c>
      <c r="E77" s="1826"/>
      <c r="F77" s="1714"/>
      <c r="G77" s="1714"/>
      <c r="H77" s="1715">
        <f t="shared" si="1"/>
        <v>2000</v>
      </c>
      <c r="I77" s="2384"/>
      <c r="J77" s="1716">
        <v>2000</v>
      </c>
      <c r="K77" s="1724"/>
    </row>
    <row r="78" spans="1:11" s="1725" customFormat="1" ht="15">
      <c r="A78" s="1723"/>
      <c r="B78" s="1474"/>
      <c r="C78" s="1712">
        <v>4307</v>
      </c>
      <c r="D78" s="2156" t="s">
        <v>606</v>
      </c>
      <c r="E78" s="1826"/>
      <c r="F78" s="1714"/>
      <c r="G78" s="1714"/>
      <c r="H78" s="1715">
        <f t="shared" si="1"/>
        <v>5000</v>
      </c>
      <c r="I78" s="2384"/>
      <c r="J78" s="1716">
        <v>5000</v>
      </c>
      <c r="K78" s="1724"/>
    </row>
    <row r="79" spans="1:11" s="1725" customFormat="1" ht="15">
      <c r="A79" s="1723"/>
      <c r="B79" s="1474"/>
      <c r="C79" s="1712">
        <v>4427</v>
      </c>
      <c r="D79" s="2157" t="s">
        <v>82</v>
      </c>
      <c r="E79" s="1826"/>
      <c r="F79" s="1714"/>
      <c r="G79" s="1714"/>
      <c r="H79" s="1715">
        <f t="shared" si="1"/>
        <v>63672</v>
      </c>
      <c r="I79" s="2384"/>
      <c r="J79" s="1716">
        <v>63672</v>
      </c>
      <c r="K79" s="1724"/>
    </row>
    <row r="80" spans="1:11" s="1725" customFormat="1" ht="15">
      <c r="A80" s="1723"/>
      <c r="B80" s="1474"/>
      <c r="C80" s="1712">
        <v>4437</v>
      </c>
      <c r="D80" s="2156" t="s">
        <v>614</v>
      </c>
      <c r="E80" s="1826"/>
      <c r="F80" s="1714"/>
      <c r="G80" s="1714"/>
      <c r="H80" s="1715">
        <f t="shared" si="1"/>
        <v>700</v>
      </c>
      <c r="I80" s="2384"/>
      <c r="J80" s="1716">
        <v>700</v>
      </c>
      <c r="K80" s="1724"/>
    </row>
    <row r="81" spans="1:11" s="1725" customFormat="1" ht="26.25" thickBot="1">
      <c r="A81" s="1723"/>
      <c r="B81" s="1474"/>
      <c r="C81" s="1712">
        <v>4757</v>
      </c>
      <c r="D81" s="2156" t="s">
        <v>654</v>
      </c>
      <c r="E81" s="1826"/>
      <c r="F81" s="1714"/>
      <c r="G81" s="1714"/>
      <c r="H81" s="1715">
        <f t="shared" si="1"/>
        <v>500</v>
      </c>
      <c r="I81" s="2384"/>
      <c r="J81" s="1716">
        <v>500</v>
      </c>
      <c r="K81" s="1724"/>
    </row>
    <row r="82" spans="1:11" s="1725" customFormat="1" ht="30" thickBot="1" thickTop="1">
      <c r="A82" s="1711">
        <v>801</v>
      </c>
      <c r="B82" s="2449">
        <v>80195</v>
      </c>
      <c r="C82" s="2450"/>
      <c r="D82" s="1824" t="s">
        <v>574</v>
      </c>
      <c r="E82" s="1704" t="s">
        <v>79</v>
      </c>
      <c r="F82" s="1038">
        <v>2009</v>
      </c>
      <c r="G82" s="1038">
        <v>2010</v>
      </c>
      <c r="H82" s="1707">
        <f t="shared" si="1"/>
        <v>77244</v>
      </c>
      <c r="I82" s="2451"/>
      <c r="J82" s="1708">
        <f>SUM(J83:J88)</f>
        <v>77244</v>
      </c>
      <c r="K82" s="1724"/>
    </row>
    <row r="83" spans="1:11" s="1725" customFormat="1" ht="15.75" thickTop="1">
      <c r="A83" s="1723"/>
      <c r="B83" s="1474"/>
      <c r="C83" s="1712">
        <v>4217</v>
      </c>
      <c r="D83" s="2157" t="s">
        <v>605</v>
      </c>
      <c r="E83" s="1826"/>
      <c r="F83" s="1714"/>
      <c r="G83" s="1714"/>
      <c r="H83" s="1715">
        <f t="shared" si="1"/>
        <v>3400</v>
      </c>
      <c r="I83" s="2384"/>
      <c r="J83" s="1716">
        <v>3400</v>
      </c>
      <c r="K83" s="1724"/>
    </row>
    <row r="84" spans="1:11" s="1725" customFormat="1" ht="25.5">
      <c r="A84" s="1723"/>
      <c r="B84" s="1474"/>
      <c r="C84" s="1712">
        <v>4247</v>
      </c>
      <c r="D84" s="2452" t="s">
        <v>610</v>
      </c>
      <c r="E84" s="1826"/>
      <c r="F84" s="1714"/>
      <c r="G84" s="1714"/>
      <c r="H84" s="1715">
        <f t="shared" si="1"/>
        <v>5000</v>
      </c>
      <c r="I84" s="2384"/>
      <c r="J84" s="1716">
        <v>5000</v>
      </c>
      <c r="K84" s="1724"/>
    </row>
    <row r="85" spans="1:11" s="1725" customFormat="1" ht="15">
      <c r="A85" s="1723"/>
      <c r="B85" s="1474"/>
      <c r="C85" s="1712">
        <v>4307</v>
      </c>
      <c r="D85" s="2156" t="s">
        <v>606</v>
      </c>
      <c r="E85" s="1826"/>
      <c r="F85" s="1714"/>
      <c r="G85" s="1714"/>
      <c r="H85" s="1715">
        <f t="shared" si="1"/>
        <v>9500</v>
      </c>
      <c r="I85" s="2384"/>
      <c r="J85" s="1716">
        <v>9500</v>
      </c>
      <c r="K85" s="1724"/>
    </row>
    <row r="86" spans="1:11" s="1725" customFormat="1" ht="15">
      <c r="A86" s="1723"/>
      <c r="B86" s="1474"/>
      <c r="C86" s="1712">
        <v>4417</v>
      </c>
      <c r="D86" s="2157" t="s">
        <v>613</v>
      </c>
      <c r="E86" s="1826"/>
      <c r="F86" s="1714"/>
      <c r="G86" s="1714"/>
      <c r="H86" s="1715">
        <f t="shared" si="1"/>
        <v>4000</v>
      </c>
      <c r="I86" s="2384"/>
      <c r="J86" s="1716">
        <v>4000</v>
      </c>
      <c r="K86" s="1724"/>
    </row>
    <row r="87" spans="1:11" s="1725" customFormat="1" ht="15">
      <c r="A87" s="1723"/>
      <c r="B87" s="1474"/>
      <c r="C87" s="1712">
        <v>4427</v>
      </c>
      <c r="D87" s="2157" t="s">
        <v>82</v>
      </c>
      <c r="E87" s="1826"/>
      <c r="F87" s="1714"/>
      <c r="G87" s="1714"/>
      <c r="H87" s="1715">
        <f t="shared" si="1"/>
        <v>53344</v>
      </c>
      <c r="I87" s="2384"/>
      <c r="J87" s="1716">
        <v>53344</v>
      </c>
      <c r="K87" s="1724"/>
    </row>
    <row r="88" spans="1:11" s="1725" customFormat="1" ht="15.75" thickBot="1">
      <c r="A88" s="1723"/>
      <c r="B88" s="1474"/>
      <c r="C88" s="1712">
        <v>4437</v>
      </c>
      <c r="D88" s="2156" t="s">
        <v>614</v>
      </c>
      <c r="E88" s="1826"/>
      <c r="F88" s="1714"/>
      <c r="G88" s="1714"/>
      <c r="H88" s="1715">
        <f t="shared" si="1"/>
        <v>2000</v>
      </c>
      <c r="I88" s="2384"/>
      <c r="J88" s="1716">
        <v>2000</v>
      </c>
      <c r="K88" s="1724"/>
    </row>
    <row r="89" spans="1:11" s="1725" customFormat="1" ht="30" thickBot="1" thickTop="1">
      <c r="A89" s="1711">
        <v>801</v>
      </c>
      <c r="B89" s="2449">
        <v>80195</v>
      </c>
      <c r="C89" s="2450"/>
      <c r="D89" s="1824" t="s">
        <v>575</v>
      </c>
      <c r="E89" s="1704" t="s">
        <v>79</v>
      </c>
      <c r="F89" s="1038">
        <v>2009</v>
      </c>
      <c r="G89" s="1038">
        <v>2010</v>
      </c>
      <c r="H89" s="1707">
        <f t="shared" si="1"/>
        <v>300969</v>
      </c>
      <c r="I89" s="2451"/>
      <c r="J89" s="1708">
        <f>SUM(J90:J97)</f>
        <v>300969</v>
      </c>
      <c r="K89" s="1724"/>
    </row>
    <row r="90" spans="1:11" s="1734" customFormat="1" ht="13.5" thickTop="1">
      <c r="A90" s="1457"/>
      <c r="B90" s="1732"/>
      <c r="C90" s="2236">
        <v>4117</v>
      </c>
      <c r="D90" s="2237" t="s">
        <v>80</v>
      </c>
      <c r="E90" s="2309"/>
      <c r="F90" s="2310"/>
      <c r="G90" s="2310"/>
      <c r="H90" s="2311">
        <f t="shared" si="1"/>
        <v>310</v>
      </c>
      <c r="I90" s="2453"/>
      <c r="J90" s="2312">
        <v>310</v>
      </c>
      <c r="K90" s="1733"/>
    </row>
    <row r="91" spans="1:11" s="1734" customFormat="1" ht="12.75">
      <c r="A91" s="1457"/>
      <c r="B91" s="1732"/>
      <c r="C91" s="2236">
        <v>4127</v>
      </c>
      <c r="D91" s="2237" t="s">
        <v>81</v>
      </c>
      <c r="E91" s="2309"/>
      <c r="F91" s="2310"/>
      <c r="G91" s="2310"/>
      <c r="H91" s="2311">
        <f t="shared" si="1"/>
        <v>50</v>
      </c>
      <c r="I91" s="2453"/>
      <c r="J91" s="2312">
        <v>50</v>
      </c>
      <c r="K91" s="1733"/>
    </row>
    <row r="92" spans="1:11" s="1734" customFormat="1" ht="12.75">
      <c r="A92" s="1457"/>
      <c r="B92" s="1732"/>
      <c r="C92" s="2250" t="s">
        <v>576</v>
      </c>
      <c r="D92" s="2251" t="s">
        <v>609</v>
      </c>
      <c r="E92" s="2309"/>
      <c r="F92" s="2310"/>
      <c r="G92" s="2310"/>
      <c r="H92" s="2311">
        <f t="shared" si="1"/>
        <v>2040</v>
      </c>
      <c r="I92" s="2453"/>
      <c r="J92" s="2312">
        <v>2040</v>
      </c>
      <c r="K92" s="1733"/>
    </row>
    <row r="93" spans="1:11" s="1725" customFormat="1" ht="15">
      <c r="A93" s="1723"/>
      <c r="B93" s="1474"/>
      <c r="C93" s="1712">
        <v>4217</v>
      </c>
      <c r="D93" s="2157" t="s">
        <v>605</v>
      </c>
      <c r="E93" s="1826"/>
      <c r="F93" s="1714"/>
      <c r="G93" s="1714"/>
      <c r="H93" s="2311">
        <f t="shared" si="1"/>
        <v>1200</v>
      </c>
      <c r="I93" s="2384"/>
      <c r="J93" s="1716">
        <v>1200</v>
      </c>
      <c r="K93" s="1724"/>
    </row>
    <row r="94" spans="1:11" s="1725" customFormat="1" ht="25.5">
      <c r="A94" s="1723"/>
      <c r="B94" s="1474"/>
      <c r="C94" s="1712">
        <v>4247</v>
      </c>
      <c r="D94" s="2452" t="s">
        <v>610</v>
      </c>
      <c r="E94" s="1826"/>
      <c r="F94" s="1714"/>
      <c r="G94" s="1714"/>
      <c r="H94" s="2311">
        <f t="shared" si="1"/>
        <v>800</v>
      </c>
      <c r="I94" s="2384"/>
      <c r="J94" s="1716">
        <v>800</v>
      </c>
      <c r="K94" s="1724"/>
    </row>
    <row r="95" spans="1:11" s="1725" customFormat="1" ht="15">
      <c r="A95" s="1723"/>
      <c r="B95" s="1474"/>
      <c r="C95" s="1712">
        <v>4307</v>
      </c>
      <c r="D95" s="2156" t="s">
        <v>606</v>
      </c>
      <c r="E95" s="1826"/>
      <c r="F95" s="1714"/>
      <c r="G95" s="1714"/>
      <c r="H95" s="2311">
        <f t="shared" si="1"/>
        <v>291369</v>
      </c>
      <c r="I95" s="2384"/>
      <c r="J95" s="1716">
        <v>291369</v>
      </c>
      <c r="K95" s="1724"/>
    </row>
    <row r="96" spans="1:11" s="1725" customFormat="1" ht="15">
      <c r="A96" s="1723"/>
      <c r="B96" s="1474"/>
      <c r="C96" s="1712">
        <v>4417</v>
      </c>
      <c r="D96" s="2157" t="s">
        <v>613</v>
      </c>
      <c r="E96" s="1826"/>
      <c r="F96" s="1714"/>
      <c r="G96" s="1714"/>
      <c r="H96" s="2311">
        <f t="shared" si="1"/>
        <v>0</v>
      </c>
      <c r="I96" s="2384"/>
      <c r="J96" s="1716">
        <f>5200-5200</f>
        <v>0</v>
      </c>
      <c r="K96" s="1724"/>
    </row>
    <row r="97" spans="1:11" s="1725" customFormat="1" ht="15">
      <c r="A97" s="1723"/>
      <c r="B97" s="1474"/>
      <c r="C97" s="1712">
        <v>4427</v>
      </c>
      <c r="D97" s="2157" t="s">
        <v>82</v>
      </c>
      <c r="E97" s="1826"/>
      <c r="F97" s="1714"/>
      <c r="G97" s="1714"/>
      <c r="H97" s="2311">
        <f t="shared" si="1"/>
        <v>5200</v>
      </c>
      <c r="I97" s="2384"/>
      <c r="J97" s="1716">
        <v>5200</v>
      </c>
      <c r="K97" s="1724"/>
    </row>
    <row r="98" spans="1:11" s="1725" customFormat="1" ht="28.5">
      <c r="A98" s="1723"/>
      <c r="B98" s="1474"/>
      <c r="C98" s="2562"/>
      <c r="D98" s="2563" t="s">
        <v>37</v>
      </c>
      <c r="E98" s="2564"/>
      <c r="F98" s="2565"/>
      <c r="G98" s="2565"/>
      <c r="H98" s="2566"/>
      <c r="I98" s="2567"/>
      <c r="J98" s="2568">
        <f>J99+J100</f>
        <v>8966</v>
      </c>
      <c r="K98" s="1724"/>
    </row>
    <row r="99" spans="1:11" s="1725" customFormat="1" ht="15">
      <c r="A99" s="1723"/>
      <c r="B99" s="1474"/>
      <c r="C99" s="1712">
        <v>4427</v>
      </c>
      <c r="D99" s="2569" t="s">
        <v>82</v>
      </c>
      <c r="E99" s="1826"/>
      <c r="F99" s="1714"/>
      <c r="G99" s="1714"/>
      <c r="H99" s="2311"/>
      <c r="I99" s="2384"/>
      <c r="J99" s="2570">
        <f>2134+6166</f>
        <v>8300</v>
      </c>
      <c r="K99" s="1724"/>
    </row>
    <row r="100" spans="1:11" s="1725" customFormat="1" ht="15.75" thickBot="1">
      <c r="A100" s="1723"/>
      <c r="B100" s="1474"/>
      <c r="C100" s="1712">
        <v>4437</v>
      </c>
      <c r="D100" s="2569" t="s">
        <v>614</v>
      </c>
      <c r="E100" s="1826"/>
      <c r="F100" s="1714"/>
      <c r="G100" s="1714"/>
      <c r="H100" s="2311"/>
      <c r="I100" s="2384"/>
      <c r="J100" s="2410">
        <f>366+300</f>
        <v>666</v>
      </c>
      <c r="K100" s="1724"/>
    </row>
    <row r="101" spans="1:11" s="1730" customFormat="1" ht="55.5" customHeight="1" thickBot="1" thickTop="1">
      <c r="A101" s="1726">
        <v>853</v>
      </c>
      <c r="B101" s="981">
        <v>85395</v>
      </c>
      <c r="C101" s="1727"/>
      <c r="D101" s="1728" t="s">
        <v>83</v>
      </c>
      <c r="E101" s="1705" t="s">
        <v>84</v>
      </c>
      <c r="F101" s="981"/>
      <c r="G101" s="981"/>
      <c r="H101" s="1707">
        <f t="shared" si="1"/>
        <v>951410</v>
      </c>
      <c r="I101" s="1708">
        <f>SUM(I102:I134)</f>
        <v>95141</v>
      </c>
      <c r="J101" s="1708">
        <f>SUM(J102:J134)</f>
        <v>856269</v>
      </c>
      <c r="K101" s="1729"/>
    </row>
    <row r="102" spans="1:11" s="1730" customFormat="1" ht="13.5" thickTop="1">
      <c r="A102" s="2241"/>
      <c r="B102" s="2242"/>
      <c r="C102" s="2243">
        <v>3119</v>
      </c>
      <c r="D102" s="2244" t="s">
        <v>733</v>
      </c>
      <c r="E102" s="2215"/>
      <c r="F102" s="2245"/>
      <c r="G102" s="2245"/>
      <c r="H102" s="2216">
        <f t="shared" si="1"/>
        <v>95141</v>
      </c>
      <c r="I102" s="2216">
        <f>94232+909</f>
        <v>95141</v>
      </c>
      <c r="J102" s="2217"/>
      <c r="K102" s="1729"/>
    </row>
    <row r="103" spans="1:11" s="1730" customFormat="1" ht="12.75">
      <c r="A103" s="1731"/>
      <c r="B103" s="1732"/>
      <c r="C103" s="2246">
        <v>4018</v>
      </c>
      <c r="D103" s="2247" t="s">
        <v>588</v>
      </c>
      <c r="E103" s="2220"/>
      <c r="F103" s="2248"/>
      <c r="G103" s="2248"/>
      <c r="H103" s="2222">
        <f t="shared" si="1"/>
        <v>196690</v>
      </c>
      <c r="I103" s="2249"/>
      <c r="J103" s="2224">
        <v>196690</v>
      </c>
      <c r="K103" s="1729"/>
    </row>
    <row r="104" spans="1:11" s="1730" customFormat="1" ht="12.75">
      <c r="A104" s="1731"/>
      <c r="B104" s="1732"/>
      <c r="C104" s="2246">
        <v>4019</v>
      </c>
      <c r="D104" s="2247" t="s">
        <v>588</v>
      </c>
      <c r="E104" s="2220"/>
      <c r="F104" s="2248"/>
      <c r="G104" s="2248"/>
      <c r="H104" s="2222">
        <f t="shared" si="1"/>
        <v>11580</v>
      </c>
      <c r="I104" s="2249"/>
      <c r="J104" s="2224">
        <v>11580</v>
      </c>
      <c r="K104" s="1729"/>
    </row>
    <row r="105" spans="1:11" s="1730" customFormat="1" ht="12.75">
      <c r="A105" s="1731"/>
      <c r="B105" s="1732"/>
      <c r="C105" s="2246">
        <v>4048</v>
      </c>
      <c r="D105" s="2247" t="s">
        <v>590</v>
      </c>
      <c r="E105" s="2220"/>
      <c r="F105" s="2248"/>
      <c r="G105" s="2248"/>
      <c r="H105" s="2222">
        <f t="shared" si="1"/>
        <v>6278</v>
      </c>
      <c r="I105" s="2249"/>
      <c r="J105" s="2224">
        <f>4671+1607</f>
        <v>6278</v>
      </c>
      <c r="K105" s="1729"/>
    </row>
    <row r="106" spans="1:11" s="1730" customFormat="1" ht="12.75">
      <c r="A106" s="1731"/>
      <c r="B106" s="1732"/>
      <c r="C106" s="2246">
        <v>4049</v>
      </c>
      <c r="D106" s="2247" t="s">
        <v>590</v>
      </c>
      <c r="E106" s="2220"/>
      <c r="F106" s="2248"/>
      <c r="G106" s="2248"/>
      <c r="H106" s="2222">
        <f t="shared" si="1"/>
        <v>370</v>
      </c>
      <c r="I106" s="2249"/>
      <c r="J106" s="2224">
        <f>275+95</f>
        <v>370</v>
      </c>
      <c r="K106" s="1729"/>
    </row>
    <row r="107" spans="1:11" s="1730" customFormat="1" ht="12.75">
      <c r="A107" s="1731"/>
      <c r="B107" s="1732"/>
      <c r="C107" s="2250" t="s">
        <v>85</v>
      </c>
      <c r="D107" s="2251" t="s">
        <v>592</v>
      </c>
      <c r="E107" s="2220"/>
      <c r="F107" s="2248"/>
      <c r="G107" s="2248"/>
      <c r="H107" s="2222">
        <f t="shared" si="1"/>
        <v>38508</v>
      </c>
      <c r="I107" s="2249"/>
      <c r="J107" s="2224">
        <f>38649+4649-4790</f>
        <v>38508</v>
      </c>
      <c r="K107" s="1729"/>
    </row>
    <row r="108" spans="1:11" s="1730" customFormat="1" ht="12.75">
      <c r="A108" s="1731"/>
      <c r="B108" s="1732"/>
      <c r="C108" s="2250" t="s">
        <v>86</v>
      </c>
      <c r="D108" s="2251" t="s">
        <v>592</v>
      </c>
      <c r="E108" s="2220"/>
      <c r="F108" s="2248"/>
      <c r="G108" s="2248"/>
      <c r="H108" s="2222">
        <f t="shared" si="1"/>
        <v>2267</v>
      </c>
      <c r="I108" s="2249"/>
      <c r="J108" s="2224">
        <f>2275+274-282</f>
        <v>2267</v>
      </c>
      <c r="K108" s="1729"/>
    </row>
    <row r="109" spans="1:11" s="1730" customFormat="1" ht="12.75">
      <c r="A109" s="1731"/>
      <c r="B109" s="1732"/>
      <c r="C109" s="2250" t="s">
        <v>87</v>
      </c>
      <c r="D109" s="2251" t="s">
        <v>88</v>
      </c>
      <c r="E109" s="2220"/>
      <c r="F109" s="2248"/>
      <c r="G109" s="2248"/>
      <c r="H109" s="2222">
        <f t="shared" si="1"/>
        <v>6022</v>
      </c>
      <c r="I109" s="2249"/>
      <c r="J109" s="2224">
        <f>5911+712-601</f>
        <v>6022</v>
      </c>
      <c r="K109" s="1729"/>
    </row>
    <row r="110" spans="1:11" s="1730" customFormat="1" ht="12.75">
      <c r="A110" s="1731"/>
      <c r="B110" s="1732"/>
      <c r="C110" s="2250" t="s">
        <v>89</v>
      </c>
      <c r="D110" s="2251" t="s">
        <v>88</v>
      </c>
      <c r="E110" s="2220"/>
      <c r="F110" s="2248"/>
      <c r="G110" s="2248"/>
      <c r="H110" s="2222">
        <f t="shared" si="1"/>
        <v>354</v>
      </c>
      <c r="I110" s="2249"/>
      <c r="J110" s="2224">
        <f>348+42-36</f>
        <v>354</v>
      </c>
      <c r="K110" s="1729"/>
    </row>
    <row r="111" spans="1:11" s="1730" customFormat="1" ht="12.75">
      <c r="A111" s="1731"/>
      <c r="B111" s="1732"/>
      <c r="C111" s="2250" t="s">
        <v>90</v>
      </c>
      <c r="D111" s="2251" t="s">
        <v>609</v>
      </c>
      <c r="E111" s="2220"/>
      <c r="F111" s="2248"/>
      <c r="G111" s="2248"/>
      <c r="H111" s="2222">
        <f t="shared" si="1"/>
        <v>48826</v>
      </c>
      <c r="I111" s="2249"/>
      <c r="J111" s="2224">
        <f>58364+24358-33896</f>
        <v>48826</v>
      </c>
      <c r="K111" s="1729"/>
    </row>
    <row r="112" spans="1:11" s="1730" customFormat="1" ht="12.75">
      <c r="A112" s="1731"/>
      <c r="B112" s="1732"/>
      <c r="C112" s="2250" t="s">
        <v>91</v>
      </c>
      <c r="D112" s="2251" t="s">
        <v>609</v>
      </c>
      <c r="E112" s="2220"/>
      <c r="F112" s="2248"/>
      <c r="G112" s="2248"/>
      <c r="H112" s="2222">
        <f t="shared" si="1"/>
        <v>2874</v>
      </c>
      <c r="I112" s="2249"/>
      <c r="J112" s="2224">
        <f>3436+1434-1996</f>
        <v>2874</v>
      </c>
      <c r="K112" s="1729"/>
    </row>
    <row r="113" spans="1:11" s="1730" customFormat="1" ht="12.75">
      <c r="A113" s="1731"/>
      <c r="B113" s="1732"/>
      <c r="C113" s="2250" t="s">
        <v>92</v>
      </c>
      <c r="D113" s="2251" t="s">
        <v>605</v>
      </c>
      <c r="E113" s="2220"/>
      <c r="F113" s="2248"/>
      <c r="G113" s="2248"/>
      <c r="H113" s="2222">
        <f t="shared" si="1"/>
        <v>43300</v>
      </c>
      <c r="I113" s="2249"/>
      <c r="J113" s="2224">
        <f>133164-104117+14253</f>
        <v>43300</v>
      </c>
      <c r="K113" s="1729"/>
    </row>
    <row r="114" spans="1:11" s="1730" customFormat="1" ht="12.75">
      <c r="A114" s="1731"/>
      <c r="B114" s="1732"/>
      <c r="C114" s="2250" t="s">
        <v>93</v>
      </c>
      <c r="D114" s="2251" t="s">
        <v>605</v>
      </c>
      <c r="E114" s="2220"/>
      <c r="F114" s="2248"/>
      <c r="G114" s="2248"/>
      <c r="H114" s="2222">
        <f t="shared" si="1"/>
        <v>2508</v>
      </c>
      <c r="I114" s="2249"/>
      <c r="J114" s="2224">
        <f>7840-6171+839</f>
        <v>2508</v>
      </c>
      <c r="K114" s="1729"/>
    </row>
    <row r="115" spans="1:11" s="1730" customFormat="1" ht="12.75">
      <c r="A115" s="1731"/>
      <c r="B115" s="1732"/>
      <c r="C115" s="2218">
        <v>4288</v>
      </c>
      <c r="D115" s="2219" t="s">
        <v>731</v>
      </c>
      <c r="E115" s="2220"/>
      <c r="F115" s="2248"/>
      <c r="G115" s="2248"/>
      <c r="H115" s="2222">
        <f t="shared" si="1"/>
        <v>8500</v>
      </c>
      <c r="I115" s="2249"/>
      <c r="J115" s="2224">
        <f>9444-944</f>
        <v>8500</v>
      </c>
      <c r="K115" s="1729"/>
    </row>
    <row r="116" spans="1:11" s="1730" customFormat="1" ht="12.75">
      <c r="A116" s="1731"/>
      <c r="B116" s="1732"/>
      <c r="C116" s="2218">
        <v>4289</v>
      </c>
      <c r="D116" s="2219" t="s">
        <v>731</v>
      </c>
      <c r="E116" s="2220"/>
      <c r="F116" s="2248"/>
      <c r="G116" s="2248"/>
      <c r="H116" s="2222">
        <f t="shared" si="1"/>
        <v>500</v>
      </c>
      <c r="I116" s="2249"/>
      <c r="J116" s="2224">
        <f>556-56</f>
        <v>500</v>
      </c>
      <c r="K116" s="1729"/>
    </row>
    <row r="117" spans="1:11" s="1730" customFormat="1" ht="12.75">
      <c r="A117" s="1731"/>
      <c r="B117" s="1732"/>
      <c r="C117" s="2250" t="s">
        <v>94</v>
      </c>
      <c r="D117" s="2251" t="s">
        <v>606</v>
      </c>
      <c r="E117" s="2220"/>
      <c r="F117" s="2248"/>
      <c r="G117" s="2248"/>
      <c r="H117" s="2222">
        <f t="shared" si="1"/>
        <v>437977</v>
      </c>
      <c r="I117" s="2249"/>
      <c r="J117" s="2224">
        <f>306141+7798+98344+25694</f>
        <v>437977</v>
      </c>
      <c r="K117" s="1729"/>
    </row>
    <row r="118" spans="1:11" s="1730" customFormat="1" ht="12.75">
      <c r="A118" s="1731"/>
      <c r="B118" s="1732"/>
      <c r="C118" s="2250" t="s">
        <v>95</v>
      </c>
      <c r="D118" s="2251" t="s">
        <v>606</v>
      </c>
      <c r="E118" s="2220"/>
      <c r="F118" s="2248"/>
      <c r="G118" s="2248"/>
      <c r="H118" s="2222">
        <f t="shared" si="1"/>
        <v>25786</v>
      </c>
      <c r="I118" s="2249"/>
      <c r="J118" s="2224">
        <f>18024+419+5830+1513</f>
        <v>25786</v>
      </c>
      <c r="K118" s="1729"/>
    </row>
    <row r="119" spans="1:11" s="1730" customFormat="1" ht="12.75">
      <c r="A119" s="1731"/>
      <c r="B119" s="1732"/>
      <c r="C119" s="2250" t="s">
        <v>96</v>
      </c>
      <c r="D119" s="2251" t="s">
        <v>732</v>
      </c>
      <c r="E119" s="2220"/>
      <c r="F119" s="2248"/>
      <c r="G119" s="2248"/>
      <c r="H119" s="2222">
        <f t="shared" si="1"/>
        <v>0</v>
      </c>
      <c r="I119" s="2249"/>
      <c r="J119" s="2224">
        <f>2125-2125</f>
        <v>0</v>
      </c>
      <c r="K119" s="1729"/>
    </row>
    <row r="120" spans="1:11" s="1730" customFormat="1" ht="12.75">
      <c r="A120" s="1731"/>
      <c r="B120" s="1732"/>
      <c r="C120" s="2250" t="s">
        <v>97</v>
      </c>
      <c r="D120" s="2251" t="s">
        <v>732</v>
      </c>
      <c r="E120" s="2220"/>
      <c r="F120" s="2248"/>
      <c r="G120" s="2248"/>
      <c r="H120" s="2222">
        <f t="shared" si="1"/>
        <v>0</v>
      </c>
      <c r="I120" s="2249"/>
      <c r="J120" s="2224">
        <f>125-125</f>
        <v>0</v>
      </c>
      <c r="K120" s="1729"/>
    </row>
    <row r="121" spans="1:11" s="1730" customFormat="1" ht="25.5">
      <c r="A121" s="1731"/>
      <c r="B121" s="1732"/>
      <c r="C121" s="2250" t="s">
        <v>98</v>
      </c>
      <c r="D121" s="2251" t="s">
        <v>99</v>
      </c>
      <c r="E121" s="2220"/>
      <c r="F121" s="2248"/>
      <c r="G121" s="2248"/>
      <c r="H121" s="2222">
        <f t="shared" si="1"/>
        <v>0</v>
      </c>
      <c r="I121" s="2249"/>
      <c r="J121" s="2224">
        <f>2361-2361</f>
        <v>0</v>
      </c>
      <c r="K121" s="1729"/>
    </row>
    <row r="122" spans="1:11" s="1730" customFormat="1" ht="25.5">
      <c r="A122" s="1731"/>
      <c r="B122" s="1732"/>
      <c r="C122" s="2250" t="s">
        <v>100</v>
      </c>
      <c r="D122" s="2251" t="s">
        <v>99</v>
      </c>
      <c r="E122" s="2220"/>
      <c r="F122" s="2248"/>
      <c r="G122" s="2248"/>
      <c r="H122" s="2222">
        <f t="shared" si="1"/>
        <v>0</v>
      </c>
      <c r="I122" s="2249"/>
      <c r="J122" s="2224">
        <f>139-139</f>
        <v>0</v>
      </c>
      <c r="K122" s="1729"/>
    </row>
    <row r="123" spans="1:11" s="1730" customFormat="1" ht="25.5">
      <c r="A123" s="1731"/>
      <c r="B123" s="1732"/>
      <c r="C123" s="2250" t="s">
        <v>101</v>
      </c>
      <c r="D123" s="2251" t="s">
        <v>102</v>
      </c>
      <c r="E123" s="2220"/>
      <c r="F123" s="2248"/>
      <c r="G123" s="2248"/>
      <c r="H123" s="2222">
        <f t="shared" si="1"/>
        <v>0</v>
      </c>
      <c r="I123" s="2249"/>
      <c r="J123" s="2224">
        <f>1889-1889</f>
        <v>0</v>
      </c>
      <c r="K123" s="1729"/>
    </row>
    <row r="124" spans="1:11" s="1730" customFormat="1" ht="25.5">
      <c r="A124" s="1731"/>
      <c r="B124" s="1732"/>
      <c r="C124" s="2250" t="s">
        <v>103</v>
      </c>
      <c r="D124" s="2251" t="s">
        <v>102</v>
      </c>
      <c r="E124" s="2220"/>
      <c r="F124" s="2248"/>
      <c r="G124" s="2248"/>
      <c r="H124" s="2222">
        <f t="shared" si="1"/>
        <v>0</v>
      </c>
      <c r="I124" s="2249"/>
      <c r="J124" s="2224">
        <f>111-111</f>
        <v>0</v>
      </c>
      <c r="K124" s="1729"/>
    </row>
    <row r="125" spans="1:11" s="1730" customFormat="1" ht="12.75">
      <c r="A125" s="1731"/>
      <c r="B125" s="1732"/>
      <c r="C125" s="2250" t="s">
        <v>104</v>
      </c>
      <c r="D125" s="2251" t="s">
        <v>613</v>
      </c>
      <c r="E125" s="2220"/>
      <c r="F125" s="2248"/>
      <c r="G125" s="2248"/>
      <c r="H125" s="2222">
        <f t="shared" si="1"/>
        <v>0</v>
      </c>
      <c r="I125" s="2249"/>
      <c r="J125" s="2224">
        <f>8500-8500</f>
        <v>0</v>
      </c>
      <c r="K125" s="1729"/>
    </row>
    <row r="126" spans="1:11" s="1734" customFormat="1" ht="12.75">
      <c r="A126" s="1457"/>
      <c r="B126" s="1732"/>
      <c r="C126" s="2250" t="s">
        <v>105</v>
      </c>
      <c r="D126" s="2251" t="s">
        <v>613</v>
      </c>
      <c r="E126" s="2220"/>
      <c r="F126" s="2221"/>
      <c r="G126" s="2221"/>
      <c r="H126" s="2222">
        <f t="shared" si="1"/>
        <v>0</v>
      </c>
      <c r="I126" s="2223"/>
      <c r="J126" s="2224">
        <f>500-500</f>
        <v>0</v>
      </c>
      <c r="K126" s="1733"/>
    </row>
    <row r="127" spans="1:11" s="1734" customFormat="1" ht="12.75">
      <c r="A127" s="1457"/>
      <c r="B127" s="1732"/>
      <c r="C127" s="2218">
        <v>4438</v>
      </c>
      <c r="D127" s="2219" t="s">
        <v>614</v>
      </c>
      <c r="E127" s="2220"/>
      <c r="F127" s="2221"/>
      <c r="G127" s="2221"/>
      <c r="H127" s="2222">
        <f t="shared" si="1"/>
        <v>2927</v>
      </c>
      <c r="I127" s="2223"/>
      <c r="J127" s="2224">
        <f>6139+1511-4723</f>
        <v>2927</v>
      </c>
      <c r="K127" s="1733"/>
    </row>
    <row r="128" spans="1:11" s="1734" customFormat="1" ht="12.75">
      <c r="A128" s="1457"/>
      <c r="B128" s="1732"/>
      <c r="C128" s="2218">
        <v>4439</v>
      </c>
      <c r="D128" s="2219" t="s">
        <v>614</v>
      </c>
      <c r="E128" s="2220"/>
      <c r="F128" s="2221"/>
      <c r="G128" s="2221"/>
      <c r="H128" s="2222">
        <f t="shared" si="1"/>
        <v>173</v>
      </c>
      <c r="I128" s="2223"/>
      <c r="J128" s="2224">
        <f>361+89-277</f>
        <v>173</v>
      </c>
      <c r="K128" s="1733"/>
    </row>
    <row r="129" spans="1:11" s="1734" customFormat="1" ht="12.75">
      <c r="A129" s="1457"/>
      <c r="B129" s="1732"/>
      <c r="C129" s="2218">
        <v>4448</v>
      </c>
      <c r="D129" s="2219" t="s">
        <v>671</v>
      </c>
      <c r="E129" s="2220"/>
      <c r="F129" s="2221"/>
      <c r="G129" s="2221"/>
      <c r="H129" s="2222">
        <f t="shared" si="1"/>
        <v>5667</v>
      </c>
      <c r="I129" s="2223"/>
      <c r="J129" s="2224">
        <v>5667</v>
      </c>
      <c r="K129" s="1733"/>
    </row>
    <row r="130" spans="1:11" s="1734" customFormat="1" ht="12.75">
      <c r="A130" s="1457"/>
      <c r="B130" s="1732"/>
      <c r="C130" s="2218">
        <v>4449</v>
      </c>
      <c r="D130" s="2219" t="s">
        <v>671</v>
      </c>
      <c r="E130" s="2220"/>
      <c r="F130" s="2221"/>
      <c r="G130" s="2221"/>
      <c r="H130" s="2222">
        <f aca="true" t="shared" si="2" ref="H130:H183">I130+J130</f>
        <v>334</v>
      </c>
      <c r="I130" s="2223"/>
      <c r="J130" s="2224">
        <v>334</v>
      </c>
      <c r="K130" s="1733"/>
    </row>
    <row r="131" spans="1:11" s="1734" customFormat="1" ht="25.5">
      <c r="A131" s="1457"/>
      <c r="B131" s="1732"/>
      <c r="C131" s="2250" t="s">
        <v>106</v>
      </c>
      <c r="D131" s="2252" t="s">
        <v>617</v>
      </c>
      <c r="E131" s="2220"/>
      <c r="F131" s="2221"/>
      <c r="G131" s="2221"/>
      <c r="H131" s="2222">
        <f t="shared" si="2"/>
        <v>1338</v>
      </c>
      <c r="I131" s="2223"/>
      <c r="J131" s="2224">
        <f>18888-18117+567</f>
        <v>1338</v>
      </c>
      <c r="K131" s="1733"/>
    </row>
    <row r="132" spans="1:11" s="1734" customFormat="1" ht="25.5">
      <c r="A132" s="1457"/>
      <c r="B132" s="1732"/>
      <c r="C132" s="2250" t="s">
        <v>107</v>
      </c>
      <c r="D132" s="2252" t="s">
        <v>617</v>
      </c>
      <c r="E132" s="2220"/>
      <c r="F132" s="2221"/>
      <c r="G132" s="2221"/>
      <c r="H132" s="2222">
        <f t="shared" si="2"/>
        <v>78</v>
      </c>
      <c r="I132" s="2223"/>
      <c r="J132" s="2224">
        <f>1112-1067+33</f>
        <v>78</v>
      </c>
      <c r="K132" s="1733"/>
    </row>
    <row r="133" spans="1:11" s="1734" customFormat="1" ht="25.5">
      <c r="A133" s="1457"/>
      <c r="B133" s="1732"/>
      <c r="C133" s="2250" t="s">
        <v>108</v>
      </c>
      <c r="D133" s="2252" t="s">
        <v>109</v>
      </c>
      <c r="E133" s="2220"/>
      <c r="F133" s="2221"/>
      <c r="G133" s="2221"/>
      <c r="H133" s="2222">
        <f t="shared" si="2"/>
        <v>12666</v>
      </c>
      <c r="I133" s="2223"/>
      <c r="J133" s="2224">
        <f>12636-1859+1889</f>
        <v>12666</v>
      </c>
      <c r="K133" s="1733"/>
    </row>
    <row r="134" spans="1:11" s="1734" customFormat="1" ht="26.25" thickBot="1">
      <c r="A134" s="1457"/>
      <c r="B134" s="1732"/>
      <c r="C134" s="2253" t="s">
        <v>110</v>
      </c>
      <c r="D134" s="2254" t="s">
        <v>109</v>
      </c>
      <c r="E134" s="2225"/>
      <c r="F134" s="2226"/>
      <c r="G134" s="2226"/>
      <c r="H134" s="2227">
        <f t="shared" si="2"/>
        <v>746</v>
      </c>
      <c r="I134" s="2227"/>
      <c r="J134" s="2228">
        <f>744-109+111</f>
        <v>746</v>
      </c>
      <c r="K134" s="1733"/>
    </row>
    <row r="135" spans="1:11" s="1722" customFormat="1" ht="52.5" thickBot="1" thickTop="1">
      <c r="A135" s="1443">
        <v>853</v>
      </c>
      <c r="B135" s="1735">
        <v>85395</v>
      </c>
      <c r="C135" s="1475"/>
      <c r="D135" s="1736" t="s">
        <v>111</v>
      </c>
      <c r="E135" s="1705" t="s">
        <v>84</v>
      </c>
      <c r="F135" s="1038">
        <v>2008</v>
      </c>
      <c r="G135" s="1038">
        <v>2009</v>
      </c>
      <c r="H135" s="1720">
        <f t="shared" si="2"/>
        <v>611982</v>
      </c>
      <c r="I135" s="1720">
        <f>SUM(I136:I161)</f>
        <v>28461</v>
      </c>
      <c r="J135" s="1708">
        <f>SUM(J136:J161)</f>
        <v>583521</v>
      </c>
      <c r="K135" s="1721"/>
    </row>
    <row r="136" spans="1:11" s="1722" customFormat="1" ht="39" thickTop="1">
      <c r="A136" s="1789"/>
      <c r="B136" s="2387"/>
      <c r="C136" s="2388">
        <v>2338</v>
      </c>
      <c r="D136" s="2389" t="s">
        <v>577</v>
      </c>
      <c r="E136" s="2390"/>
      <c r="F136" s="2255"/>
      <c r="G136" s="2255"/>
      <c r="H136" s="2256">
        <f t="shared" si="2"/>
        <v>12369</v>
      </c>
      <c r="I136" s="2391"/>
      <c r="J136" s="2235">
        <f>9578+2791</f>
        <v>12369</v>
      </c>
      <c r="K136" s="1721"/>
    </row>
    <row r="137" spans="1:11" s="1722" customFormat="1" ht="38.25">
      <c r="A137" s="1789"/>
      <c r="B137" s="1472"/>
      <c r="C137" s="2257">
        <v>2339</v>
      </c>
      <c r="D137" s="2251" t="s">
        <v>773</v>
      </c>
      <c r="E137" s="2392"/>
      <c r="F137" s="2169"/>
      <c r="G137" s="2169"/>
      <c r="H137" s="2170">
        <f t="shared" si="2"/>
        <v>166</v>
      </c>
      <c r="I137" s="2259"/>
      <c r="J137" s="2171">
        <f>129+37</f>
        <v>166</v>
      </c>
      <c r="K137" s="1721"/>
    </row>
    <row r="138" spans="1:11" s="1722" customFormat="1" ht="63.75">
      <c r="A138" s="1789"/>
      <c r="B138" s="1472"/>
      <c r="C138" s="2257">
        <v>2678</v>
      </c>
      <c r="D138" s="2251" t="s">
        <v>770</v>
      </c>
      <c r="E138" s="2258"/>
      <c r="F138" s="2169"/>
      <c r="G138" s="2169"/>
      <c r="H138" s="2170">
        <f t="shared" si="2"/>
        <v>5329</v>
      </c>
      <c r="I138" s="2259"/>
      <c r="J138" s="2171">
        <f>3494+1835</f>
        <v>5329</v>
      </c>
      <c r="K138" s="1721"/>
    </row>
    <row r="139" spans="1:11" s="1722" customFormat="1" ht="63.75">
      <c r="A139" s="1789"/>
      <c r="B139" s="1472"/>
      <c r="C139" s="2257">
        <v>2679</v>
      </c>
      <c r="D139" s="2251" t="s">
        <v>770</v>
      </c>
      <c r="E139" s="2258"/>
      <c r="F139" s="2169"/>
      <c r="G139" s="2169"/>
      <c r="H139" s="2170">
        <f t="shared" si="2"/>
        <v>72</v>
      </c>
      <c r="I139" s="2259"/>
      <c r="J139" s="2171">
        <f>7+65</f>
        <v>72</v>
      </c>
      <c r="K139" s="1721"/>
    </row>
    <row r="140" spans="1:11" s="1722" customFormat="1" ht="15.75">
      <c r="A140" s="1789"/>
      <c r="B140" s="1472"/>
      <c r="C140" s="2260">
        <v>4018</v>
      </c>
      <c r="D140" s="2261" t="s">
        <v>588</v>
      </c>
      <c r="E140" s="2258"/>
      <c r="F140" s="2169"/>
      <c r="G140" s="2169"/>
      <c r="H140" s="2170">
        <f t="shared" si="2"/>
        <v>15986</v>
      </c>
      <c r="I140" s="2259"/>
      <c r="J140" s="2171">
        <f>887+15099</f>
        <v>15986</v>
      </c>
      <c r="K140" s="1721"/>
    </row>
    <row r="141" spans="1:11" s="1722" customFormat="1" ht="15.75">
      <c r="A141" s="1789"/>
      <c r="B141" s="1472"/>
      <c r="C141" s="2260">
        <v>4019</v>
      </c>
      <c r="D141" s="2261" t="s">
        <v>588</v>
      </c>
      <c r="E141" s="2258"/>
      <c r="F141" s="2169"/>
      <c r="G141" s="2169"/>
      <c r="H141" s="2170">
        <f t="shared" si="2"/>
        <v>215</v>
      </c>
      <c r="I141" s="2259"/>
      <c r="J141" s="2171">
        <f>203+12</f>
        <v>215</v>
      </c>
      <c r="K141" s="1721"/>
    </row>
    <row r="142" spans="1:12" s="1722" customFormat="1" ht="15.75">
      <c r="A142" s="1789"/>
      <c r="B142" s="1472"/>
      <c r="C142" s="2166" t="s">
        <v>591</v>
      </c>
      <c r="D142" s="2262" t="s">
        <v>592</v>
      </c>
      <c r="E142" s="2258"/>
      <c r="F142" s="2169"/>
      <c r="G142" s="2169"/>
      <c r="H142" s="2170">
        <f t="shared" si="2"/>
        <v>418</v>
      </c>
      <c r="I142" s="2170">
        <v>418</v>
      </c>
      <c r="J142" s="2171"/>
      <c r="K142" s="1721"/>
      <c r="L142" s="2393"/>
    </row>
    <row r="143" spans="1:11" s="1722" customFormat="1" ht="15.75">
      <c r="A143" s="1789"/>
      <c r="B143" s="1472"/>
      <c r="C143" s="2166" t="s">
        <v>85</v>
      </c>
      <c r="D143" s="2262" t="s">
        <v>592</v>
      </c>
      <c r="E143" s="2258"/>
      <c r="F143" s="2169"/>
      <c r="G143" s="2169"/>
      <c r="H143" s="2170">
        <f t="shared" si="2"/>
        <v>15149</v>
      </c>
      <c r="I143" s="2259"/>
      <c r="J143" s="2171">
        <f>10464+5096-411</f>
        <v>15149</v>
      </c>
      <c r="K143" s="1721"/>
    </row>
    <row r="144" spans="1:11" s="1722" customFormat="1" ht="15.75">
      <c r="A144" s="1789"/>
      <c r="B144" s="1472"/>
      <c r="C144" s="2166" t="s">
        <v>86</v>
      </c>
      <c r="D144" s="2262" t="s">
        <v>592</v>
      </c>
      <c r="E144" s="2258"/>
      <c r="F144" s="2169"/>
      <c r="G144" s="2169"/>
      <c r="H144" s="2170">
        <f t="shared" si="2"/>
        <v>9018</v>
      </c>
      <c r="I144" s="2259"/>
      <c r="J144" s="2171">
        <f>8650+692-324</f>
        <v>9018</v>
      </c>
      <c r="K144" s="1721"/>
    </row>
    <row r="145" spans="1:11" s="1722" customFormat="1" ht="15.75">
      <c r="A145" s="1789"/>
      <c r="B145" s="1472"/>
      <c r="C145" s="2166" t="s">
        <v>593</v>
      </c>
      <c r="D145" s="2262" t="s">
        <v>88</v>
      </c>
      <c r="E145" s="2258"/>
      <c r="F145" s="2169"/>
      <c r="G145" s="2169"/>
      <c r="H145" s="2170">
        <f t="shared" si="2"/>
        <v>82</v>
      </c>
      <c r="I145" s="2170">
        <v>82</v>
      </c>
      <c r="J145" s="2171"/>
      <c r="K145" s="1721"/>
    </row>
    <row r="146" spans="1:11" s="1722" customFormat="1" ht="15.75">
      <c r="A146" s="1789"/>
      <c r="B146" s="1472"/>
      <c r="C146" s="2166" t="s">
        <v>87</v>
      </c>
      <c r="D146" s="2262" t="s">
        <v>88</v>
      </c>
      <c r="E146" s="2258"/>
      <c r="F146" s="2169"/>
      <c r="G146" s="2169"/>
      <c r="H146" s="2170">
        <f t="shared" si="2"/>
        <v>2440</v>
      </c>
      <c r="I146" s="2170"/>
      <c r="J146" s="2171">
        <f>1654+852-66</f>
        <v>2440</v>
      </c>
      <c r="K146" s="1721"/>
    </row>
    <row r="147" spans="1:11" s="1722" customFormat="1" ht="15.75">
      <c r="A147" s="1789"/>
      <c r="B147" s="1472"/>
      <c r="C147" s="2166" t="s">
        <v>89</v>
      </c>
      <c r="D147" s="2262" t="s">
        <v>88</v>
      </c>
      <c r="E147" s="2258"/>
      <c r="F147" s="2169"/>
      <c r="G147" s="2169"/>
      <c r="H147" s="2170">
        <f t="shared" si="2"/>
        <v>1450</v>
      </c>
      <c r="I147" s="2170"/>
      <c r="J147" s="2171">
        <f>1391+112-53</f>
        <v>1450</v>
      </c>
      <c r="K147" s="1721"/>
    </row>
    <row r="148" spans="1:11" s="1722" customFormat="1" ht="15.75">
      <c r="A148" s="1789"/>
      <c r="B148" s="1472"/>
      <c r="C148" s="2166" t="s">
        <v>730</v>
      </c>
      <c r="D148" s="2262" t="s">
        <v>609</v>
      </c>
      <c r="E148" s="2258"/>
      <c r="F148" s="2169"/>
      <c r="G148" s="2169"/>
      <c r="H148" s="2170">
        <f t="shared" si="2"/>
        <v>2830</v>
      </c>
      <c r="I148" s="2170">
        <v>2830</v>
      </c>
      <c r="J148" s="2171"/>
      <c r="K148" s="1721"/>
    </row>
    <row r="149" spans="1:11" s="1722" customFormat="1" ht="14.25" customHeight="1">
      <c r="A149" s="1789"/>
      <c r="B149" s="1472"/>
      <c r="C149" s="2166" t="s">
        <v>90</v>
      </c>
      <c r="D149" s="2262" t="s">
        <v>609</v>
      </c>
      <c r="E149" s="2258"/>
      <c r="F149" s="2169"/>
      <c r="G149" s="2169"/>
      <c r="H149" s="2170">
        <f t="shared" si="2"/>
        <v>103341</v>
      </c>
      <c r="I149" s="2259"/>
      <c r="J149" s="2171">
        <f>71740+31124+477</f>
        <v>103341</v>
      </c>
      <c r="K149" s="1721"/>
    </row>
    <row r="150" spans="1:11" s="1722" customFormat="1" ht="15.75">
      <c r="A150" s="1789"/>
      <c r="B150" s="1472"/>
      <c r="C150" s="2166" t="s">
        <v>91</v>
      </c>
      <c r="D150" s="2262" t="s">
        <v>609</v>
      </c>
      <c r="E150" s="2258"/>
      <c r="F150" s="2169"/>
      <c r="G150" s="2169"/>
      <c r="H150" s="2170">
        <f t="shared" si="2"/>
        <v>61550</v>
      </c>
      <c r="I150" s="2259"/>
      <c r="J150" s="2171">
        <f>56883+4290+377</f>
        <v>61550</v>
      </c>
      <c r="K150" s="1721"/>
    </row>
    <row r="151" spans="1:11" s="1722" customFormat="1" ht="15.75">
      <c r="A151" s="1789"/>
      <c r="B151" s="1472"/>
      <c r="C151" s="2166" t="s">
        <v>696</v>
      </c>
      <c r="D151" s="2262" t="s">
        <v>605</v>
      </c>
      <c r="E151" s="2258"/>
      <c r="F151" s="2169"/>
      <c r="G151" s="2169"/>
      <c r="H151" s="2170">
        <f t="shared" si="2"/>
        <v>15000</v>
      </c>
      <c r="I151" s="2170">
        <f>5000+10000</f>
        <v>15000</v>
      </c>
      <c r="J151" s="2171"/>
      <c r="K151" s="1721"/>
    </row>
    <row r="152" spans="1:11" s="1722" customFormat="1" ht="15.75">
      <c r="A152" s="1789"/>
      <c r="B152" s="1472"/>
      <c r="C152" s="2166" t="s">
        <v>92</v>
      </c>
      <c r="D152" s="2262" t="s">
        <v>605</v>
      </c>
      <c r="E152" s="2258"/>
      <c r="F152" s="2169"/>
      <c r="G152" s="2169"/>
      <c r="H152" s="2170">
        <f t="shared" si="2"/>
        <v>66190</v>
      </c>
      <c r="I152" s="2259"/>
      <c r="J152" s="2171">
        <f>35427+34612-3849</f>
        <v>66190</v>
      </c>
      <c r="K152" s="1721"/>
    </row>
    <row r="153" spans="1:11" s="1722" customFormat="1" ht="15.75">
      <c r="A153" s="1789"/>
      <c r="B153" s="1472"/>
      <c r="C153" s="2166" t="s">
        <v>93</v>
      </c>
      <c r="D153" s="2262" t="s">
        <v>605</v>
      </c>
      <c r="E153" s="2258"/>
      <c r="F153" s="2169"/>
      <c r="G153" s="2169"/>
      <c r="H153" s="2170">
        <f t="shared" si="2"/>
        <v>13769</v>
      </c>
      <c r="I153" s="2259"/>
      <c r="J153" s="2171">
        <f>10131+3690-52</f>
        <v>13769</v>
      </c>
      <c r="K153" s="1721"/>
    </row>
    <row r="154" spans="1:11" s="1722" customFormat="1" ht="30">
      <c r="A154" s="1789"/>
      <c r="B154" s="1472"/>
      <c r="C154" s="2166" t="s">
        <v>697</v>
      </c>
      <c r="D154" s="2263" t="s">
        <v>698</v>
      </c>
      <c r="E154" s="2258"/>
      <c r="F154" s="2169"/>
      <c r="G154" s="2169"/>
      <c r="H154" s="2170">
        <f t="shared" si="2"/>
        <v>6215</v>
      </c>
      <c r="I154" s="2259"/>
      <c r="J154" s="2171">
        <v>6215</v>
      </c>
      <c r="K154" s="1721"/>
    </row>
    <row r="155" spans="1:11" s="1722" customFormat="1" ht="30">
      <c r="A155" s="1789"/>
      <c r="B155" s="1472"/>
      <c r="C155" s="2166" t="s">
        <v>699</v>
      </c>
      <c r="D155" s="2263" t="s">
        <v>698</v>
      </c>
      <c r="E155" s="2258"/>
      <c r="F155" s="2169"/>
      <c r="G155" s="2169"/>
      <c r="H155" s="2170">
        <f t="shared" si="2"/>
        <v>85</v>
      </c>
      <c r="I155" s="2259"/>
      <c r="J155" s="2171">
        <v>85</v>
      </c>
      <c r="K155" s="1721"/>
    </row>
    <row r="156" spans="1:11" s="1722" customFormat="1" ht="15.75">
      <c r="A156" s="1789"/>
      <c r="B156" s="1472"/>
      <c r="C156" s="2264">
        <v>4300</v>
      </c>
      <c r="D156" s="2265" t="s">
        <v>606</v>
      </c>
      <c r="E156" s="2258"/>
      <c r="F156" s="2169"/>
      <c r="G156" s="2169"/>
      <c r="H156" s="2170">
        <f t="shared" si="2"/>
        <v>8113</v>
      </c>
      <c r="I156" s="2170">
        <f>23113-5000-10000</f>
        <v>8113</v>
      </c>
      <c r="J156" s="2171"/>
      <c r="K156" s="1721"/>
    </row>
    <row r="157" spans="1:11" s="1725" customFormat="1" ht="15">
      <c r="A157" s="1723"/>
      <c r="B157" s="1474"/>
      <c r="C157" s="2264">
        <v>4308</v>
      </c>
      <c r="D157" s="2265" t="s">
        <v>606</v>
      </c>
      <c r="E157" s="2168"/>
      <c r="F157" s="2169"/>
      <c r="G157" s="2169"/>
      <c r="H157" s="2170">
        <f t="shared" si="2"/>
        <v>267984</v>
      </c>
      <c r="I157" s="2170"/>
      <c r="J157" s="2171">
        <f>337578-135729+147471-85185+3849</f>
        <v>267984</v>
      </c>
      <c r="K157" s="1724"/>
    </row>
    <row r="158" spans="1:11" s="1725" customFormat="1" ht="15">
      <c r="A158" s="1723"/>
      <c r="B158" s="1474"/>
      <c r="C158" s="2264">
        <v>4309</v>
      </c>
      <c r="D158" s="2265" t="s">
        <v>606</v>
      </c>
      <c r="E158" s="2168"/>
      <c r="F158" s="2169"/>
      <c r="G158" s="2169"/>
      <c r="H158" s="2170">
        <f t="shared" si="2"/>
        <v>3568</v>
      </c>
      <c r="I158" s="2170">
        <f>35259-33721</f>
        <v>1538</v>
      </c>
      <c r="J158" s="2171">
        <f>59573-59573+1978+52</f>
        <v>2030</v>
      </c>
      <c r="K158" s="1724"/>
    </row>
    <row r="159" spans="1:11" s="1725" customFormat="1" ht="15">
      <c r="A159" s="1723"/>
      <c r="B159" s="1474"/>
      <c r="C159" s="2264">
        <v>4430</v>
      </c>
      <c r="D159" s="2265" t="s">
        <v>614</v>
      </c>
      <c r="E159" s="2168"/>
      <c r="F159" s="2169"/>
      <c r="G159" s="2169"/>
      <c r="H159" s="2170">
        <f t="shared" si="2"/>
        <v>480</v>
      </c>
      <c r="I159" s="2170">
        <v>480</v>
      </c>
      <c r="J159" s="2171"/>
      <c r="K159" s="1724"/>
    </row>
    <row r="160" spans="1:11" s="1725" customFormat="1" ht="45">
      <c r="A160" s="1723"/>
      <c r="B160" s="1474"/>
      <c r="C160" s="2166" t="s">
        <v>106</v>
      </c>
      <c r="D160" s="2266" t="s">
        <v>617</v>
      </c>
      <c r="E160" s="2168"/>
      <c r="F160" s="2169"/>
      <c r="G160" s="2169"/>
      <c r="H160" s="2170">
        <f t="shared" si="2"/>
        <v>160</v>
      </c>
      <c r="I160" s="2170"/>
      <c r="J160" s="2171">
        <f>488-328</f>
        <v>160</v>
      </c>
      <c r="K160" s="1724"/>
    </row>
    <row r="161" spans="1:11" s="1725" customFormat="1" ht="45">
      <c r="A161" s="1723"/>
      <c r="B161" s="1474"/>
      <c r="C161" s="2571" t="s">
        <v>107</v>
      </c>
      <c r="D161" s="2572" t="s">
        <v>617</v>
      </c>
      <c r="E161" s="2398"/>
      <c r="F161" s="2399"/>
      <c r="G161" s="2399"/>
      <c r="H161" s="2400">
        <f t="shared" si="2"/>
        <v>3</v>
      </c>
      <c r="I161" s="2400"/>
      <c r="J161" s="2401">
        <f>87-84</f>
        <v>3</v>
      </c>
      <c r="K161" s="1724"/>
    </row>
    <row r="162" spans="1:11" s="1725" customFormat="1" ht="42">
      <c r="A162" s="2573"/>
      <c r="B162" s="2574"/>
      <c r="C162" s="2575">
        <v>85395</v>
      </c>
      <c r="D162" s="2576" t="s">
        <v>38</v>
      </c>
      <c r="E162" s="2564"/>
      <c r="F162" s="2565"/>
      <c r="G162" s="2565"/>
      <c r="H162" s="2577">
        <f>I162+J162</f>
        <v>48824</v>
      </c>
      <c r="I162" s="2577"/>
      <c r="J162" s="2568">
        <f>SUM(J163:J170)</f>
        <v>48824</v>
      </c>
      <c r="K162" s="1724"/>
    </row>
    <row r="163" spans="1:11" s="1725" customFormat="1" ht="16.5">
      <c r="A163" s="1723"/>
      <c r="B163" s="1474"/>
      <c r="C163" s="2578">
        <v>4178</v>
      </c>
      <c r="D163" s="2579" t="s">
        <v>39</v>
      </c>
      <c r="E163" s="2580"/>
      <c r="F163" s="2581"/>
      <c r="G163" s="2581"/>
      <c r="H163" s="2582">
        <f>I163+J163</f>
        <v>16898</v>
      </c>
      <c r="I163" s="2582"/>
      <c r="J163" s="2583">
        <v>16898</v>
      </c>
      <c r="K163" s="1724"/>
    </row>
    <row r="164" spans="1:11" s="1725" customFormat="1" ht="16.5">
      <c r="A164" s="1723"/>
      <c r="B164" s="1474"/>
      <c r="C164" s="2578">
        <v>4179</v>
      </c>
      <c r="D164" s="2579" t="s">
        <v>39</v>
      </c>
      <c r="E164" s="1826"/>
      <c r="F164" s="1714"/>
      <c r="G164" s="1714"/>
      <c r="H164" s="1715">
        <f aca="true" t="shared" si="3" ref="H164:H170">I164+J164</f>
        <v>2982</v>
      </c>
      <c r="I164" s="1715"/>
      <c r="J164" s="2583">
        <v>2982</v>
      </c>
      <c r="K164" s="1724"/>
    </row>
    <row r="165" spans="1:11" s="1725" customFormat="1" ht="16.5">
      <c r="A165" s="1723"/>
      <c r="B165" s="1474"/>
      <c r="C165" s="2578">
        <v>4218</v>
      </c>
      <c r="D165" s="2579" t="s">
        <v>605</v>
      </c>
      <c r="E165" s="1826"/>
      <c r="F165" s="1714"/>
      <c r="G165" s="1714"/>
      <c r="H165" s="1715">
        <f t="shared" si="3"/>
        <v>10625</v>
      </c>
      <c r="I165" s="1715"/>
      <c r="J165" s="2583">
        <v>10625</v>
      </c>
      <c r="K165" s="1724"/>
    </row>
    <row r="166" spans="1:11" s="1725" customFormat="1" ht="16.5">
      <c r="A166" s="1723"/>
      <c r="B166" s="1474"/>
      <c r="C166" s="2578">
        <v>4219</v>
      </c>
      <c r="D166" s="2579" t="s">
        <v>605</v>
      </c>
      <c r="E166" s="1826"/>
      <c r="F166" s="1714"/>
      <c r="G166" s="1714"/>
      <c r="H166" s="1715">
        <f t="shared" si="3"/>
        <v>1875</v>
      </c>
      <c r="I166" s="1715"/>
      <c r="J166" s="2583">
        <v>1875</v>
      </c>
      <c r="K166" s="1724"/>
    </row>
    <row r="167" spans="1:11" s="1725" customFormat="1" ht="33">
      <c r="A167" s="1723"/>
      <c r="B167" s="1474"/>
      <c r="C167" s="2584" t="s">
        <v>697</v>
      </c>
      <c r="D167" s="2585" t="s">
        <v>610</v>
      </c>
      <c r="E167" s="1826"/>
      <c r="F167" s="1714"/>
      <c r="G167" s="1714"/>
      <c r="H167" s="1715">
        <f t="shared" si="3"/>
        <v>12277</v>
      </c>
      <c r="I167" s="1715"/>
      <c r="J167" s="2583">
        <v>12277</v>
      </c>
      <c r="K167" s="1724"/>
    </row>
    <row r="168" spans="1:11" s="1725" customFormat="1" ht="33">
      <c r="A168" s="1723"/>
      <c r="B168" s="1474"/>
      <c r="C168" s="2584" t="s">
        <v>699</v>
      </c>
      <c r="D168" s="2585" t="s">
        <v>610</v>
      </c>
      <c r="E168" s="1826"/>
      <c r="F168" s="1714"/>
      <c r="G168" s="1714"/>
      <c r="H168" s="1715">
        <f t="shared" si="3"/>
        <v>2167</v>
      </c>
      <c r="I168" s="1715"/>
      <c r="J168" s="2583">
        <v>2167</v>
      </c>
      <c r="K168" s="1724"/>
    </row>
    <row r="169" spans="1:11" s="1725" customFormat="1" ht="16.5">
      <c r="A169" s="1723"/>
      <c r="B169" s="1474"/>
      <c r="C169" s="2578">
        <v>4308</v>
      </c>
      <c r="D169" s="2579" t="s">
        <v>606</v>
      </c>
      <c r="E169" s="1826"/>
      <c r="F169" s="1714"/>
      <c r="G169" s="1714"/>
      <c r="H169" s="1715">
        <f t="shared" si="3"/>
        <v>1700</v>
      </c>
      <c r="I169" s="1715"/>
      <c r="J169" s="2583">
        <v>1700</v>
      </c>
      <c r="K169" s="1724"/>
    </row>
    <row r="170" spans="1:11" s="1725" customFormat="1" ht="17.25" thickBot="1">
      <c r="A170" s="1723"/>
      <c r="B170" s="2417"/>
      <c r="C170" s="2586">
        <v>4309</v>
      </c>
      <c r="D170" s="2579" t="s">
        <v>606</v>
      </c>
      <c r="E170" s="2407"/>
      <c r="F170" s="2408"/>
      <c r="G170" s="2408"/>
      <c r="H170" s="1715">
        <f t="shared" si="3"/>
        <v>300</v>
      </c>
      <c r="I170" s="2409"/>
      <c r="J170" s="2587">
        <v>300</v>
      </c>
      <c r="K170" s="1724"/>
    </row>
    <row r="171" spans="1:11" s="1722" customFormat="1" ht="45" customHeight="1" thickBot="1" thickTop="1">
      <c r="A171" s="1344">
        <v>854</v>
      </c>
      <c r="B171" s="2158">
        <v>85415</v>
      </c>
      <c r="C171" s="2159"/>
      <c r="D171" s="2160" t="s">
        <v>726</v>
      </c>
      <c r="E171" s="1825"/>
      <c r="F171" s="1038"/>
      <c r="G171" s="1038"/>
      <c r="H171" s="1707">
        <f t="shared" si="2"/>
        <v>1162490</v>
      </c>
      <c r="I171" s="1707">
        <f>SUM(I172:I182)</f>
        <v>10565</v>
      </c>
      <c r="J171" s="2161">
        <f>SUM(J172:J182)</f>
        <v>1151925</v>
      </c>
      <c r="K171" s="1721"/>
    </row>
    <row r="172" spans="1:11" s="1725" customFormat="1" ht="15.75" thickTop="1">
      <c r="A172" s="2162"/>
      <c r="B172" s="2163"/>
      <c r="C172" s="2267" t="s">
        <v>727</v>
      </c>
      <c r="D172" s="2268" t="s">
        <v>728</v>
      </c>
      <c r="E172" s="2269"/>
      <c r="F172" s="2255"/>
      <c r="G172" s="2255"/>
      <c r="H172" s="2256">
        <f t="shared" si="2"/>
        <v>762157</v>
      </c>
      <c r="I172" s="2256"/>
      <c r="J172" s="2235">
        <f>762160-3</f>
        <v>762157</v>
      </c>
      <c r="K172" s="1724"/>
    </row>
    <row r="173" spans="1:11" s="1725" customFormat="1" ht="15">
      <c r="A173" s="2164"/>
      <c r="B173" s="2165"/>
      <c r="C173" s="2166" t="s">
        <v>729</v>
      </c>
      <c r="D173" s="2167" t="s">
        <v>728</v>
      </c>
      <c r="E173" s="2168"/>
      <c r="F173" s="2169"/>
      <c r="G173" s="2169"/>
      <c r="H173" s="2170">
        <f t="shared" si="2"/>
        <v>357836</v>
      </c>
      <c r="I173" s="2170"/>
      <c r="J173" s="2171">
        <f>357840-4</f>
        <v>357836</v>
      </c>
      <c r="K173" s="1724"/>
    </row>
    <row r="174" spans="1:11" s="1725" customFormat="1" ht="15">
      <c r="A174" s="2164"/>
      <c r="B174" s="2165"/>
      <c r="C174" s="2166" t="s">
        <v>730</v>
      </c>
      <c r="D174" s="2262" t="s">
        <v>609</v>
      </c>
      <c r="E174" s="2168"/>
      <c r="F174" s="2169"/>
      <c r="G174" s="2169"/>
      <c r="H174" s="2170">
        <f t="shared" si="2"/>
        <v>10000</v>
      </c>
      <c r="I174" s="2170">
        <v>10000</v>
      </c>
      <c r="J174" s="2171"/>
      <c r="K174" s="1724"/>
    </row>
    <row r="175" spans="1:11" s="1725" customFormat="1" ht="15">
      <c r="A175" s="2164"/>
      <c r="B175" s="2165"/>
      <c r="C175" s="2166" t="s">
        <v>92</v>
      </c>
      <c r="D175" s="2262" t="s">
        <v>605</v>
      </c>
      <c r="E175" s="2168"/>
      <c r="F175" s="2169"/>
      <c r="G175" s="2169"/>
      <c r="H175" s="2170">
        <f t="shared" si="2"/>
        <v>6682</v>
      </c>
      <c r="I175" s="2170"/>
      <c r="J175" s="2171">
        <f>7870-1188</f>
        <v>6682</v>
      </c>
      <c r="K175" s="1724"/>
    </row>
    <row r="176" spans="1:11" s="1725" customFormat="1" ht="15">
      <c r="A176" s="2164"/>
      <c r="B176" s="2165"/>
      <c r="C176" s="2166" t="s">
        <v>93</v>
      </c>
      <c r="D176" s="2262" t="s">
        <v>605</v>
      </c>
      <c r="E176" s="2168"/>
      <c r="F176" s="2169"/>
      <c r="G176" s="2169"/>
      <c r="H176" s="2170">
        <f t="shared" si="2"/>
        <v>3134</v>
      </c>
      <c r="I176" s="2170"/>
      <c r="J176" s="2171">
        <f>3695-561</f>
        <v>3134</v>
      </c>
      <c r="K176" s="1724"/>
    </row>
    <row r="177" spans="1:11" s="1725" customFormat="1" ht="15">
      <c r="A177" s="2164"/>
      <c r="B177" s="2165"/>
      <c r="C177" s="2264">
        <v>4308</v>
      </c>
      <c r="D177" s="2265" t="s">
        <v>606</v>
      </c>
      <c r="E177" s="2168"/>
      <c r="F177" s="2169"/>
      <c r="G177" s="2169"/>
      <c r="H177" s="2170">
        <f t="shared" si="2"/>
        <v>14240</v>
      </c>
      <c r="I177" s="2170"/>
      <c r="J177" s="2171">
        <v>14240</v>
      </c>
      <c r="K177" s="1724"/>
    </row>
    <row r="178" spans="1:11" s="1725" customFormat="1" ht="15">
      <c r="A178" s="2394"/>
      <c r="B178" s="2395"/>
      <c r="C178" s="2396">
        <v>4309</v>
      </c>
      <c r="D178" s="2397" t="s">
        <v>606</v>
      </c>
      <c r="E178" s="2398"/>
      <c r="F178" s="2399"/>
      <c r="G178" s="2399"/>
      <c r="H178" s="2400">
        <f t="shared" si="2"/>
        <v>6685</v>
      </c>
      <c r="I178" s="2400"/>
      <c r="J178" s="2401">
        <v>6685</v>
      </c>
      <c r="K178" s="2402"/>
    </row>
    <row r="179" spans="1:11" s="2405" customFormat="1" ht="45">
      <c r="A179" s="1723"/>
      <c r="B179" s="1474"/>
      <c r="C179" s="1712">
        <v>4748</v>
      </c>
      <c r="D179" s="2403" t="s">
        <v>617</v>
      </c>
      <c r="E179" s="1826"/>
      <c r="F179" s="1714"/>
      <c r="G179" s="1714"/>
      <c r="H179" s="1715"/>
      <c r="I179" s="1715"/>
      <c r="J179" s="1716">
        <v>1147</v>
      </c>
      <c r="K179" s="2404"/>
    </row>
    <row r="180" spans="1:11" s="2405" customFormat="1" ht="45">
      <c r="A180" s="1723"/>
      <c r="B180" s="1474"/>
      <c r="C180" s="1712">
        <v>4749</v>
      </c>
      <c r="D180" s="2403" t="s">
        <v>617</v>
      </c>
      <c r="E180" s="1826"/>
      <c r="F180" s="1714"/>
      <c r="G180" s="1714"/>
      <c r="H180" s="1715"/>
      <c r="I180" s="1715">
        <v>542</v>
      </c>
      <c r="J180" s="1716"/>
      <c r="K180" s="2404"/>
    </row>
    <row r="181" spans="1:11" s="2405" customFormat="1" ht="25.5">
      <c r="A181" s="1723"/>
      <c r="B181" s="1474"/>
      <c r="C181" s="1712">
        <v>4758</v>
      </c>
      <c r="D181" s="2252" t="s">
        <v>109</v>
      </c>
      <c r="E181" s="1826"/>
      <c r="F181" s="1714"/>
      <c r="G181" s="1714"/>
      <c r="H181" s="1715"/>
      <c r="I181" s="1715"/>
      <c r="J181" s="1716">
        <v>44</v>
      </c>
      <c r="K181" s="2404"/>
    </row>
    <row r="182" spans="1:11" s="1725" customFormat="1" ht="26.25" thickBot="1">
      <c r="A182" s="1723"/>
      <c r="B182" s="1474"/>
      <c r="C182" s="2406">
        <v>4759</v>
      </c>
      <c r="D182" s="2254" t="s">
        <v>109</v>
      </c>
      <c r="E182" s="2407"/>
      <c r="F182" s="2408"/>
      <c r="G182" s="2408"/>
      <c r="H182" s="2409"/>
      <c r="I182" s="2409">
        <v>23</v>
      </c>
      <c r="J182" s="2410"/>
      <c r="K182" s="2411"/>
    </row>
    <row r="183" spans="1:11" s="1722" customFormat="1" ht="30" thickBot="1" thickTop="1">
      <c r="A183" s="843">
        <v>900</v>
      </c>
      <c r="B183" s="1038">
        <v>90095</v>
      </c>
      <c r="C183" s="1704"/>
      <c r="D183" s="1736" t="s">
        <v>112</v>
      </c>
      <c r="E183" s="1704" t="s">
        <v>113</v>
      </c>
      <c r="F183" s="1706">
        <v>2006</v>
      </c>
      <c r="G183" s="1706">
        <v>2010</v>
      </c>
      <c r="H183" s="1720">
        <f t="shared" si="2"/>
        <v>100000</v>
      </c>
      <c r="I183" s="1720">
        <f>SUM(I184:I194)</f>
        <v>4200</v>
      </c>
      <c r="J183" s="1708">
        <f>SUM(J184:J194)</f>
        <v>95800</v>
      </c>
      <c r="K183" s="1721">
        <f>J183/H183*100</f>
        <v>95.8</v>
      </c>
    </row>
    <row r="184" spans="1:11" s="1725" customFormat="1" ht="15.75" thickTop="1">
      <c r="A184" s="987"/>
      <c r="B184" s="1737"/>
      <c r="C184" s="2271">
        <v>4178</v>
      </c>
      <c r="D184" s="2272" t="s">
        <v>609</v>
      </c>
      <c r="E184" s="2271"/>
      <c r="F184" s="2273"/>
      <c r="G184" s="2273"/>
      <c r="H184" s="2274">
        <f>I184+J184</f>
        <v>10000</v>
      </c>
      <c r="I184" s="2275"/>
      <c r="J184" s="2276">
        <v>10000</v>
      </c>
      <c r="K184" s="1738"/>
    </row>
    <row r="185" spans="1:11" s="1725" customFormat="1" ht="15">
      <c r="A185" s="987"/>
      <c r="B185" s="1737"/>
      <c r="C185" s="2264">
        <v>4210</v>
      </c>
      <c r="D185" s="2277" t="s">
        <v>605</v>
      </c>
      <c r="E185" s="2264"/>
      <c r="F185" s="2278"/>
      <c r="G185" s="2278"/>
      <c r="H185" s="2279">
        <f aca="true" t="shared" si="4" ref="H185:H194">I185+J185</f>
        <v>100</v>
      </c>
      <c r="I185" s="2280">
        <v>100</v>
      </c>
      <c r="J185" s="2281"/>
      <c r="K185" s="1738"/>
    </row>
    <row r="186" spans="1:11" s="1725" customFormat="1" ht="15">
      <c r="A186" s="987"/>
      <c r="B186" s="1737"/>
      <c r="C186" s="2264">
        <v>4218</v>
      </c>
      <c r="D186" s="2277" t="s">
        <v>605</v>
      </c>
      <c r="E186" s="2264"/>
      <c r="F186" s="2278"/>
      <c r="G186" s="2278"/>
      <c r="H186" s="2279">
        <f t="shared" si="4"/>
        <v>3000</v>
      </c>
      <c r="I186" s="2280"/>
      <c r="J186" s="2281">
        <v>3000</v>
      </c>
      <c r="K186" s="1738"/>
    </row>
    <row r="187" spans="1:11" s="1725" customFormat="1" ht="15">
      <c r="A187" s="987"/>
      <c r="B187" s="1737"/>
      <c r="C187" s="2264">
        <v>4219</v>
      </c>
      <c r="D187" s="2282" t="s">
        <v>114</v>
      </c>
      <c r="E187" s="2264"/>
      <c r="F187" s="2278"/>
      <c r="G187" s="2278"/>
      <c r="H187" s="2279">
        <f t="shared" si="4"/>
        <v>700</v>
      </c>
      <c r="I187" s="2280">
        <v>700</v>
      </c>
      <c r="J187" s="2281"/>
      <c r="K187" s="1738"/>
    </row>
    <row r="188" spans="1:11" s="1725" customFormat="1" ht="15">
      <c r="A188" s="987"/>
      <c r="B188" s="1737"/>
      <c r="C188" s="2264">
        <v>4308</v>
      </c>
      <c r="D188" s="2265" t="s">
        <v>606</v>
      </c>
      <c r="E188" s="2264"/>
      <c r="F188" s="2278"/>
      <c r="G188" s="2278"/>
      <c r="H188" s="2279">
        <f t="shared" si="4"/>
        <v>10000</v>
      </c>
      <c r="I188" s="2280"/>
      <c r="J188" s="2281">
        <v>10000</v>
      </c>
      <c r="K188" s="1738"/>
    </row>
    <row r="189" spans="1:11" s="1725" customFormat="1" ht="15">
      <c r="A189" s="987"/>
      <c r="B189" s="1737"/>
      <c r="C189" s="2264">
        <v>4309</v>
      </c>
      <c r="D189" s="2265" t="s">
        <v>606</v>
      </c>
      <c r="E189" s="2264"/>
      <c r="F189" s="2278"/>
      <c r="G189" s="2278"/>
      <c r="H189" s="2279">
        <f t="shared" si="4"/>
        <v>2200</v>
      </c>
      <c r="I189" s="2280">
        <v>2200</v>
      </c>
      <c r="J189" s="2281"/>
      <c r="K189" s="1738"/>
    </row>
    <row r="190" spans="1:11" s="1725" customFormat="1" ht="15">
      <c r="A190" s="987"/>
      <c r="B190" s="1737"/>
      <c r="C190" s="2264">
        <v>4388</v>
      </c>
      <c r="D190" s="2277" t="s">
        <v>115</v>
      </c>
      <c r="E190" s="2264"/>
      <c r="F190" s="2278"/>
      <c r="G190" s="2278"/>
      <c r="H190" s="2279">
        <f t="shared" si="4"/>
        <v>2800</v>
      </c>
      <c r="I190" s="2280"/>
      <c r="J190" s="2281">
        <v>2800</v>
      </c>
      <c r="K190" s="1738"/>
    </row>
    <row r="191" spans="1:11" s="1725" customFormat="1" ht="30">
      <c r="A191" s="2412"/>
      <c r="B191" s="2413"/>
      <c r="C191" s="2264">
        <v>4398</v>
      </c>
      <c r="D191" s="2277" t="s">
        <v>612</v>
      </c>
      <c r="E191" s="2264"/>
      <c r="F191" s="2278"/>
      <c r="G191" s="2278"/>
      <c r="H191" s="2279">
        <f t="shared" si="4"/>
        <v>60000</v>
      </c>
      <c r="I191" s="2280"/>
      <c r="J191" s="2281">
        <v>60000</v>
      </c>
      <c r="K191" s="1738"/>
    </row>
    <row r="192" spans="1:11" s="1725" customFormat="1" ht="30">
      <c r="A192" s="2414"/>
      <c r="B192" s="2415"/>
      <c r="C192" s="2264">
        <v>4399</v>
      </c>
      <c r="D192" s="2277" t="s">
        <v>612</v>
      </c>
      <c r="E192" s="2264"/>
      <c r="F192" s="2278"/>
      <c r="G192" s="2278"/>
      <c r="H192" s="2279">
        <f t="shared" si="4"/>
        <v>800</v>
      </c>
      <c r="I192" s="2280">
        <v>800</v>
      </c>
      <c r="J192" s="2281"/>
      <c r="K192" s="1738"/>
    </row>
    <row r="193" spans="1:11" s="1725" customFormat="1" ht="15">
      <c r="A193" s="1723"/>
      <c r="B193" s="1474"/>
      <c r="C193" s="2264">
        <v>4420</v>
      </c>
      <c r="D193" s="2277" t="s">
        <v>82</v>
      </c>
      <c r="E193" s="2264"/>
      <c r="F193" s="2278"/>
      <c r="G193" s="2278"/>
      <c r="H193" s="2279">
        <f t="shared" si="4"/>
        <v>400</v>
      </c>
      <c r="I193" s="2280">
        <f>500-100</f>
        <v>400</v>
      </c>
      <c r="J193" s="2281"/>
      <c r="K193" s="1738"/>
    </row>
    <row r="194" spans="1:11" s="1725" customFormat="1" ht="15.75" thickBot="1">
      <c r="A194" s="2416"/>
      <c r="B194" s="2417"/>
      <c r="C194" s="2270">
        <v>4428</v>
      </c>
      <c r="D194" s="2418" t="s">
        <v>82</v>
      </c>
      <c r="E194" s="2270"/>
      <c r="F194" s="2419"/>
      <c r="G194" s="2419"/>
      <c r="H194" s="2420">
        <f t="shared" si="4"/>
        <v>10000</v>
      </c>
      <c r="I194" s="2421"/>
      <c r="J194" s="2422">
        <v>10000</v>
      </c>
      <c r="K194" s="1738"/>
    </row>
    <row r="195" spans="1:10" s="1722" customFormat="1" ht="58.5" thickBot="1" thickTop="1">
      <c r="A195" s="2423">
        <v>921</v>
      </c>
      <c r="B195" s="2424">
        <v>92106</v>
      </c>
      <c r="C195" s="1705" t="s">
        <v>116</v>
      </c>
      <c r="D195" s="2425" t="s">
        <v>117</v>
      </c>
      <c r="E195" s="1704" t="s">
        <v>721</v>
      </c>
      <c r="F195" s="2426">
        <v>2005</v>
      </c>
      <c r="G195" s="2426">
        <v>2009</v>
      </c>
      <c r="H195" s="2427"/>
      <c r="I195" s="2427"/>
      <c r="J195" s="2428"/>
    </row>
    <row r="196" spans="1:10" s="1730" customFormat="1" ht="30.75" thickTop="1">
      <c r="A196" s="2283"/>
      <c r="B196" s="2284"/>
      <c r="C196" s="1939">
        <v>6050</v>
      </c>
      <c r="D196" s="1940" t="s">
        <v>618</v>
      </c>
      <c r="E196" s="1941"/>
      <c r="F196" s="1938"/>
      <c r="G196" s="1938"/>
      <c r="H196" s="1942"/>
      <c r="I196" s="1943"/>
      <c r="J196" s="1740"/>
    </row>
    <row r="197" spans="1:10" s="1730" customFormat="1" ht="14.25">
      <c r="A197" s="1944"/>
      <c r="B197" s="1945">
        <v>92195</v>
      </c>
      <c r="C197" s="1694"/>
      <c r="D197" s="861" t="s">
        <v>268</v>
      </c>
      <c r="E197" s="1946"/>
      <c r="F197" s="1945"/>
      <c r="G197" s="1945"/>
      <c r="H197" s="1947">
        <f>I197+J197</f>
        <v>768038</v>
      </c>
      <c r="I197" s="1948">
        <f>I198</f>
        <v>140641</v>
      </c>
      <c r="J197" s="1949">
        <f>J198</f>
        <v>627397</v>
      </c>
    </row>
    <row r="198" spans="1:10" s="1730" customFormat="1" ht="69" customHeight="1">
      <c r="A198" s="2285"/>
      <c r="B198" s="2286"/>
      <c r="C198" s="2287"/>
      <c r="D198" s="2288" t="s">
        <v>672</v>
      </c>
      <c r="E198" s="2289" t="s">
        <v>673</v>
      </c>
      <c r="F198" s="2290"/>
      <c r="G198" s="2290"/>
      <c r="H198" s="2291">
        <f>I198+J198</f>
        <v>768038</v>
      </c>
      <c r="I198" s="2292">
        <f>SUM(I199:I219)</f>
        <v>140641</v>
      </c>
      <c r="J198" s="2293">
        <f>SUM(J199:J219)</f>
        <v>627397</v>
      </c>
    </row>
    <row r="199" spans="1:10" s="1730" customFormat="1" ht="15">
      <c r="A199" s="1739"/>
      <c r="B199" s="2294"/>
      <c r="C199" s="2295">
        <v>4110</v>
      </c>
      <c r="D199" s="2261" t="s">
        <v>592</v>
      </c>
      <c r="E199" s="2296"/>
      <c r="F199" s="2297"/>
      <c r="G199" s="2297"/>
      <c r="H199" s="2429">
        <f aca="true" t="shared" si="5" ref="H199:H219">I199+J199</f>
        <v>600</v>
      </c>
      <c r="I199" s="2298">
        <v>600</v>
      </c>
      <c r="J199" s="2299"/>
    </row>
    <row r="200" spans="1:10" s="1730" customFormat="1" ht="15">
      <c r="A200" s="1739"/>
      <c r="B200" s="2294"/>
      <c r="C200" s="2295">
        <v>4118</v>
      </c>
      <c r="D200" s="2261" t="s">
        <v>592</v>
      </c>
      <c r="E200" s="2296"/>
      <c r="F200" s="2297"/>
      <c r="G200" s="2297"/>
      <c r="H200" s="2429"/>
      <c r="I200" s="2298"/>
      <c r="J200" s="2299">
        <v>1246</v>
      </c>
    </row>
    <row r="201" spans="1:10" s="1730" customFormat="1" ht="15">
      <c r="A201" s="1739"/>
      <c r="B201" s="2294"/>
      <c r="C201" s="2295">
        <v>4119</v>
      </c>
      <c r="D201" s="2261" t="s">
        <v>592</v>
      </c>
      <c r="E201" s="2296"/>
      <c r="F201" s="2297"/>
      <c r="G201" s="2297"/>
      <c r="H201" s="2429"/>
      <c r="I201" s="2298"/>
      <c r="J201" s="2299">
        <v>220</v>
      </c>
    </row>
    <row r="202" spans="1:10" s="1730" customFormat="1" ht="15">
      <c r="A202" s="1739"/>
      <c r="B202" s="2294"/>
      <c r="C202" s="2295">
        <v>4120</v>
      </c>
      <c r="D202" s="2261" t="s">
        <v>594</v>
      </c>
      <c r="E202" s="2296"/>
      <c r="F202" s="2297"/>
      <c r="G202" s="2297"/>
      <c r="H202" s="2429">
        <f t="shared" si="5"/>
        <v>120</v>
      </c>
      <c r="I202" s="2298">
        <v>120</v>
      </c>
      <c r="J202" s="2299"/>
    </row>
    <row r="203" spans="1:10" s="1730" customFormat="1" ht="15">
      <c r="A203" s="1739"/>
      <c r="B203" s="2294"/>
      <c r="C203" s="2295">
        <v>4128</v>
      </c>
      <c r="D203" s="2261" t="s">
        <v>594</v>
      </c>
      <c r="E203" s="2296"/>
      <c r="F203" s="2297"/>
      <c r="G203" s="2297"/>
      <c r="H203" s="2429"/>
      <c r="I203" s="2298"/>
      <c r="J203" s="2299">
        <v>193</v>
      </c>
    </row>
    <row r="204" spans="1:10" s="1730" customFormat="1" ht="15">
      <c r="A204" s="1739"/>
      <c r="B204" s="2294"/>
      <c r="C204" s="2295">
        <v>4129</v>
      </c>
      <c r="D204" s="2261" t="s">
        <v>594</v>
      </c>
      <c r="E204" s="2296"/>
      <c r="F204" s="2297"/>
      <c r="G204" s="2297"/>
      <c r="H204" s="2429"/>
      <c r="I204" s="2298"/>
      <c r="J204" s="2299">
        <v>34</v>
      </c>
    </row>
    <row r="205" spans="1:10" s="1730" customFormat="1" ht="15">
      <c r="A205" s="1739"/>
      <c r="B205" s="2294"/>
      <c r="C205" s="2295">
        <v>4170</v>
      </c>
      <c r="D205" s="2261" t="s">
        <v>609</v>
      </c>
      <c r="E205" s="2296"/>
      <c r="F205" s="2297"/>
      <c r="G205" s="2297"/>
      <c r="H205" s="2429">
        <f t="shared" si="5"/>
        <v>2000</v>
      </c>
      <c r="I205" s="2298">
        <v>2000</v>
      </c>
      <c r="J205" s="2299"/>
    </row>
    <row r="206" spans="1:10" s="1730" customFormat="1" ht="15">
      <c r="A206" s="1739"/>
      <c r="B206" s="2294"/>
      <c r="C206" s="2295">
        <v>4178</v>
      </c>
      <c r="D206" s="2261" t="s">
        <v>609</v>
      </c>
      <c r="E206" s="2296"/>
      <c r="F206" s="2297"/>
      <c r="G206" s="2297"/>
      <c r="H206" s="2429">
        <f t="shared" si="5"/>
        <v>63978</v>
      </c>
      <c r="I206" s="2298"/>
      <c r="J206" s="2299">
        <f>65417-1439</f>
        <v>63978</v>
      </c>
    </row>
    <row r="207" spans="1:10" s="1730" customFormat="1" ht="15">
      <c r="A207" s="1739"/>
      <c r="B207" s="2294"/>
      <c r="C207" s="2295">
        <v>4179</v>
      </c>
      <c r="D207" s="2261" t="s">
        <v>609</v>
      </c>
      <c r="E207" s="2296"/>
      <c r="F207" s="2297"/>
      <c r="G207" s="2297"/>
      <c r="H207" s="2429">
        <f t="shared" si="5"/>
        <v>11291</v>
      </c>
      <c r="I207" s="2298">
        <f>11545-254</f>
        <v>11291</v>
      </c>
      <c r="J207" s="2299"/>
    </row>
    <row r="208" spans="1:10" s="1730" customFormat="1" ht="15">
      <c r="A208" s="1739"/>
      <c r="B208" s="2294"/>
      <c r="C208" s="2295">
        <v>4210</v>
      </c>
      <c r="D208" s="2261" t="s">
        <v>605</v>
      </c>
      <c r="E208" s="2296"/>
      <c r="F208" s="2297"/>
      <c r="G208" s="2297"/>
      <c r="H208" s="2429">
        <f t="shared" si="5"/>
        <v>2000</v>
      </c>
      <c r="I208" s="2298">
        <v>2000</v>
      </c>
      <c r="J208" s="2299"/>
    </row>
    <row r="209" spans="1:10" s="1730" customFormat="1" ht="15">
      <c r="A209" s="1739"/>
      <c r="B209" s="2294"/>
      <c r="C209" s="2295">
        <v>4218</v>
      </c>
      <c r="D209" s="2261" t="s">
        <v>605</v>
      </c>
      <c r="E209" s="2296"/>
      <c r="F209" s="2297"/>
      <c r="G209" s="2297"/>
      <c r="H209" s="2429">
        <f t="shared" si="5"/>
        <v>31308</v>
      </c>
      <c r="I209" s="2298"/>
      <c r="J209" s="2299">
        <v>31308</v>
      </c>
    </row>
    <row r="210" spans="1:10" s="1730" customFormat="1" ht="15">
      <c r="A210" s="1739"/>
      <c r="B210" s="2294"/>
      <c r="C210" s="2295">
        <v>4219</v>
      </c>
      <c r="D210" s="2261" t="s">
        <v>605</v>
      </c>
      <c r="E210" s="2296"/>
      <c r="F210" s="2297"/>
      <c r="G210" s="2297"/>
      <c r="H210" s="2429">
        <f t="shared" si="5"/>
        <v>5525</v>
      </c>
      <c r="I210" s="2298">
        <v>5525</v>
      </c>
      <c r="J210" s="2299"/>
    </row>
    <row r="211" spans="1:10" s="1730" customFormat="1" ht="15">
      <c r="A211" s="1739"/>
      <c r="B211" s="2294"/>
      <c r="C211" s="2295">
        <v>4300</v>
      </c>
      <c r="D211" s="2261" t="s">
        <v>674</v>
      </c>
      <c r="E211" s="2296"/>
      <c r="F211" s="2297"/>
      <c r="G211" s="2297"/>
      <c r="H211" s="2429">
        <f t="shared" si="5"/>
        <v>14274</v>
      </c>
      <c r="I211" s="2298">
        <f>20000-5726</f>
        <v>14274</v>
      </c>
      <c r="J211" s="2299"/>
    </row>
    <row r="212" spans="1:10" s="1730" customFormat="1" ht="15">
      <c r="A212" s="1739"/>
      <c r="B212" s="2294"/>
      <c r="C212" s="2295">
        <v>4308</v>
      </c>
      <c r="D212" s="2261" t="s">
        <v>674</v>
      </c>
      <c r="E212" s="2296"/>
      <c r="F212" s="2297"/>
      <c r="G212" s="2297"/>
      <c r="H212" s="2429">
        <f t="shared" si="5"/>
        <v>514071</v>
      </c>
      <c r="I212" s="2298"/>
      <c r="J212" s="2299">
        <v>514071</v>
      </c>
    </row>
    <row r="213" spans="1:10" s="1730" customFormat="1" ht="15">
      <c r="A213" s="1739"/>
      <c r="B213" s="2294"/>
      <c r="C213" s="2295">
        <v>4309</v>
      </c>
      <c r="D213" s="2261" t="s">
        <v>674</v>
      </c>
      <c r="E213" s="2296"/>
      <c r="F213" s="2297"/>
      <c r="G213" s="2297"/>
      <c r="H213" s="2429">
        <f t="shared" si="5"/>
        <v>90719</v>
      </c>
      <c r="I213" s="2298">
        <v>90719</v>
      </c>
      <c r="J213" s="2299"/>
    </row>
    <row r="214" spans="1:10" s="1730" customFormat="1" ht="15">
      <c r="A214" s="1739"/>
      <c r="B214" s="2294"/>
      <c r="C214" s="2295">
        <v>4380</v>
      </c>
      <c r="D214" s="2261" t="s">
        <v>115</v>
      </c>
      <c r="E214" s="2296"/>
      <c r="F214" s="2297"/>
      <c r="G214" s="2297"/>
      <c r="H214" s="2429">
        <f t="shared" si="5"/>
        <v>5000</v>
      </c>
      <c r="I214" s="2298">
        <v>5000</v>
      </c>
      <c r="J214" s="2299"/>
    </row>
    <row r="215" spans="1:10" s="1730" customFormat="1" ht="15">
      <c r="A215" s="1739"/>
      <c r="B215" s="2294"/>
      <c r="C215" s="2295">
        <v>4388</v>
      </c>
      <c r="D215" s="2261" t="s">
        <v>115</v>
      </c>
      <c r="E215" s="2296"/>
      <c r="F215" s="2297"/>
      <c r="G215" s="2297"/>
      <c r="H215" s="2429">
        <f t="shared" si="5"/>
        <v>6789</v>
      </c>
      <c r="I215" s="2298"/>
      <c r="J215" s="2299">
        <v>6789</v>
      </c>
    </row>
    <row r="216" spans="1:10" s="1730" customFormat="1" ht="15">
      <c r="A216" s="1739"/>
      <c r="B216" s="2294"/>
      <c r="C216" s="2295">
        <v>4389</v>
      </c>
      <c r="D216" s="2261" t="s">
        <v>115</v>
      </c>
      <c r="E216" s="2296"/>
      <c r="F216" s="2297"/>
      <c r="G216" s="2297"/>
      <c r="H216" s="2429">
        <f t="shared" si="5"/>
        <v>1199</v>
      </c>
      <c r="I216" s="2298">
        <v>1199</v>
      </c>
      <c r="J216" s="2299"/>
    </row>
    <row r="217" spans="1:10" s="1730" customFormat="1" ht="15">
      <c r="A217" s="1739"/>
      <c r="B217" s="2294"/>
      <c r="C217" s="2295">
        <v>4430</v>
      </c>
      <c r="D217" s="2261" t="s">
        <v>614</v>
      </c>
      <c r="E217" s="2296"/>
      <c r="F217" s="2297"/>
      <c r="G217" s="2297"/>
      <c r="H217" s="2429">
        <f t="shared" si="5"/>
        <v>6226</v>
      </c>
      <c r="I217" s="2298">
        <f>500+5726</f>
        <v>6226</v>
      </c>
      <c r="J217" s="2299"/>
    </row>
    <row r="218" spans="1:10" s="1730" customFormat="1" ht="15">
      <c r="A218" s="1739"/>
      <c r="B218" s="2294"/>
      <c r="C218" s="2295">
        <v>4438</v>
      </c>
      <c r="D218" s="2261" t="s">
        <v>614</v>
      </c>
      <c r="E218" s="2296"/>
      <c r="F218" s="2297"/>
      <c r="G218" s="2297"/>
      <c r="H218" s="2429">
        <f t="shared" si="5"/>
        <v>9558</v>
      </c>
      <c r="I218" s="2298"/>
      <c r="J218" s="2299">
        <v>9558</v>
      </c>
    </row>
    <row r="219" spans="1:10" s="1730" customFormat="1" ht="15.75" thickBot="1">
      <c r="A219" s="1739"/>
      <c r="B219" s="2294"/>
      <c r="C219" s="2300">
        <v>4439</v>
      </c>
      <c r="D219" s="2261" t="s">
        <v>614</v>
      </c>
      <c r="E219" s="2296"/>
      <c r="F219" s="2297"/>
      <c r="G219" s="2297"/>
      <c r="H219" s="2429">
        <f t="shared" si="5"/>
        <v>1687</v>
      </c>
      <c r="I219" s="2298">
        <v>1687</v>
      </c>
      <c r="J219" s="2299"/>
    </row>
    <row r="220" spans="1:42" s="1745" customFormat="1" ht="16.5" thickBot="1" thickTop="1">
      <c r="A220" s="1741"/>
      <c r="B220" s="1742"/>
      <c r="C220" s="1743"/>
      <c r="D220" s="1024" t="s">
        <v>126</v>
      </c>
      <c r="E220" s="1024"/>
      <c r="F220" s="1024"/>
      <c r="G220" s="1024"/>
      <c r="H220" s="1025">
        <f>I220+J220</f>
        <v>4977291</v>
      </c>
      <c r="I220" s="848">
        <f>I195+I183+I171+I135+I101+I44+I32+I25+I14+I12+I198+I89+I82+I75+I68+I62+I98+I162</f>
        <v>346263</v>
      </c>
      <c r="J220" s="848">
        <f>J195+J183+J171+J135+J101+J44+J32+J25+J14+J12+J198+J89+J82+J75+J68+J62+J98+J162</f>
        <v>4631028</v>
      </c>
      <c r="K220" s="1744"/>
      <c r="L220" s="1744"/>
      <c r="M220" s="1744"/>
      <c r="N220" s="1744"/>
      <c r="O220" s="1744"/>
      <c r="P220" s="1744"/>
      <c r="Q220" s="1744"/>
      <c r="R220" s="1744"/>
      <c r="S220" s="1744"/>
      <c r="T220" s="1744"/>
      <c r="U220" s="1744"/>
      <c r="V220" s="1744"/>
      <c r="W220" s="1744"/>
      <c r="X220" s="1744"/>
      <c r="Y220" s="1744"/>
      <c r="Z220" s="1744"/>
      <c r="AA220" s="1744"/>
      <c r="AB220" s="1744"/>
      <c r="AC220" s="1744"/>
      <c r="AD220" s="1744"/>
      <c r="AE220" s="1744"/>
      <c r="AF220" s="1744"/>
      <c r="AG220" s="1744"/>
      <c r="AH220" s="1744"/>
      <c r="AI220" s="1744"/>
      <c r="AJ220" s="1744"/>
      <c r="AK220" s="1744"/>
      <c r="AL220" s="1744"/>
      <c r="AM220" s="1744"/>
      <c r="AN220" s="1744"/>
      <c r="AO220" s="1744"/>
      <c r="AP220" s="1744"/>
    </row>
    <row r="221" spans="3:10" s="916" customFormat="1" ht="13.5" thickTop="1">
      <c r="C221" s="1746"/>
      <c r="D221" s="806"/>
      <c r="E221" s="806"/>
      <c r="F221" s="806"/>
      <c r="G221" s="806"/>
      <c r="H221" s="737"/>
      <c r="I221" s="737"/>
      <c r="J221" s="737"/>
    </row>
    <row r="222" spans="1:10" s="916" customFormat="1" ht="12.75">
      <c r="A222" s="87" t="s">
        <v>41</v>
      </c>
      <c r="C222" s="1746"/>
      <c r="D222" s="806"/>
      <c r="E222" s="806"/>
      <c r="F222" s="806"/>
      <c r="G222" s="806"/>
      <c r="H222" s="1747"/>
      <c r="I222" s="737"/>
      <c r="J222" s="737"/>
    </row>
    <row r="223" ht="12.75">
      <c r="A223" s="87" t="s">
        <v>181</v>
      </c>
    </row>
    <row r="224" ht="12.75">
      <c r="A224" s="87" t="s">
        <v>40</v>
      </c>
    </row>
  </sheetData>
  <mergeCells count="2">
    <mergeCell ref="F9:G9"/>
    <mergeCell ref="I9:J9"/>
  </mergeCells>
  <printOptions horizontalCentered="1"/>
  <pageMargins left="0.21" right="0.21" top="0.42" bottom="0.16" header="0.27" footer="0.34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3">
      <selection activeCell="A58" sqref="A58"/>
    </sheetView>
  </sheetViews>
  <sheetFormatPr defaultColWidth="9.00390625" defaultRowHeight="12.75"/>
  <cols>
    <col min="1" max="1" width="3.75390625" style="123" customWidth="1"/>
    <col min="2" max="2" width="37.00390625" style="91" customWidth="1"/>
    <col min="3" max="3" width="13.75390625" style="91" customWidth="1"/>
    <col min="4" max="4" width="5.75390625" style="93" customWidth="1"/>
    <col min="5" max="5" width="14.25390625" style="91" customWidth="1"/>
    <col min="6" max="6" width="7.125" style="102" customWidth="1"/>
    <col min="7" max="7" width="11.75390625" style="91" customWidth="1"/>
    <col min="8" max="8" width="4.75390625" style="93" customWidth="1"/>
    <col min="9" max="16384" width="10.00390625" style="91" customWidth="1"/>
  </cols>
  <sheetData>
    <row r="1" spans="1:6" ht="13.5" customHeight="1">
      <c r="A1" s="90"/>
      <c r="B1" s="1987"/>
      <c r="E1" s="672" t="s">
        <v>182</v>
      </c>
      <c r="F1" s="672"/>
    </row>
    <row r="2" spans="1:6" ht="12" customHeight="1">
      <c r="A2" s="96"/>
      <c r="B2" s="95"/>
      <c r="E2" s="4" t="s">
        <v>746</v>
      </c>
      <c r="F2" s="4"/>
    </row>
    <row r="3" spans="1:7" ht="10.5" customHeight="1">
      <c r="A3" s="96"/>
      <c r="B3" s="95"/>
      <c r="E3" s="4" t="s">
        <v>747</v>
      </c>
      <c r="F3" s="4"/>
      <c r="G3" s="916"/>
    </row>
    <row r="4" spans="1:5" ht="6.75" customHeight="1">
      <c r="A4" s="96"/>
      <c r="B4" s="95"/>
      <c r="E4" s="93"/>
    </row>
    <row r="5" spans="1:8" s="2320" customFormat="1" ht="24" customHeight="1">
      <c r="A5" s="2314" t="s">
        <v>184</v>
      </c>
      <c r="B5" s="2315"/>
      <c r="C5" s="2315"/>
      <c r="D5" s="2316"/>
      <c r="E5" s="2315"/>
      <c r="F5" s="2317"/>
      <c r="G5" s="2318"/>
      <c r="H5" s="2319"/>
    </row>
    <row r="6" spans="1:8" s="2322" customFormat="1" ht="14.25" customHeight="1">
      <c r="A6" s="2321" t="s">
        <v>185</v>
      </c>
      <c r="C6" s="2323"/>
      <c r="D6" s="2324"/>
      <c r="E6" s="2323"/>
      <c r="F6" s="2325"/>
      <c r="G6" s="2326" t="s">
        <v>121</v>
      </c>
      <c r="H6" s="2327"/>
    </row>
    <row r="7" spans="1:8" ht="19.5" customHeight="1" thickBot="1">
      <c r="A7" s="1988" t="s">
        <v>525</v>
      </c>
      <c r="C7" s="103"/>
      <c r="D7" s="104"/>
      <c r="E7" s="103"/>
      <c r="F7" s="105"/>
      <c r="G7" s="106"/>
      <c r="H7" s="107"/>
    </row>
    <row r="8" spans="1:8" s="112" customFormat="1" ht="16.5" customHeight="1" thickBot="1" thickTop="1">
      <c r="A8" s="1989"/>
      <c r="B8" s="1990"/>
      <c r="C8" s="108" t="s">
        <v>126</v>
      </c>
      <c r="D8" s="109"/>
      <c r="E8" s="108" t="s">
        <v>186</v>
      </c>
      <c r="F8" s="1991"/>
      <c r="G8" s="1992" t="s">
        <v>187</v>
      </c>
      <c r="H8" s="1993"/>
    </row>
    <row r="9" spans="1:8" s="112" customFormat="1" ht="34.5" customHeight="1" thickBot="1" thickTop="1">
      <c r="A9" s="110" t="s">
        <v>188</v>
      </c>
      <c r="B9" s="111" t="s">
        <v>123</v>
      </c>
      <c r="C9" s="1994" t="s">
        <v>704</v>
      </c>
      <c r="D9" s="1995" t="s">
        <v>189</v>
      </c>
      <c r="E9" s="1996" t="s">
        <v>705</v>
      </c>
      <c r="F9" s="1997" t="s">
        <v>189</v>
      </c>
      <c r="G9" s="1996" t="s">
        <v>705</v>
      </c>
      <c r="H9" s="1998" t="s">
        <v>189</v>
      </c>
    </row>
    <row r="10" spans="1:8" s="2005" customFormat="1" ht="10.5" customHeight="1" thickBot="1" thickTop="1">
      <c r="A10" s="1999">
        <v>1</v>
      </c>
      <c r="B10" s="2000">
        <v>2</v>
      </c>
      <c r="C10" s="2001">
        <v>3</v>
      </c>
      <c r="D10" s="2002">
        <v>4</v>
      </c>
      <c r="E10" s="2003">
        <v>5</v>
      </c>
      <c r="F10" s="2004">
        <v>6</v>
      </c>
      <c r="G10" s="2001">
        <v>7</v>
      </c>
      <c r="H10" s="2004">
        <v>8</v>
      </c>
    </row>
    <row r="11" spans="1:10" s="117" customFormat="1" ht="15" customHeight="1" thickTop="1">
      <c r="A11" s="113" t="s">
        <v>190</v>
      </c>
      <c r="B11" s="114" t="s">
        <v>191</v>
      </c>
      <c r="C11" s="115">
        <f>E11+G11</f>
        <v>207145232</v>
      </c>
      <c r="D11" s="116">
        <f>F11+H11</f>
        <v>58.69136019797708</v>
      </c>
      <c r="E11" s="115">
        <f>SUM(E12:E13)</f>
        <v>178823381</v>
      </c>
      <c r="F11" s="116">
        <f>E11/$C$53*100</f>
        <v>50.666806881131066</v>
      </c>
      <c r="G11" s="115">
        <f>G14+G19+G23+G31+G34</f>
        <v>28321851</v>
      </c>
      <c r="H11" s="116">
        <f>G11/$C$53*100</f>
        <v>8.024553316846015</v>
      </c>
      <c r="J11" s="2006"/>
    </row>
    <row r="12" spans="1:8" s="2006" customFormat="1" ht="12" customHeight="1">
      <c r="A12" s="2007"/>
      <c r="B12" s="2008" t="s">
        <v>192</v>
      </c>
      <c r="C12" s="2009">
        <f>C14+C19+C24+C31+C34</f>
        <v>185207332</v>
      </c>
      <c r="D12" s="2010"/>
      <c r="E12" s="2009">
        <f>E14+E19+E24+E31+E34-E35</f>
        <v>156884176</v>
      </c>
      <c r="F12" s="2010"/>
      <c r="G12" s="2009">
        <f>G14+G19+G24+G31+G34-G35</f>
        <v>28314851</v>
      </c>
      <c r="H12" s="2010"/>
    </row>
    <row r="13" spans="1:8" s="2011" customFormat="1" ht="14.25" customHeight="1" thickBot="1">
      <c r="A13" s="2007"/>
      <c r="B13" s="2008" t="s">
        <v>193</v>
      </c>
      <c r="C13" s="2009">
        <f>C26+C28</f>
        <v>21937900</v>
      </c>
      <c r="D13" s="2010"/>
      <c r="E13" s="2009">
        <f>E26+E28+E35</f>
        <v>21939205</v>
      </c>
      <c r="F13" s="2010"/>
      <c r="G13" s="2009">
        <f>G35</f>
        <v>7000</v>
      </c>
      <c r="H13" s="2010"/>
    </row>
    <row r="14" spans="1:9" s="2018" customFormat="1" ht="18" customHeight="1" thickTop="1">
      <c r="A14" s="2012" t="s">
        <v>194</v>
      </c>
      <c r="B14" s="2013" t="s">
        <v>195</v>
      </c>
      <c r="C14" s="2014">
        <f>E14+G14</f>
        <v>43543189</v>
      </c>
      <c r="D14" s="2015">
        <f>F14+H14</f>
        <v>12.337281264420286</v>
      </c>
      <c r="E14" s="2014">
        <f>SUM(E15:E18)</f>
        <v>43543189</v>
      </c>
      <c r="F14" s="2015">
        <f>E14/$C$53*100</f>
        <v>12.337281264420286</v>
      </c>
      <c r="G14" s="2016"/>
      <c r="H14" s="2015"/>
      <c r="I14" s="2017"/>
    </row>
    <row r="15" spans="1:8" s="112" customFormat="1" ht="15" customHeight="1">
      <c r="A15" s="2019">
        <v>1</v>
      </c>
      <c r="B15" s="2020" t="s">
        <v>196</v>
      </c>
      <c r="C15" s="2021">
        <f aca="true" t="shared" si="0" ref="C15:C23">E15+G15</f>
        <v>39628206</v>
      </c>
      <c r="D15" s="2010"/>
      <c r="E15" s="2022">
        <v>39628206</v>
      </c>
      <c r="F15" s="2010"/>
      <c r="G15" s="2022"/>
      <c r="H15" s="2023"/>
    </row>
    <row r="16" spans="1:8" s="112" customFormat="1" ht="15" customHeight="1">
      <c r="A16" s="2019">
        <v>2</v>
      </c>
      <c r="B16" s="2020" t="s">
        <v>197</v>
      </c>
      <c r="C16" s="2021">
        <f t="shared" si="0"/>
        <v>771433</v>
      </c>
      <c r="D16" s="2010"/>
      <c r="E16" s="2022">
        <v>771433</v>
      </c>
      <c r="F16" s="2010"/>
      <c r="G16" s="2022"/>
      <c r="H16" s="2023"/>
    </row>
    <row r="17" spans="1:8" s="112" customFormat="1" ht="15" customHeight="1">
      <c r="A17" s="2019">
        <v>3</v>
      </c>
      <c r="B17" s="2020" t="s">
        <v>198</v>
      </c>
      <c r="C17" s="2021">
        <f t="shared" si="0"/>
        <v>2243550</v>
      </c>
      <c r="D17" s="2010"/>
      <c r="E17" s="2022">
        <v>2243550</v>
      </c>
      <c r="F17" s="2010"/>
      <c r="G17" s="2022"/>
      <c r="H17" s="2023"/>
    </row>
    <row r="18" spans="1:8" s="112" customFormat="1" ht="15" customHeight="1">
      <c r="A18" s="2019">
        <v>4</v>
      </c>
      <c r="B18" s="2020" t="s">
        <v>199</v>
      </c>
      <c r="C18" s="2021">
        <f t="shared" si="0"/>
        <v>900000</v>
      </c>
      <c r="D18" s="2010"/>
      <c r="E18" s="2022">
        <v>900000</v>
      </c>
      <c r="F18" s="2010"/>
      <c r="G18" s="2022"/>
      <c r="H18" s="2023"/>
    </row>
    <row r="19" spans="1:8" s="2018" customFormat="1" ht="31.5" customHeight="1">
      <c r="A19" s="2024" t="s">
        <v>200</v>
      </c>
      <c r="B19" s="2025" t="s">
        <v>201</v>
      </c>
      <c r="C19" s="2026">
        <f t="shared" si="0"/>
        <v>6860000</v>
      </c>
      <c r="D19" s="2027">
        <f>F19+H19</f>
        <v>1.9436736586730743</v>
      </c>
      <c r="E19" s="2026">
        <f>SUM(E20:E22)</f>
        <v>6860000</v>
      </c>
      <c r="F19" s="2027">
        <f>E19/$C$53*100</f>
        <v>1.9436736586730743</v>
      </c>
      <c r="G19" s="2028"/>
      <c r="H19" s="2029"/>
    </row>
    <row r="20" spans="1:8" s="112" customFormat="1" ht="12.75" customHeight="1">
      <c r="A20" s="2019">
        <v>1</v>
      </c>
      <c r="B20" s="2020" t="s">
        <v>202</v>
      </c>
      <c r="C20" s="2030">
        <f t="shared" si="0"/>
        <v>460000</v>
      </c>
      <c r="D20" s="2010"/>
      <c r="E20" s="2030">
        <v>460000</v>
      </c>
      <c r="F20" s="2010"/>
      <c r="G20" s="2031"/>
      <c r="H20" s="2023"/>
    </row>
    <row r="21" spans="1:8" s="112" customFormat="1" ht="12.75" customHeight="1">
      <c r="A21" s="2019">
        <v>2</v>
      </c>
      <c r="B21" s="2020" t="s">
        <v>203</v>
      </c>
      <c r="C21" s="2030">
        <f t="shared" si="0"/>
        <v>600000</v>
      </c>
      <c r="D21" s="2010"/>
      <c r="E21" s="2030">
        <v>600000</v>
      </c>
      <c r="F21" s="2010"/>
      <c r="G21" s="2031"/>
      <c r="H21" s="2023"/>
    </row>
    <row r="22" spans="1:8" s="112" customFormat="1" ht="15" customHeight="1">
      <c r="A22" s="2019">
        <v>3</v>
      </c>
      <c r="B22" s="2020" t="s">
        <v>204</v>
      </c>
      <c r="C22" s="2030">
        <f t="shared" si="0"/>
        <v>5800000</v>
      </c>
      <c r="D22" s="2010"/>
      <c r="E22" s="2030">
        <v>5800000</v>
      </c>
      <c r="F22" s="2010"/>
      <c r="G22" s="2031"/>
      <c r="H22" s="2023"/>
    </row>
    <row r="23" spans="1:8" s="1987" customFormat="1" ht="22.5" customHeight="1">
      <c r="A23" s="2032" t="s">
        <v>205</v>
      </c>
      <c r="B23" s="2033" t="s">
        <v>206</v>
      </c>
      <c r="C23" s="2034">
        <f t="shared" si="0"/>
        <v>29715000</v>
      </c>
      <c r="D23" s="2035">
        <f>F23+H23</f>
        <v>8.419280286803266</v>
      </c>
      <c r="E23" s="2034">
        <f>SUM(E26:E30)</f>
        <v>29715000</v>
      </c>
      <c r="F23" s="2035">
        <f>E23/$C$53*100</f>
        <v>8.419280286803266</v>
      </c>
      <c r="G23" s="2036"/>
      <c r="H23" s="2035"/>
    </row>
    <row r="24" spans="1:8" s="112" customFormat="1" ht="11.25" customHeight="1">
      <c r="A24" s="2019"/>
      <c r="B24" s="2037" t="s">
        <v>748</v>
      </c>
      <c r="C24" s="2009">
        <f>C27+C29+C30</f>
        <v>7777100</v>
      </c>
      <c r="D24" s="2010"/>
      <c r="E24" s="2009">
        <f>E27+E29+E30</f>
        <v>7777100</v>
      </c>
      <c r="F24" s="2010"/>
      <c r="G24" s="2038"/>
      <c r="H24" s="2010"/>
    </row>
    <row r="25" spans="1:8" s="112" customFormat="1" ht="12" customHeight="1">
      <c r="A25" s="2039"/>
      <c r="B25" s="2040" t="s">
        <v>749</v>
      </c>
      <c r="C25" s="2041">
        <f>C26+C28</f>
        <v>21937900</v>
      </c>
      <c r="D25" s="2042"/>
      <c r="E25" s="2041">
        <f>E26+E28</f>
        <v>21937900</v>
      </c>
      <c r="F25" s="2042"/>
      <c r="G25" s="2043"/>
      <c r="H25" s="2042"/>
    </row>
    <row r="26" spans="1:8" s="112" customFormat="1" ht="15.75" customHeight="1">
      <c r="A26" s="2019">
        <v>1</v>
      </c>
      <c r="B26" s="2020" t="s">
        <v>207</v>
      </c>
      <c r="C26" s="2030">
        <f aca="true" t="shared" si="1" ref="C26:C35">E26+G26</f>
        <v>21037900</v>
      </c>
      <c r="D26" s="2010"/>
      <c r="E26" s="2030">
        <v>21037900</v>
      </c>
      <c r="F26" s="2010"/>
      <c r="G26" s="2031"/>
      <c r="H26" s="2023"/>
    </row>
    <row r="27" spans="1:8" s="2044" customFormat="1" ht="12.75" customHeight="1">
      <c r="A27" s="2019">
        <v>2</v>
      </c>
      <c r="B27" s="2020" t="s">
        <v>208</v>
      </c>
      <c r="C27" s="2030">
        <f t="shared" si="1"/>
        <v>5500000</v>
      </c>
      <c r="D27" s="2010"/>
      <c r="E27" s="2030">
        <v>5500000</v>
      </c>
      <c r="F27" s="2010"/>
      <c r="G27" s="2031"/>
      <c r="H27" s="2023"/>
    </row>
    <row r="28" spans="1:8" s="2044" customFormat="1" ht="14.25" customHeight="1">
      <c r="A28" s="2019">
        <v>3</v>
      </c>
      <c r="B28" s="2020" t="s">
        <v>209</v>
      </c>
      <c r="C28" s="2030">
        <f t="shared" si="1"/>
        <v>900000</v>
      </c>
      <c r="D28" s="2010"/>
      <c r="E28" s="2030">
        <v>900000</v>
      </c>
      <c r="F28" s="2010"/>
      <c r="G28" s="2031"/>
      <c r="H28" s="2023"/>
    </row>
    <row r="29" spans="1:8" s="2044" customFormat="1" ht="12" customHeight="1">
      <c r="A29" s="2019">
        <v>4</v>
      </c>
      <c r="B29" s="2020" t="s">
        <v>210</v>
      </c>
      <c r="C29" s="2030">
        <f t="shared" si="1"/>
        <v>850000</v>
      </c>
      <c r="D29" s="2010"/>
      <c r="E29" s="2030">
        <v>850000</v>
      </c>
      <c r="F29" s="2010"/>
      <c r="G29" s="2031"/>
      <c r="H29" s="2023"/>
    </row>
    <row r="30" spans="1:8" s="2044" customFormat="1" ht="12.75" customHeight="1">
      <c r="A30" s="2039">
        <v>5</v>
      </c>
      <c r="B30" s="2045" t="s">
        <v>211</v>
      </c>
      <c r="C30" s="2046">
        <f t="shared" si="1"/>
        <v>1427100</v>
      </c>
      <c r="D30" s="2042"/>
      <c r="E30" s="2046">
        <v>1427100</v>
      </c>
      <c r="F30" s="2042"/>
      <c r="G30" s="2047"/>
      <c r="H30" s="2042"/>
    </row>
    <row r="31" spans="1:8" s="1987" customFormat="1" ht="42" customHeight="1">
      <c r="A31" s="2024" t="s">
        <v>212</v>
      </c>
      <c r="B31" s="2025" t="s">
        <v>213</v>
      </c>
      <c r="C31" s="2048">
        <f t="shared" si="1"/>
        <v>111181534</v>
      </c>
      <c r="D31" s="2027">
        <f>F31+H31</f>
        <v>31.501547954324312</v>
      </c>
      <c r="E31" s="2049">
        <f>SUM(E32:E33)</f>
        <v>87452828</v>
      </c>
      <c r="F31" s="2035">
        <f>E31/$C$53*100</f>
        <v>24.778390402342136</v>
      </c>
      <c r="G31" s="2050">
        <f>SUM(G32:G33)</f>
        <v>23728706</v>
      </c>
      <c r="H31" s="2027">
        <f>G31/$C$53*100</f>
        <v>6.723157551982176</v>
      </c>
    </row>
    <row r="32" spans="1:8" s="1987" customFormat="1" ht="13.5" customHeight="1">
      <c r="A32" s="2019">
        <v>1</v>
      </c>
      <c r="B32" s="2020" t="s">
        <v>677</v>
      </c>
      <c r="C32" s="2051">
        <f t="shared" si="1"/>
        <v>106077534</v>
      </c>
      <c r="D32" s="2052"/>
      <c r="E32" s="2053">
        <v>82928828</v>
      </c>
      <c r="F32" s="2035"/>
      <c r="G32" s="2054">
        <v>23148706</v>
      </c>
      <c r="H32" s="2052"/>
    </row>
    <row r="33" spans="1:8" s="112" customFormat="1" ht="12.75" customHeight="1">
      <c r="A33" s="2019">
        <v>2</v>
      </c>
      <c r="B33" s="2020" t="s">
        <v>678</v>
      </c>
      <c r="C33" s="2055">
        <f t="shared" si="1"/>
        <v>5104000</v>
      </c>
      <c r="D33" s="2010"/>
      <c r="E33" s="2030">
        <v>4524000</v>
      </c>
      <c r="F33" s="2056"/>
      <c r="G33" s="2031">
        <v>580000</v>
      </c>
      <c r="H33" s="2010"/>
    </row>
    <row r="34" spans="1:8" s="2044" customFormat="1" ht="20.25" customHeight="1">
      <c r="A34" s="2057" t="s">
        <v>214</v>
      </c>
      <c r="B34" s="2058" t="s">
        <v>215</v>
      </c>
      <c r="C34" s="2034">
        <f t="shared" si="1"/>
        <v>15845509</v>
      </c>
      <c r="D34" s="2035">
        <f>F34+H34</f>
        <v>4.401395764863839</v>
      </c>
      <c r="E34" s="2034">
        <v>11252364</v>
      </c>
      <c r="F34" s="2035">
        <v>3.1</v>
      </c>
      <c r="G34" s="2036">
        <v>4593145</v>
      </c>
      <c r="H34" s="2035">
        <f>G34/$C$53*100</f>
        <v>1.3013957648638392</v>
      </c>
    </row>
    <row r="35" spans="1:8" s="2044" customFormat="1" ht="12" customHeight="1" thickBot="1">
      <c r="A35" s="2059"/>
      <c r="B35" s="2060" t="s">
        <v>750</v>
      </c>
      <c r="C35" s="2061">
        <f t="shared" si="1"/>
        <v>8305</v>
      </c>
      <c r="D35" s="2062"/>
      <c r="E35" s="2063">
        <v>1305</v>
      </c>
      <c r="F35" s="2064"/>
      <c r="G35" s="2038">
        <v>7000</v>
      </c>
      <c r="H35" s="2064"/>
    </row>
    <row r="36" spans="1:8" s="1987" customFormat="1" ht="20.25" customHeight="1" thickBot="1" thickTop="1">
      <c r="A36" s="2065" t="s">
        <v>216</v>
      </c>
      <c r="B36" s="1748" t="s">
        <v>217</v>
      </c>
      <c r="C36" s="118">
        <f>SUM(C37:C39)</f>
        <v>101775482</v>
      </c>
      <c r="D36" s="2066">
        <f>F36+H36</f>
        <v>29.031582977700424</v>
      </c>
      <c r="E36" s="115">
        <f>SUM(E37:E39)</f>
        <v>41311289</v>
      </c>
      <c r="F36" s="116">
        <v>11.9</v>
      </c>
      <c r="G36" s="119">
        <f>SUM(G37:G39)</f>
        <v>60464193</v>
      </c>
      <c r="H36" s="116">
        <f>G36/$C$53*100</f>
        <v>17.131582977700422</v>
      </c>
    </row>
    <row r="37" spans="1:8" s="112" customFormat="1" ht="13.5" customHeight="1" thickTop="1">
      <c r="A37" s="2019">
        <v>1</v>
      </c>
      <c r="B37" s="2020" t="s">
        <v>218</v>
      </c>
      <c r="C37" s="2067">
        <f>E37+G37</f>
        <v>94284663</v>
      </c>
      <c r="D37" s="2010"/>
      <c r="E37" s="2068">
        <v>40915072</v>
      </c>
      <c r="F37" s="2069"/>
      <c r="G37" s="2070">
        <v>53369591</v>
      </c>
      <c r="H37" s="2069"/>
    </row>
    <row r="38" spans="1:8" s="2044" customFormat="1" ht="12.75" customHeight="1">
      <c r="A38" s="2019">
        <v>2</v>
      </c>
      <c r="B38" s="2020" t="s">
        <v>219</v>
      </c>
      <c r="C38" s="2067">
        <f>E38+G38</f>
        <v>7490819</v>
      </c>
      <c r="D38" s="2010"/>
      <c r="E38" s="2067">
        <v>396217</v>
      </c>
      <c r="F38" s="2010"/>
      <c r="G38" s="2071">
        <v>7094602</v>
      </c>
      <c r="H38" s="2010"/>
    </row>
    <row r="39" spans="1:8" s="2044" customFormat="1" ht="12.75" customHeight="1" thickBot="1">
      <c r="A39" s="2019">
        <v>3</v>
      </c>
      <c r="B39" s="2072" t="s">
        <v>751</v>
      </c>
      <c r="C39" s="2067">
        <f>E39+G39</f>
        <v>0</v>
      </c>
      <c r="D39" s="2010"/>
      <c r="E39" s="2061"/>
      <c r="F39" s="2073"/>
      <c r="G39" s="2074"/>
      <c r="H39" s="2073"/>
    </row>
    <row r="40" spans="1:8" s="2018" customFormat="1" ht="21.75" customHeight="1" thickTop="1">
      <c r="A40" s="2075" t="s">
        <v>220</v>
      </c>
      <c r="B40" s="2076" t="s">
        <v>679</v>
      </c>
      <c r="C40" s="120">
        <f>E40+G40</f>
        <v>3697086</v>
      </c>
      <c r="D40" s="116">
        <f>F40+H40</f>
        <v>1.0475114682287174</v>
      </c>
      <c r="E40" s="1749">
        <f>SUM(E41:E42)</f>
        <v>1575231</v>
      </c>
      <c r="F40" s="2062">
        <f>E40/$C$53*100</f>
        <v>0.44631705554303863</v>
      </c>
      <c r="G40" s="121">
        <f>SUM(G41:G42)</f>
        <v>2121855</v>
      </c>
      <c r="H40" s="2062">
        <f>G40/$C$53*100</f>
        <v>0.6011944126856787</v>
      </c>
    </row>
    <row r="41" spans="1:8" s="2018" customFormat="1" ht="12.75" customHeight="1">
      <c r="A41" s="2077"/>
      <c r="B41" s="2037" t="s">
        <v>192</v>
      </c>
      <c r="C41" s="2067">
        <f>G41+E41</f>
        <v>3484586</v>
      </c>
      <c r="D41" s="2062"/>
      <c r="E41" s="2009">
        <v>1362731</v>
      </c>
      <c r="F41" s="2010"/>
      <c r="G41" s="2009">
        <v>2121855</v>
      </c>
      <c r="H41" s="2062"/>
    </row>
    <row r="42" spans="1:8" s="112" customFormat="1" ht="15" customHeight="1" thickBot="1">
      <c r="A42" s="2078"/>
      <c r="B42" s="2037" t="s">
        <v>193</v>
      </c>
      <c r="C42" s="2061">
        <f>E42+G42</f>
        <v>212500</v>
      </c>
      <c r="D42" s="2073"/>
      <c r="E42" s="2079">
        <v>212500</v>
      </c>
      <c r="F42" s="2010"/>
      <c r="G42" s="2080"/>
      <c r="H42" s="2081"/>
    </row>
    <row r="43" spans="1:8" s="1987" customFormat="1" ht="16.5" customHeight="1" thickBot="1" thickTop="1">
      <c r="A43" s="2082" t="s">
        <v>221</v>
      </c>
      <c r="B43" s="1750" t="s">
        <v>752</v>
      </c>
      <c r="C43" s="1751">
        <f>E43+G43</f>
        <v>40322106.83</v>
      </c>
      <c r="D43" s="2066">
        <f>F43+H43</f>
        <v>11.424638033188433</v>
      </c>
      <c r="E43" s="1752">
        <f>E44+E47+E50</f>
        <v>29629648.83</v>
      </c>
      <c r="F43" s="2066">
        <f>E43/C53*100</f>
        <v>8.39509736830969</v>
      </c>
      <c r="G43" s="1753">
        <f>G44+G47+G50</f>
        <v>10692458</v>
      </c>
      <c r="H43" s="2066">
        <f>G43/$C$53*100</f>
        <v>3.029540664878744</v>
      </c>
    </row>
    <row r="44" spans="1:8" s="112" customFormat="1" ht="26.25" customHeight="1" thickTop="1">
      <c r="A44" s="2083">
        <v>1</v>
      </c>
      <c r="B44" s="2072" t="s">
        <v>680</v>
      </c>
      <c r="C44" s="2067">
        <f>SUM(C45:C46)</f>
        <v>10591354</v>
      </c>
      <c r="D44" s="2010"/>
      <c r="E44" s="2030">
        <v>9490540</v>
      </c>
      <c r="F44" s="2010"/>
      <c r="G44" s="2068">
        <f>SUM(G45:G46)</f>
        <v>1100814</v>
      </c>
      <c r="H44" s="2084"/>
    </row>
    <row r="45" spans="1:8" s="112" customFormat="1" ht="12.75" customHeight="1">
      <c r="A45" s="2083"/>
      <c r="B45" s="2037" t="s">
        <v>192</v>
      </c>
      <c r="C45" s="2085">
        <f aca="true" t="shared" si="2" ref="C45:C55">E45+G45</f>
        <v>8560354</v>
      </c>
      <c r="D45" s="2023"/>
      <c r="E45" s="2086">
        <f>E44-E46</f>
        <v>7459540</v>
      </c>
      <c r="F45" s="2023"/>
      <c r="G45" s="2085">
        <v>1100814</v>
      </c>
      <c r="H45" s="2084"/>
    </row>
    <row r="46" spans="1:8" s="112" customFormat="1" ht="12.75" customHeight="1">
      <c r="A46" s="2083"/>
      <c r="B46" s="2037" t="s">
        <v>193</v>
      </c>
      <c r="C46" s="2085">
        <f t="shared" si="2"/>
        <v>2031000</v>
      </c>
      <c r="D46" s="2023"/>
      <c r="E46" s="2086">
        <f>1332000+65000+100000+534000</f>
        <v>2031000</v>
      </c>
      <c r="F46" s="2023"/>
      <c r="G46" s="2085">
        <v>0</v>
      </c>
      <c r="H46" s="2023"/>
    </row>
    <row r="47" spans="1:10" s="112" customFormat="1" ht="40.5" customHeight="1">
      <c r="A47" s="2087">
        <v>2</v>
      </c>
      <c r="B47" s="2088" t="s">
        <v>714</v>
      </c>
      <c r="C47" s="2067">
        <f t="shared" si="2"/>
        <v>427670</v>
      </c>
      <c r="D47" s="2010"/>
      <c r="E47" s="2009">
        <f>E48</f>
        <v>304100</v>
      </c>
      <c r="F47" s="2010"/>
      <c r="G47" s="2055">
        <f>SUM(G48:G49)</f>
        <v>123570</v>
      </c>
      <c r="H47" s="2010"/>
      <c r="J47" s="112" t="s">
        <v>753</v>
      </c>
    </row>
    <row r="48" spans="1:8" s="112" customFormat="1" ht="16.5" customHeight="1">
      <c r="A48" s="2087"/>
      <c r="B48" s="2037" t="s">
        <v>192</v>
      </c>
      <c r="C48" s="2067">
        <f t="shared" si="2"/>
        <v>359670</v>
      </c>
      <c r="D48" s="2010"/>
      <c r="E48" s="2009">
        <v>304100</v>
      </c>
      <c r="F48" s="2010"/>
      <c r="G48" s="2179">
        <v>55570</v>
      </c>
      <c r="H48" s="2010"/>
    </row>
    <row r="49" spans="1:8" s="112" customFormat="1" ht="14.25" customHeight="1">
      <c r="A49" s="2087"/>
      <c r="B49" s="2037" t="s">
        <v>193</v>
      </c>
      <c r="C49" s="2067">
        <f t="shared" si="2"/>
        <v>68000</v>
      </c>
      <c r="D49" s="2010"/>
      <c r="E49" s="2009"/>
      <c r="F49" s="2010"/>
      <c r="G49" s="2055">
        <v>68000</v>
      </c>
      <c r="H49" s="2010"/>
    </row>
    <row r="50" spans="1:8" s="112" customFormat="1" ht="18.75" customHeight="1">
      <c r="A50" s="2087">
        <v>3</v>
      </c>
      <c r="B50" s="2088" t="s">
        <v>681</v>
      </c>
      <c r="C50" s="2089">
        <f t="shared" si="2"/>
        <v>29303082.83</v>
      </c>
      <c r="D50" s="2010"/>
      <c r="E50" s="2090">
        <f>E51</f>
        <v>19835008.83</v>
      </c>
      <c r="F50" s="2010"/>
      <c r="G50" s="2055">
        <f>SUM(G51:G52)</f>
        <v>9468074</v>
      </c>
      <c r="H50" s="2010"/>
    </row>
    <row r="51" spans="1:8" s="112" customFormat="1" ht="15" customHeight="1">
      <c r="A51" s="2087"/>
      <c r="B51" s="2037" t="s">
        <v>222</v>
      </c>
      <c r="C51" s="2328">
        <f t="shared" si="2"/>
        <v>28764897.83</v>
      </c>
      <c r="D51" s="2091"/>
      <c r="E51" s="2092">
        <v>19835008.83</v>
      </c>
      <c r="F51" s="2091"/>
      <c r="G51" s="2093">
        <v>8929889</v>
      </c>
      <c r="H51" s="2010"/>
    </row>
    <row r="52" spans="1:8" s="112" customFormat="1" ht="15.75" customHeight="1" thickBot="1">
      <c r="A52" s="2087"/>
      <c r="B52" s="2060" t="s">
        <v>223</v>
      </c>
      <c r="C52" s="2085">
        <f t="shared" si="2"/>
        <v>538185</v>
      </c>
      <c r="D52" s="2091"/>
      <c r="E52" s="2094"/>
      <c r="F52" s="2091"/>
      <c r="G52" s="2093">
        <v>538185</v>
      </c>
      <c r="H52" s="2010"/>
    </row>
    <row r="53" spans="1:8" s="1987" customFormat="1" ht="21.75" customHeight="1" thickTop="1">
      <c r="A53" s="2502" t="s">
        <v>682</v>
      </c>
      <c r="B53" s="2503"/>
      <c r="C53" s="1754">
        <f t="shared" si="2"/>
        <v>352939906.83</v>
      </c>
      <c r="D53" s="116">
        <f>F53+H53</f>
        <v>100</v>
      </c>
      <c r="E53" s="1754">
        <f>E43+E36+E40+E11</f>
        <v>251339549.82999998</v>
      </c>
      <c r="F53" s="116">
        <f>E53/$C$53*100</f>
        <v>71.21312862788915</v>
      </c>
      <c r="G53" s="122">
        <f>G43+G36+G40+G11</f>
        <v>101600357</v>
      </c>
      <c r="H53" s="116">
        <f>G53/$C$53*100</f>
        <v>28.786871372110856</v>
      </c>
    </row>
    <row r="54" spans="1:8" s="112" customFormat="1" ht="17.25" customHeight="1">
      <c r="A54" s="2095"/>
      <c r="B54" s="2096" t="s">
        <v>224</v>
      </c>
      <c r="C54" s="2089">
        <f t="shared" si="2"/>
        <v>328144016.83</v>
      </c>
      <c r="D54" s="2010"/>
      <c r="E54" s="2090">
        <f>E14+E19+E24+E31+E34-E35+E36+E40-E42+E43-E46-E52</f>
        <v>227156844.82999998</v>
      </c>
      <c r="F54" s="2010"/>
      <c r="G54" s="2055">
        <f>G11-G35+G36+G40-G42+G43-G46-G52-G49</f>
        <v>100987172</v>
      </c>
      <c r="H54" s="2010"/>
    </row>
    <row r="55" spans="1:8" s="112" customFormat="1" ht="18" customHeight="1" thickBot="1">
      <c r="A55" s="2097"/>
      <c r="B55" s="2098" t="s">
        <v>225</v>
      </c>
      <c r="C55" s="2099">
        <f t="shared" si="2"/>
        <v>24795890</v>
      </c>
      <c r="D55" s="2073"/>
      <c r="E55" s="2100">
        <f>E52+E42+E13+E46</f>
        <v>24182705</v>
      </c>
      <c r="F55" s="2101"/>
      <c r="G55" s="2102">
        <f>G13+G42+G52+G46+G49</f>
        <v>613185</v>
      </c>
      <c r="H55" s="2073"/>
    </row>
    <row r="56" ht="13.5" thickTop="1">
      <c r="A56" s="87" t="s">
        <v>423</v>
      </c>
    </row>
    <row r="57" spans="1:7" ht="12.75">
      <c r="A57" s="87" t="s">
        <v>181</v>
      </c>
      <c r="C57" s="93"/>
      <c r="E57" s="93"/>
      <c r="F57" s="93"/>
      <c r="G57" s="93"/>
    </row>
    <row r="58" ht="12.75">
      <c r="A58" s="87" t="s">
        <v>40</v>
      </c>
    </row>
  </sheetData>
  <mergeCells count="1">
    <mergeCell ref="A53:B53"/>
  </mergeCells>
  <printOptions horizontalCentered="1" verticalCentered="1"/>
  <pageMargins left="0.63" right="0.2362204724409449" top="0.15748031496062992" bottom="0.196850393700787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2"/>
  <sheetViews>
    <sheetView workbookViewId="0" topLeftCell="A37">
      <selection activeCell="A57" sqref="A57"/>
    </sheetView>
  </sheetViews>
  <sheetFormatPr defaultColWidth="9.00390625" defaultRowHeight="12.75"/>
  <cols>
    <col min="1" max="1" width="5.00390625" style="124" customWidth="1"/>
    <col min="2" max="2" width="34.25390625" style="125" customWidth="1"/>
    <col min="3" max="3" width="14.00390625" style="125" customWidth="1"/>
    <col min="4" max="4" width="9.625" style="125" customWidth="1"/>
    <col min="5" max="5" width="11.75390625" style="125" customWidth="1"/>
    <col min="6" max="6" width="11.00390625" style="125" customWidth="1"/>
    <col min="7" max="7" width="13.75390625" style="125" customWidth="1"/>
    <col min="8" max="8" width="9.625" style="125" customWidth="1"/>
    <col min="9" max="9" width="11.875" style="125" customWidth="1"/>
    <col min="10" max="10" width="9.125" style="125" customWidth="1"/>
    <col min="11" max="11" width="10.75390625" style="125" customWidth="1"/>
    <col min="12" max="14" width="12.625" style="125" customWidth="1"/>
    <col min="15" max="15" width="13.00390625" style="125" customWidth="1"/>
    <col min="16" max="16384" width="10.00390625" style="125" customWidth="1"/>
  </cols>
  <sheetData>
    <row r="1" spans="7:14" ht="12" customHeight="1">
      <c r="G1" s="126"/>
      <c r="I1" s="94" t="s">
        <v>226</v>
      </c>
      <c r="K1" s="99"/>
      <c r="L1" s="97"/>
      <c r="M1" s="100"/>
      <c r="N1" s="127"/>
    </row>
    <row r="2" spans="7:14" ht="12" customHeight="1">
      <c r="G2" s="126"/>
      <c r="I2" s="215" t="s">
        <v>746</v>
      </c>
      <c r="K2" s="99"/>
      <c r="L2" s="97"/>
      <c r="M2" s="100"/>
      <c r="N2" s="127"/>
    </row>
    <row r="3" spans="7:14" ht="12" customHeight="1">
      <c r="G3" s="126"/>
      <c r="I3" s="4" t="s">
        <v>747</v>
      </c>
      <c r="K3" s="99"/>
      <c r="L3" s="97"/>
      <c r="M3" s="100"/>
      <c r="N3" s="127"/>
    </row>
    <row r="4" spans="1:14" s="139" customFormat="1" ht="16.5" customHeight="1">
      <c r="A4" s="128" t="s">
        <v>227</v>
      </c>
      <c r="B4" s="129"/>
      <c r="C4" s="130"/>
      <c r="D4" s="130"/>
      <c r="E4" s="130"/>
      <c r="F4" s="131"/>
      <c r="G4" s="132"/>
      <c r="H4" s="133"/>
      <c r="I4" s="4"/>
      <c r="J4" s="134"/>
      <c r="K4" s="135"/>
      <c r="L4" s="136"/>
      <c r="M4" s="137"/>
      <c r="N4" s="138"/>
    </row>
    <row r="5" spans="1:11" s="141" customFormat="1" ht="14.25" customHeight="1">
      <c r="A5" s="140" t="s">
        <v>228</v>
      </c>
      <c r="C5" s="142"/>
      <c r="D5" s="143"/>
      <c r="E5" s="143"/>
      <c r="F5" s="143"/>
      <c r="G5" s="143"/>
      <c r="H5" s="144"/>
      <c r="I5" s="145"/>
      <c r="J5" s="146"/>
      <c r="K5" s="147" t="s">
        <v>121</v>
      </c>
    </row>
    <row r="6" spans="1:11" s="141" customFormat="1" ht="14.25" customHeight="1" thickBot="1">
      <c r="A6" s="223" t="s">
        <v>525</v>
      </c>
      <c r="C6" s="142"/>
      <c r="D6" s="143"/>
      <c r="E6" s="143"/>
      <c r="F6" s="143"/>
      <c r="G6" s="143"/>
      <c r="H6" s="144"/>
      <c r="I6" s="145"/>
      <c r="J6" s="146"/>
      <c r="K6" s="147"/>
    </row>
    <row r="7" spans="1:11" s="157" customFormat="1" ht="18" customHeight="1" thickBot="1" thickTop="1">
      <c r="A7" s="148"/>
      <c r="B7" s="149"/>
      <c r="C7" s="150" t="s">
        <v>126</v>
      </c>
      <c r="D7" s="151" t="s">
        <v>229</v>
      </c>
      <c r="E7" s="152"/>
      <c r="F7" s="152"/>
      <c r="G7" s="153"/>
      <c r="H7" s="154" t="s">
        <v>230</v>
      </c>
      <c r="I7" s="155"/>
      <c r="J7" s="155"/>
      <c r="K7" s="156"/>
    </row>
    <row r="8" spans="1:11" s="157" customFormat="1" ht="41.25" customHeight="1" thickBot="1" thickTop="1">
      <c r="A8" s="158" t="s">
        <v>231</v>
      </c>
      <c r="B8" s="159" t="s">
        <v>123</v>
      </c>
      <c r="C8" s="160" t="s">
        <v>124</v>
      </c>
      <c r="D8" s="161" t="s">
        <v>232</v>
      </c>
      <c r="E8" s="162" t="s">
        <v>233</v>
      </c>
      <c r="F8" s="163" t="s">
        <v>234</v>
      </c>
      <c r="G8" s="164" t="s">
        <v>235</v>
      </c>
      <c r="H8" s="161" t="s">
        <v>236</v>
      </c>
      <c r="I8" s="162" t="s">
        <v>233</v>
      </c>
      <c r="J8" s="163" t="s">
        <v>237</v>
      </c>
      <c r="K8" s="164" t="s">
        <v>235</v>
      </c>
    </row>
    <row r="9" spans="1:11" s="1873" customFormat="1" ht="11.25" customHeight="1" thickBot="1" thickTop="1">
      <c r="A9" s="1868">
        <v>1</v>
      </c>
      <c r="B9" s="1869">
        <v>2</v>
      </c>
      <c r="C9" s="1870">
        <v>3</v>
      </c>
      <c r="D9" s="1870">
        <v>4</v>
      </c>
      <c r="E9" s="1871">
        <v>5</v>
      </c>
      <c r="F9" s="1869">
        <v>6</v>
      </c>
      <c r="G9" s="1872">
        <v>7</v>
      </c>
      <c r="H9" s="1870">
        <v>8</v>
      </c>
      <c r="I9" s="1871">
        <v>9</v>
      </c>
      <c r="J9" s="1869">
        <v>10</v>
      </c>
      <c r="K9" s="1872">
        <v>11</v>
      </c>
    </row>
    <row r="10" spans="1:11" s="2111" customFormat="1" ht="15" customHeight="1" thickTop="1">
      <c r="A10" s="2103" t="s">
        <v>132</v>
      </c>
      <c r="B10" s="2104" t="s">
        <v>133</v>
      </c>
      <c r="C10" s="2105">
        <f aca="true" t="shared" si="0" ref="C10:C48">G10+K10</f>
        <v>13772.83</v>
      </c>
      <c r="D10" s="2106"/>
      <c r="E10" s="2107"/>
      <c r="F10" s="2437">
        <f>F11</f>
        <v>13772.83</v>
      </c>
      <c r="G10" s="2108">
        <f>F10</f>
        <v>13772.83</v>
      </c>
      <c r="H10" s="2106"/>
      <c r="I10" s="2107"/>
      <c r="J10" s="2109"/>
      <c r="K10" s="2110"/>
    </row>
    <row r="11" spans="1:11" s="2188" customFormat="1" ht="15" customHeight="1">
      <c r="A11" s="2180"/>
      <c r="B11" s="2181" t="s">
        <v>238</v>
      </c>
      <c r="C11" s="2182">
        <f t="shared" si="0"/>
        <v>13772.83</v>
      </c>
      <c r="D11" s="2183"/>
      <c r="E11" s="2184"/>
      <c r="F11" s="2438">
        <v>13772.83</v>
      </c>
      <c r="G11" s="2185">
        <f>F11</f>
        <v>13772.83</v>
      </c>
      <c r="H11" s="2183"/>
      <c r="I11" s="2184"/>
      <c r="J11" s="2186"/>
      <c r="K11" s="2187"/>
    </row>
    <row r="12" spans="1:14" s="173" customFormat="1" ht="17.25" customHeight="1">
      <c r="A12" s="165" t="s">
        <v>135</v>
      </c>
      <c r="B12" s="1874" t="s">
        <v>136</v>
      </c>
      <c r="C12" s="166">
        <f t="shared" si="0"/>
        <v>18030</v>
      </c>
      <c r="D12" s="167">
        <f>SUM(D13:D14)</f>
        <v>14030</v>
      </c>
      <c r="E12" s="168"/>
      <c r="F12" s="169"/>
      <c r="G12" s="169">
        <f>SUM(G13:G14)</f>
        <v>14030</v>
      </c>
      <c r="H12" s="170">
        <f>SUM(H13:H14)</f>
        <v>4000</v>
      </c>
      <c r="I12" s="168"/>
      <c r="J12" s="169"/>
      <c r="K12" s="171">
        <f>SUM(K13:K14)</f>
        <v>4000</v>
      </c>
      <c r="L12" s="172"/>
      <c r="M12" s="172"/>
      <c r="N12" s="172"/>
    </row>
    <row r="13" spans="1:11" s="173" customFormat="1" ht="11.25" customHeight="1">
      <c r="A13" s="2189"/>
      <c r="B13" s="2181" t="s">
        <v>238</v>
      </c>
      <c r="C13" s="2190">
        <f t="shared" si="0"/>
        <v>18030</v>
      </c>
      <c r="D13" s="2191">
        <v>14030</v>
      </c>
      <c r="E13" s="2192"/>
      <c r="F13" s="2193"/>
      <c r="G13" s="2193">
        <f aca="true" t="shared" si="1" ref="G13:G19">SUM(D13:F13)</f>
        <v>14030</v>
      </c>
      <c r="H13" s="2191">
        <v>4000</v>
      </c>
      <c r="I13" s="2192"/>
      <c r="J13" s="2193"/>
      <c r="K13" s="2194">
        <f>SUM(H13:J13)</f>
        <v>4000</v>
      </c>
    </row>
    <row r="14" spans="1:14" s="173" customFormat="1" ht="11.25" customHeight="1">
      <c r="A14" s="2189"/>
      <c r="B14" s="2195" t="s">
        <v>239</v>
      </c>
      <c r="C14" s="2196">
        <f>G14+K14</f>
        <v>0</v>
      </c>
      <c r="D14" s="2197"/>
      <c r="E14" s="2198"/>
      <c r="F14" s="2199"/>
      <c r="G14" s="2200"/>
      <c r="H14" s="2197">
        <f>5000000-5000000</f>
        <v>0</v>
      </c>
      <c r="I14" s="2198"/>
      <c r="J14" s="2199"/>
      <c r="K14" s="2201">
        <f>SUM(H14:J14)</f>
        <v>0</v>
      </c>
      <c r="L14" s="2202"/>
      <c r="M14" s="2202"/>
      <c r="N14" s="2202"/>
    </row>
    <row r="15" spans="1:14" s="173" customFormat="1" ht="18" customHeight="1">
      <c r="A15" s="165" t="s">
        <v>139</v>
      </c>
      <c r="B15" s="1874" t="s">
        <v>65</v>
      </c>
      <c r="C15" s="166">
        <f t="shared" si="0"/>
        <v>30354000</v>
      </c>
      <c r="D15" s="170">
        <v>29365000</v>
      </c>
      <c r="E15" s="168"/>
      <c r="F15" s="169"/>
      <c r="G15" s="169">
        <f t="shared" si="1"/>
        <v>29365000</v>
      </c>
      <c r="H15" s="170">
        <f>SUM(H16:H17)</f>
        <v>950000</v>
      </c>
      <c r="I15" s="168"/>
      <c r="J15" s="169">
        <f>SUM(J16:J17)</f>
        <v>39000</v>
      </c>
      <c r="K15" s="171">
        <f>SUM(H15:J15)</f>
        <v>989000</v>
      </c>
      <c r="L15" s="172"/>
      <c r="M15" s="172"/>
      <c r="N15" s="172"/>
    </row>
    <row r="16" spans="1:11" s="173" customFormat="1" ht="10.5" customHeight="1">
      <c r="A16" s="2189"/>
      <c r="B16" s="2181" t="s">
        <v>238</v>
      </c>
      <c r="C16" s="2190">
        <f t="shared" si="0"/>
        <v>8416100</v>
      </c>
      <c r="D16" s="2191">
        <f>D15-D17</f>
        <v>7427100</v>
      </c>
      <c r="E16" s="2192"/>
      <c r="F16" s="2193"/>
      <c r="G16" s="2193">
        <f t="shared" si="1"/>
        <v>7427100</v>
      </c>
      <c r="H16" s="2191">
        <f>850000+100000</f>
        <v>950000</v>
      </c>
      <c r="I16" s="2192"/>
      <c r="J16" s="2193">
        <f>43500-4500</f>
        <v>39000</v>
      </c>
      <c r="K16" s="2194">
        <f>SUM(H16:J16)</f>
        <v>989000</v>
      </c>
    </row>
    <row r="17" spans="1:11" s="173" customFormat="1" ht="12.75" customHeight="1">
      <c r="A17" s="2203"/>
      <c r="B17" s="2195" t="s">
        <v>239</v>
      </c>
      <c r="C17" s="2204">
        <f t="shared" si="0"/>
        <v>21937900</v>
      </c>
      <c r="D17" s="2197">
        <v>21937900</v>
      </c>
      <c r="E17" s="2198"/>
      <c r="F17" s="2199"/>
      <c r="G17" s="2205">
        <f t="shared" si="1"/>
        <v>21937900</v>
      </c>
      <c r="H17" s="2197"/>
      <c r="I17" s="2198"/>
      <c r="J17" s="2199"/>
      <c r="K17" s="2205"/>
    </row>
    <row r="18" spans="1:14" s="174" customFormat="1" ht="17.25" customHeight="1">
      <c r="A18" s="165">
        <v>710</v>
      </c>
      <c r="B18" s="1874" t="s">
        <v>240</v>
      </c>
      <c r="C18" s="166">
        <f t="shared" si="0"/>
        <v>1944266</v>
      </c>
      <c r="D18" s="170">
        <f>SUM(D19:D20)</f>
        <v>1500000</v>
      </c>
      <c r="E18" s="168">
        <f>SUM(E19:E20)</f>
        <v>16600</v>
      </c>
      <c r="F18" s="169"/>
      <c r="G18" s="169">
        <f t="shared" si="1"/>
        <v>1516600</v>
      </c>
      <c r="H18" s="170"/>
      <c r="I18" s="168"/>
      <c r="J18" s="169">
        <f>SUM(J19:J20)</f>
        <v>427666</v>
      </c>
      <c r="K18" s="171">
        <f>SUM(H18:J18)</f>
        <v>427666</v>
      </c>
      <c r="L18" s="172"/>
      <c r="M18" s="172"/>
      <c r="N18" s="172"/>
    </row>
    <row r="19" spans="1:11" s="173" customFormat="1" ht="10.5" customHeight="1">
      <c r="A19" s="2189"/>
      <c r="B19" s="2181" t="s">
        <v>238</v>
      </c>
      <c r="C19" s="2190">
        <f t="shared" si="0"/>
        <v>1944266</v>
      </c>
      <c r="D19" s="2191">
        <f>1389000+111000</f>
        <v>1500000</v>
      </c>
      <c r="E19" s="2192">
        <v>16600</v>
      </c>
      <c r="F19" s="2193"/>
      <c r="G19" s="2193">
        <f t="shared" si="1"/>
        <v>1516600</v>
      </c>
      <c r="H19" s="2191"/>
      <c r="I19" s="2192"/>
      <c r="J19" s="2193">
        <v>427666</v>
      </c>
      <c r="K19" s="2194">
        <f>SUM(H19:J19)</f>
        <v>427666</v>
      </c>
    </row>
    <row r="20" spans="1:11" s="173" customFormat="1" ht="12.75" customHeight="1">
      <c r="A20" s="2203"/>
      <c r="B20" s="2195" t="s">
        <v>239</v>
      </c>
      <c r="C20" s="2204">
        <f t="shared" si="0"/>
        <v>0</v>
      </c>
      <c r="D20" s="2197"/>
      <c r="E20" s="2198"/>
      <c r="F20" s="2199"/>
      <c r="G20" s="2205"/>
      <c r="H20" s="2197"/>
      <c r="I20" s="2198"/>
      <c r="J20" s="2199">
        <f>8000-8000</f>
        <v>0</v>
      </c>
      <c r="K20" s="2205">
        <f>SUM(H20:J20)</f>
        <v>0</v>
      </c>
    </row>
    <row r="21" spans="1:14" s="174" customFormat="1" ht="16.5" customHeight="1">
      <c r="A21" s="165" t="s">
        <v>143</v>
      </c>
      <c r="B21" s="1874" t="s">
        <v>241</v>
      </c>
      <c r="C21" s="175">
        <f t="shared" si="0"/>
        <v>1402275</v>
      </c>
      <c r="D21" s="170">
        <f>D22</f>
        <v>362743</v>
      </c>
      <c r="E21" s="168"/>
      <c r="F21" s="169">
        <f>F22</f>
        <v>757900</v>
      </c>
      <c r="G21" s="169">
        <f aca="true" t="shared" si="2" ref="G21:G26">SUM(D21:F21)</f>
        <v>1120643</v>
      </c>
      <c r="H21" s="170">
        <f>H22</f>
        <v>2000</v>
      </c>
      <c r="I21" s="168">
        <f>I22</f>
        <v>4434</v>
      </c>
      <c r="J21" s="169">
        <f>J22</f>
        <v>275198</v>
      </c>
      <c r="K21" s="171">
        <f>SUM(H21:J21)</f>
        <v>281632</v>
      </c>
      <c r="L21" s="172"/>
      <c r="M21" s="172"/>
      <c r="N21" s="172"/>
    </row>
    <row r="22" spans="1:11" s="173" customFormat="1" ht="11.25" customHeight="1">
      <c r="A22" s="2203"/>
      <c r="B22" s="2181" t="s">
        <v>238</v>
      </c>
      <c r="C22" s="2190">
        <f t="shared" si="0"/>
        <v>1402275</v>
      </c>
      <c r="D22" s="2191">
        <f>335000+27743</f>
        <v>362743</v>
      </c>
      <c r="E22" s="2192"/>
      <c r="F22" s="2193">
        <v>757900</v>
      </c>
      <c r="G22" s="2193">
        <f t="shared" si="2"/>
        <v>1120643</v>
      </c>
      <c r="H22" s="2191">
        <f>2402000-2400000</f>
        <v>2000</v>
      </c>
      <c r="I22" s="2192">
        <f>5500-1066</f>
        <v>4434</v>
      </c>
      <c r="J22" s="2193">
        <f>275200-2</f>
        <v>275198</v>
      </c>
      <c r="K22" s="2194">
        <f>SUM(H22:J22)</f>
        <v>281632</v>
      </c>
    </row>
    <row r="23" spans="1:14" s="174" customFormat="1" ht="42" customHeight="1">
      <c r="A23" s="165" t="s">
        <v>145</v>
      </c>
      <c r="B23" s="1874" t="s">
        <v>242</v>
      </c>
      <c r="C23" s="166">
        <f t="shared" si="0"/>
        <v>132897</v>
      </c>
      <c r="D23" s="166"/>
      <c r="E23" s="176"/>
      <c r="F23" s="177">
        <f>F24</f>
        <v>132897</v>
      </c>
      <c r="G23" s="169">
        <f t="shared" si="2"/>
        <v>132897</v>
      </c>
      <c r="H23" s="166"/>
      <c r="I23" s="176"/>
      <c r="J23" s="177"/>
      <c r="K23" s="178"/>
      <c r="L23" s="172"/>
      <c r="M23" s="172"/>
      <c r="N23" s="172"/>
    </row>
    <row r="24" spans="1:11" s="173" customFormat="1" ht="14.25" customHeight="1">
      <c r="A24" s="2203"/>
      <c r="B24" s="2181" t="s">
        <v>238</v>
      </c>
      <c r="C24" s="2190">
        <f t="shared" si="0"/>
        <v>132897</v>
      </c>
      <c r="D24" s="2191"/>
      <c r="E24" s="2192"/>
      <c r="F24" s="2193">
        <v>132897</v>
      </c>
      <c r="G24" s="2193">
        <f t="shared" si="2"/>
        <v>132897</v>
      </c>
      <c r="H24" s="2191"/>
      <c r="I24" s="2192"/>
      <c r="J24" s="2193"/>
      <c r="K24" s="2194"/>
    </row>
    <row r="25" spans="1:14" s="174" customFormat="1" ht="24" customHeight="1">
      <c r="A25" s="165" t="s">
        <v>147</v>
      </c>
      <c r="B25" s="1874" t="s">
        <v>243</v>
      </c>
      <c r="C25" s="166">
        <f t="shared" si="0"/>
        <v>8634946</v>
      </c>
      <c r="D25" s="166"/>
      <c r="E25" s="176"/>
      <c r="F25" s="177">
        <f>SUM(F26:F27)</f>
        <v>10000</v>
      </c>
      <c r="G25" s="169">
        <f t="shared" si="2"/>
        <v>10000</v>
      </c>
      <c r="H25" s="166"/>
      <c r="I25" s="176">
        <f>I26</f>
        <v>51136</v>
      </c>
      <c r="J25" s="177">
        <v>8573810</v>
      </c>
      <c r="K25" s="171">
        <f aca="true" t="shared" si="3" ref="K25:K45">SUM(H25:J25)</f>
        <v>8624946</v>
      </c>
      <c r="L25" s="172"/>
      <c r="M25" s="172"/>
      <c r="N25" s="172"/>
    </row>
    <row r="26" spans="1:11" s="1883" customFormat="1" ht="12" customHeight="1">
      <c r="A26" s="1875"/>
      <c r="B26" s="1877" t="s">
        <v>238</v>
      </c>
      <c r="C26" s="1878">
        <f t="shared" si="0"/>
        <v>8096761</v>
      </c>
      <c r="D26" s="1879"/>
      <c r="E26" s="1880"/>
      <c r="F26" s="1881">
        <v>10000</v>
      </c>
      <c r="G26" s="1881">
        <f t="shared" si="2"/>
        <v>10000</v>
      </c>
      <c r="H26" s="1879"/>
      <c r="I26" s="1880">
        <v>51136</v>
      </c>
      <c r="J26" s="1881">
        <f>J25-J27</f>
        <v>8035625</v>
      </c>
      <c r="K26" s="1882">
        <f t="shared" si="3"/>
        <v>8086761</v>
      </c>
    </row>
    <row r="27" spans="1:11" s="1883" customFormat="1" ht="10.5" customHeight="1">
      <c r="A27" s="1876"/>
      <c r="B27" s="1884" t="s">
        <v>239</v>
      </c>
      <c r="C27" s="1885">
        <f t="shared" si="0"/>
        <v>538185</v>
      </c>
      <c r="D27" s="1886"/>
      <c r="E27" s="442"/>
      <c r="F27" s="1887"/>
      <c r="G27" s="409"/>
      <c r="H27" s="1886"/>
      <c r="I27" s="442"/>
      <c r="J27" s="1887">
        <v>538185</v>
      </c>
      <c r="K27" s="409">
        <f t="shared" si="3"/>
        <v>538185</v>
      </c>
    </row>
    <row r="28" spans="1:14" s="174" customFormat="1" ht="43.5" customHeight="1">
      <c r="A28" s="165" t="s">
        <v>149</v>
      </c>
      <c r="B28" s="1874" t="s">
        <v>244</v>
      </c>
      <c r="C28" s="166">
        <f t="shared" si="0"/>
        <v>170953575</v>
      </c>
      <c r="D28" s="170">
        <f>D29</f>
        <v>144794869</v>
      </c>
      <c r="E28" s="168"/>
      <c r="F28" s="169"/>
      <c r="G28" s="169">
        <f aca="true" t="shared" si="4" ref="G28:G34">SUM(D28:F28)</f>
        <v>144794869</v>
      </c>
      <c r="H28" s="170">
        <f>H29</f>
        <v>26158706</v>
      </c>
      <c r="I28" s="168"/>
      <c r="J28" s="169"/>
      <c r="K28" s="171">
        <f t="shared" si="3"/>
        <v>26158706</v>
      </c>
      <c r="L28" s="172"/>
      <c r="M28" s="172"/>
      <c r="N28" s="172"/>
    </row>
    <row r="29" spans="1:11" s="1883" customFormat="1" ht="12.75" customHeight="1">
      <c r="A29" s="1876"/>
      <c r="B29" s="1888" t="s">
        <v>238</v>
      </c>
      <c r="C29" s="1889">
        <f t="shared" si="0"/>
        <v>170953575</v>
      </c>
      <c r="D29" s="1890">
        <v>144794869</v>
      </c>
      <c r="E29" s="1891"/>
      <c r="F29" s="1892"/>
      <c r="G29" s="1892">
        <f t="shared" si="4"/>
        <v>144794869</v>
      </c>
      <c r="H29" s="1890">
        <f>23759464+2400000-758</f>
        <v>26158706</v>
      </c>
      <c r="I29" s="1891"/>
      <c r="J29" s="1892"/>
      <c r="K29" s="1893">
        <f t="shared" si="3"/>
        <v>26158706</v>
      </c>
    </row>
    <row r="30" spans="1:14" s="174" customFormat="1" ht="15" customHeight="1">
      <c r="A30" s="165" t="s">
        <v>153</v>
      </c>
      <c r="B30" s="1874" t="s">
        <v>154</v>
      </c>
      <c r="C30" s="166">
        <f t="shared" si="0"/>
        <v>103479812</v>
      </c>
      <c r="D30" s="170">
        <f>D31</f>
        <v>42954789</v>
      </c>
      <c r="E30" s="168"/>
      <c r="F30" s="169"/>
      <c r="G30" s="169">
        <f t="shared" si="4"/>
        <v>42954789</v>
      </c>
      <c r="H30" s="170">
        <f>H31</f>
        <v>60525023</v>
      </c>
      <c r="I30" s="168"/>
      <c r="J30" s="169"/>
      <c r="K30" s="171">
        <f t="shared" si="3"/>
        <v>60525023</v>
      </c>
      <c r="L30" s="172"/>
      <c r="M30" s="172"/>
      <c r="N30" s="172"/>
    </row>
    <row r="31" spans="1:11" s="1883" customFormat="1" ht="12.75" customHeight="1">
      <c r="A31" s="1876"/>
      <c r="B31" s="1877" t="s">
        <v>238</v>
      </c>
      <c r="C31" s="1878">
        <f t="shared" si="0"/>
        <v>103479812</v>
      </c>
      <c r="D31" s="1879">
        <v>42954789</v>
      </c>
      <c r="E31" s="1880"/>
      <c r="F31" s="1881"/>
      <c r="G31" s="1881">
        <f t="shared" si="4"/>
        <v>42954789</v>
      </c>
      <c r="H31" s="1879">
        <v>60525023</v>
      </c>
      <c r="I31" s="1880"/>
      <c r="J31" s="1881"/>
      <c r="K31" s="1882">
        <f t="shared" si="3"/>
        <v>60525023</v>
      </c>
    </row>
    <row r="32" spans="1:14" s="174" customFormat="1" ht="16.5" customHeight="1">
      <c r="A32" s="165" t="s">
        <v>155</v>
      </c>
      <c r="B32" s="1894" t="s">
        <v>156</v>
      </c>
      <c r="C32" s="179">
        <f t="shared" si="0"/>
        <v>3078303</v>
      </c>
      <c r="D32" s="180">
        <v>1610697</v>
      </c>
      <c r="E32" s="181">
        <f>E33</f>
        <v>282500</v>
      </c>
      <c r="F32" s="182"/>
      <c r="G32" s="182">
        <f t="shared" si="4"/>
        <v>1893197</v>
      </c>
      <c r="H32" s="180">
        <v>1185106</v>
      </c>
      <c r="I32" s="181"/>
      <c r="J32" s="182"/>
      <c r="K32" s="183">
        <f t="shared" si="3"/>
        <v>1185106</v>
      </c>
      <c r="L32" s="172"/>
      <c r="M32" s="172"/>
      <c r="N32" s="172"/>
    </row>
    <row r="33" spans="1:11" s="1883" customFormat="1" ht="12" customHeight="1">
      <c r="A33" s="1875"/>
      <c r="B33" s="1877" t="s">
        <v>754</v>
      </c>
      <c r="C33" s="1878">
        <f t="shared" si="0"/>
        <v>2757798</v>
      </c>
      <c r="D33" s="1879">
        <f>D32-D34</f>
        <v>1296892</v>
      </c>
      <c r="E33" s="1880">
        <v>282500</v>
      </c>
      <c r="F33" s="1881"/>
      <c r="G33" s="1881">
        <f t="shared" si="4"/>
        <v>1579392</v>
      </c>
      <c r="H33" s="1879">
        <f>H32-H34</f>
        <v>1178406</v>
      </c>
      <c r="I33" s="1880"/>
      <c r="J33" s="1881"/>
      <c r="K33" s="1882">
        <f t="shared" si="3"/>
        <v>1178406</v>
      </c>
    </row>
    <row r="34" spans="1:11" s="1883" customFormat="1" ht="12" customHeight="1">
      <c r="A34" s="1876"/>
      <c r="B34" s="1884" t="s">
        <v>750</v>
      </c>
      <c r="C34" s="1885">
        <f t="shared" si="0"/>
        <v>320505</v>
      </c>
      <c r="D34" s="1886">
        <f>1305+180625+31875+100000</f>
        <v>313805</v>
      </c>
      <c r="E34" s="442"/>
      <c r="F34" s="1887"/>
      <c r="G34" s="1901">
        <f t="shared" si="4"/>
        <v>313805</v>
      </c>
      <c r="H34" s="1886">
        <f>6200+300+200</f>
        <v>6700</v>
      </c>
      <c r="I34" s="442"/>
      <c r="J34" s="1887"/>
      <c r="K34" s="409">
        <f t="shared" si="3"/>
        <v>6700</v>
      </c>
    </row>
    <row r="35" spans="1:14" s="185" customFormat="1" ht="18.75" customHeight="1">
      <c r="A35" s="165" t="s">
        <v>159</v>
      </c>
      <c r="B35" s="1874" t="s">
        <v>160</v>
      </c>
      <c r="C35" s="166">
        <f t="shared" si="0"/>
        <v>9900</v>
      </c>
      <c r="D35" s="170"/>
      <c r="E35" s="168"/>
      <c r="F35" s="169"/>
      <c r="G35" s="184"/>
      <c r="H35" s="170"/>
      <c r="I35" s="168"/>
      <c r="J35" s="169">
        <f>J36</f>
        <v>9900</v>
      </c>
      <c r="K35" s="171">
        <f t="shared" si="3"/>
        <v>9900</v>
      </c>
      <c r="L35" s="172"/>
      <c r="M35" s="172"/>
      <c r="N35" s="172"/>
    </row>
    <row r="36" spans="1:14" s="1883" customFormat="1" ht="15" customHeight="1">
      <c r="A36" s="1876"/>
      <c r="B36" s="1877" t="s">
        <v>238</v>
      </c>
      <c r="C36" s="1889">
        <f t="shared" si="0"/>
        <v>9900</v>
      </c>
      <c r="D36" s="1890"/>
      <c r="E36" s="1891"/>
      <c r="F36" s="1892"/>
      <c r="G36" s="1892"/>
      <c r="H36" s="1890"/>
      <c r="I36" s="1891"/>
      <c r="J36" s="1892">
        <v>9900</v>
      </c>
      <c r="K36" s="1893">
        <f t="shared" si="3"/>
        <v>9900</v>
      </c>
      <c r="L36" s="1895"/>
      <c r="M36" s="1895"/>
      <c r="N36" s="1895"/>
    </row>
    <row r="37" spans="1:14" s="185" customFormat="1" ht="18" customHeight="1">
      <c r="A37" s="165" t="s">
        <v>161</v>
      </c>
      <c r="B37" s="1874" t="s">
        <v>245</v>
      </c>
      <c r="C37" s="166">
        <f t="shared" si="0"/>
        <v>25547871</v>
      </c>
      <c r="D37" s="170">
        <f>D38</f>
        <v>6176251</v>
      </c>
      <c r="E37" s="186"/>
      <c r="F37" s="168">
        <f>F38</f>
        <v>18920439</v>
      </c>
      <c r="G37" s="169">
        <f aca="true" t="shared" si="5" ref="G37:G45">SUM(D37:F37)</f>
        <v>25096690</v>
      </c>
      <c r="H37" s="170">
        <f>H38</f>
        <v>434681</v>
      </c>
      <c r="I37" s="168"/>
      <c r="J37" s="169">
        <f>J38</f>
        <v>16500</v>
      </c>
      <c r="K37" s="187">
        <f t="shared" si="3"/>
        <v>451181</v>
      </c>
      <c r="L37" s="172"/>
      <c r="M37" s="172"/>
      <c r="N37" s="172"/>
    </row>
    <row r="38" spans="1:14" s="1883" customFormat="1" ht="15" customHeight="1">
      <c r="A38" s="1876"/>
      <c r="B38" s="1877" t="s">
        <v>238</v>
      </c>
      <c r="C38" s="1878">
        <f t="shared" si="0"/>
        <v>25547871</v>
      </c>
      <c r="D38" s="1879">
        <v>6176251</v>
      </c>
      <c r="E38" s="1880"/>
      <c r="F38" s="1881">
        <v>18920439</v>
      </c>
      <c r="G38" s="1881">
        <f t="shared" si="5"/>
        <v>25096690</v>
      </c>
      <c r="H38" s="1879">
        <v>434681</v>
      </c>
      <c r="I38" s="1880"/>
      <c r="J38" s="1881">
        <v>16500</v>
      </c>
      <c r="K38" s="1882">
        <f t="shared" si="3"/>
        <v>451181</v>
      </c>
      <c r="L38" s="1895"/>
      <c r="M38" s="1895"/>
      <c r="N38" s="1895"/>
    </row>
    <row r="39" spans="1:14" s="185" customFormat="1" ht="25.5" customHeight="1">
      <c r="A39" s="165" t="s">
        <v>163</v>
      </c>
      <c r="B39" s="1874" t="s">
        <v>164</v>
      </c>
      <c r="C39" s="166">
        <f t="shared" si="0"/>
        <v>1745030</v>
      </c>
      <c r="D39" s="170">
        <f>D40</f>
        <v>906293</v>
      </c>
      <c r="E39" s="168"/>
      <c r="F39" s="169"/>
      <c r="G39" s="182">
        <f t="shared" si="5"/>
        <v>906293</v>
      </c>
      <c r="H39" s="170">
        <f>H40</f>
        <v>712737</v>
      </c>
      <c r="I39" s="168"/>
      <c r="J39" s="169">
        <f>J40</f>
        <v>126000</v>
      </c>
      <c r="K39" s="171">
        <f t="shared" si="3"/>
        <v>838737</v>
      </c>
      <c r="L39" s="172"/>
      <c r="M39" s="172"/>
      <c r="N39" s="172"/>
    </row>
    <row r="40" spans="1:14" s="1883" customFormat="1" ht="15" customHeight="1">
      <c r="A40" s="1876"/>
      <c r="B40" s="1877" t="s">
        <v>238</v>
      </c>
      <c r="C40" s="1878">
        <f t="shared" si="0"/>
        <v>1745030</v>
      </c>
      <c r="D40" s="1879">
        <v>906293</v>
      </c>
      <c r="E40" s="1880"/>
      <c r="F40" s="1881"/>
      <c r="G40" s="1881">
        <f t="shared" si="5"/>
        <v>906293</v>
      </c>
      <c r="H40" s="1879">
        <f>480436+82852+149449</f>
        <v>712737</v>
      </c>
      <c r="I40" s="1880"/>
      <c r="J40" s="1881">
        <v>126000</v>
      </c>
      <c r="K40" s="1882">
        <f t="shared" si="3"/>
        <v>838737</v>
      </c>
      <c r="L40" s="1895"/>
      <c r="M40" s="1895"/>
      <c r="N40" s="1895"/>
    </row>
    <row r="41" spans="1:14" s="185" customFormat="1" ht="24" customHeight="1">
      <c r="A41" s="165" t="s">
        <v>165</v>
      </c>
      <c r="B41" s="1874" t="s">
        <v>247</v>
      </c>
      <c r="C41" s="166">
        <f t="shared" si="0"/>
        <v>2469785</v>
      </c>
      <c r="D41" s="170">
        <f>D42</f>
        <v>973625</v>
      </c>
      <c r="E41" s="189"/>
      <c r="F41" s="190"/>
      <c r="G41" s="169">
        <f t="shared" si="5"/>
        <v>973625</v>
      </c>
      <c r="H41" s="170">
        <v>1496160</v>
      </c>
      <c r="I41" s="168"/>
      <c r="J41" s="169"/>
      <c r="K41" s="171">
        <f t="shared" si="3"/>
        <v>1496160</v>
      </c>
      <c r="L41" s="172"/>
      <c r="M41" s="172"/>
      <c r="N41" s="172"/>
    </row>
    <row r="42" spans="1:14" s="1883" customFormat="1" ht="15" customHeight="1">
      <c r="A42" s="1875"/>
      <c r="B42" s="1877" t="s">
        <v>238</v>
      </c>
      <c r="C42" s="1878">
        <f t="shared" si="0"/>
        <v>2469485</v>
      </c>
      <c r="D42" s="1879">
        <v>973625</v>
      </c>
      <c r="E42" s="1880"/>
      <c r="F42" s="1881"/>
      <c r="G42" s="1881">
        <f t="shared" si="5"/>
        <v>973625</v>
      </c>
      <c r="H42" s="1879">
        <f>H41-H43</f>
        <v>1495860</v>
      </c>
      <c r="I42" s="1880"/>
      <c r="J42" s="1881"/>
      <c r="K42" s="1882">
        <f t="shared" si="3"/>
        <v>1495860</v>
      </c>
      <c r="L42" s="1895"/>
      <c r="M42" s="1895"/>
      <c r="N42" s="1895"/>
    </row>
    <row r="43" spans="1:14" s="1883" customFormat="1" ht="15" customHeight="1">
      <c r="A43" s="1875"/>
      <c r="B43" s="1884" t="s">
        <v>750</v>
      </c>
      <c r="C43" s="1903">
        <f>G43+K43</f>
        <v>300</v>
      </c>
      <c r="D43" s="1898"/>
      <c r="E43" s="631"/>
      <c r="F43" s="1901"/>
      <c r="G43" s="1901"/>
      <c r="H43" s="1898">
        <v>300</v>
      </c>
      <c r="I43" s="631"/>
      <c r="J43" s="1901"/>
      <c r="K43" s="350">
        <f>H43</f>
        <v>300</v>
      </c>
      <c r="L43" s="1895"/>
      <c r="M43" s="1895"/>
      <c r="N43" s="1895"/>
    </row>
    <row r="44" spans="1:14" s="185" customFormat="1" ht="24" customHeight="1">
      <c r="A44" s="165" t="s">
        <v>167</v>
      </c>
      <c r="B44" s="1874" t="s">
        <v>248</v>
      </c>
      <c r="C44" s="166">
        <f t="shared" si="0"/>
        <v>50300</v>
      </c>
      <c r="D44" s="170">
        <f>D45</f>
        <v>50000</v>
      </c>
      <c r="E44" s="168"/>
      <c r="F44" s="169"/>
      <c r="G44" s="169">
        <f t="shared" si="5"/>
        <v>50000</v>
      </c>
      <c r="H44" s="188">
        <f>H45</f>
        <v>300</v>
      </c>
      <c r="I44" s="189"/>
      <c r="J44" s="190"/>
      <c r="K44" s="171">
        <f t="shared" si="3"/>
        <v>300</v>
      </c>
      <c r="L44" s="172"/>
      <c r="M44" s="172"/>
      <c r="N44" s="172"/>
    </row>
    <row r="45" spans="1:14" s="1883" customFormat="1" ht="15" customHeight="1">
      <c r="A45" s="1876"/>
      <c r="B45" s="1877" t="s">
        <v>238</v>
      </c>
      <c r="C45" s="1878">
        <f t="shared" si="0"/>
        <v>50300</v>
      </c>
      <c r="D45" s="1879">
        <f>20000+30000</f>
        <v>50000</v>
      </c>
      <c r="E45" s="1880"/>
      <c r="F45" s="1881"/>
      <c r="G45" s="1881">
        <f t="shared" si="5"/>
        <v>50000</v>
      </c>
      <c r="H45" s="1879">
        <v>300</v>
      </c>
      <c r="I45" s="1880"/>
      <c r="J45" s="1881"/>
      <c r="K45" s="2329">
        <f t="shared" si="3"/>
        <v>300</v>
      </c>
      <c r="L45" s="1895"/>
      <c r="M45" s="1895"/>
      <c r="N45" s="1895"/>
    </row>
    <row r="46" spans="1:14" s="185" customFormat="1" ht="23.25" customHeight="1">
      <c r="A46" s="165" t="s">
        <v>171</v>
      </c>
      <c r="B46" s="1874" t="s">
        <v>172</v>
      </c>
      <c r="C46" s="166">
        <f t="shared" si="0"/>
        <v>689144</v>
      </c>
      <c r="D46" s="170">
        <f>D47</f>
        <v>76144</v>
      </c>
      <c r="E46" s="168">
        <f>E47</f>
        <v>5000</v>
      </c>
      <c r="F46" s="1896"/>
      <c r="G46" s="182">
        <f>SUM(D46:F46)</f>
        <v>81144</v>
      </c>
      <c r="H46" s="170">
        <f>SUM(H47:H48)</f>
        <v>540000</v>
      </c>
      <c r="I46" s="168">
        <f>I47+I48</f>
        <v>68000</v>
      </c>
      <c r="J46" s="169"/>
      <c r="K46" s="171">
        <f>SUM(H46:J46)</f>
        <v>608000</v>
      </c>
      <c r="L46" s="172"/>
      <c r="M46" s="172"/>
      <c r="N46" s="172"/>
    </row>
    <row r="47" spans="1:14" s="135" customFormat="1" ht="14.25" customHeight="1">
      <c r="A47" s="1755"/>
      <c r="B47" s="1897" t="s">
        <v>754</v>
      </c>
      <c r="C47" s="1878">
        <f>K47+G47</f>
        <v>621144</v>
      </c>
      <c r="D47" s="1898">
        <v>76144</v>
      </c>
      <c r="E47" s="631">
        <v>5000</v>
      </c>
      <c r="F47" s="1900"/>
      <c r="G47" s="1881">
        <f>SUM(D47:F47)</f>
        <v>81144</v>
      </c>
      <c r="H47" s="1898">
        <v>540000</v>
      </c>
      <c r="I47" s="631"/>
      <c r="J47" s="1901"/>
      <c r="K47" s="1882">
        <f>H47</f>
        <v>540000</v>
      </c>
      <c r="L47" s="1902"/>
      <c r="M47" s="1902"/>
      <c r="N47" s="1902"/>
    </row>
    <row r="48" spans="1:14" s="1883" customFormat="1" ht="13.5" customHeight="1">
      <c r="A48" s="1875"/>
      <c r="B48" s="1884" t="s">
        <v>750</v>
      </c>
      <c r="C48" s="1903">
        <f t="shared" si="0"/>
        <v>68000</v>
      </c>
      <c r="D48" s="1886"/>
      <c r="E48" s="442"/>
      <c r="F48" s="1887"/>
      <c r="G48" s="1901"/>
      <c r="H48" s="1886">
        <f>1424079-1424079</f>
        <v>0</v>
      </c>
      <c r="I48" s="442">
        <v>68000</v>
      </c>
      <c r="J48" s="1887"/>
      <c r="K48" s="350">
        <f>SUM(H48:J48)</f>
        <v>68000</v>
      </c>
      <c r="L48" s="1895"/>
      <c r="M48" s="1895"/>
      <c r="N48" s="1895"/>
    </row>
    <row r="49" spans="1:14" s="195" customFormat="1" ht="16.5" customHeight="1">
      <c r="A49" s="165" t="s">
        <v>173</v>
      </c>
      <c r="B49" s="1874" t="s">
        <v>174</v>
      </c>
      <c r="C49" s="2206">
        <f>G49+K49</f>
        <v>2416000</v>
      </c>
      <c r="D49" s="2207">
        <f>SUM(D50:D51)</f>
        <v>2416000</v>
      </c>
      <c r="E49" s="2208"/>
      <c r="F49" s="2209"/>
      <c r="G49" s="192">
        <f>SUM(G50:G51)</f>
        <v>2416000</v>
      </c>
      <c r="H49" s="2207"/>
      <c r="I49" s="191"/>
      <c r="J49" s="192"/>
      <c r="K49" s="193"/>
      <c r="L49" s="194"/>
      <c r="M49" s="194"/>
      <c r="N49" s="194"/>
    </row>
    <row r="50" spans="1:14" s="1873" customFormat="1" ht="12" customHeight="1">
      <c r="A50" s="1755"/>
      <c r="B50" s="1897" t="s">
        <v>754</v>
      </c>
      <c r="C50" s="1903">
        <f>G50</f>
        <v>485000</v>
      </c>
      <c r="D50" s="1898">
        <f>550000-65000</f>
        <v>485000</v>
      </c>
      <c r="E50" s="1899"/>
      <c r="F50" s="1900"/>
      <c r="G50" s="1901">
        <f>SUM(D50:F50)</f>
        <v>485000</v>
      </c>
      <c r="H50" s="1898"/>
      <c r="I50" s="631"/>
      <c r="J50" s="1901"/>
      <c r="K50" s="350"/>
      <c r="L50" s="1904"/>
      <c r="M50" s="1904"/>
      <c r="N50" s="1904"/>
    </row>
    <row r="51" spans="1:14" s="1883" customFormat="1" ht="15" customHeight="1" thickBot="1">
      <c r="A51" s="1905"/>
      <c r="B51" s="1884" t="s">
        <v>239</v>
      </c>
      <c r="C51" s="1903">
        <f>G51+K51</f>
        <v>1931000</v>
      </c>
      <c r="D51" s="1886">
        <f>1332000+65000+534000</f>
        <v>1931000</v>
      </c>
      <c r="E51" s="442"/>
      <c r="F51" s="1887"/>
      <c r="G51" s="1901">
        <f>SUM(D51:F51)</f>
        <v>1931000</v>
      </c>
      <c r="H51" s="1886"/>
      <c r="I51" s="442"/>
      <c r="J51" s="1887"/>
      <c r="K51" s="350"/>
      <c r="L51" s="1895"/>
      <c r="M51" s="1895"/>
      <c r="N51" s="1895"/>
    </row>
    <row r="52" spans="1:15" s="202" customFormat="1" ht="30" customHeight="1" thickBot="1" thickTop="1">
      <c r="A52" s="196"/>
      <c r="B52" s="197" t="s">
        <v>249</v>
      </c>
      <c r="C52" s="2112">
        <f>C10+C46+C44+C41+C39+C37+C35+C32+C30+C28+C25+C23+C21+C18+C15+C12+C49</f>
        <v>352939906.83</v>
      </c>
      <c r="D52" s="198">
        <f aca="true" t="shared" si="6" ref="D52:K52">D46+D44+D41+D39+D37+D35+D32+D30+D28+D25+D23+D21+D18+D15+D12+D49</f>
        <v>231200441</v>
      </c>
      <c r="E52" s="199">
        <f t="shared" si="6"/>
        <v>304100</v>
      </c>
      <c r="F52" s="2113">
        <f>F10+F46+F44+F41+F39+F37+F35+F32+F30+F28+F25+F23+F21+F18+F15+F12+F49</f>
        <v>19835008.83</v>
      </c>
      <c r="G52" s="2114">
        <f>G10+G46+G44+G41+G39+G37+G35+G32+G30+G28+G25+G23+G21+G18+G15+G12+G49</f>
        <v>251339549.82999998</v>
      </c>
      <c r="H52" s="198">
        <f t="shared" si="6"/>
        <v>92008713</v>
      </c>
      <c r="I52" s="199">
        <f>I46+I44+I41+I39+I37+I35+I32+I30+I28+I25+I23+I21+I18+I15+I12+I49</f>
        <v>123570</v>
      </c>
      <c r="J52" s="199">
        <f t="shared" si="6"/>
        <v>9468074</v>
      </c>
      <c r="K52" s="200">
        <f t="shared" si="6"/>
        <v>101600357</v>
      </c>
      <c r="L52" s="201"/>
      <c r="M52" s="201"/>
      <c r="N52" s="201"/>
      <c r="O52" s="201"/>
    </row>
    <row r="53" spans="1:11" s="173" customFormat="1" ht="15" customHeight="1" thickTop="1">
      <c r="A53" s="203"/>
      <c r="B53" s="204" t="s">
        <v>238</v>
      </c>
      <c r="C53" s="2115">
        <f>C11+C45+C42+C40+C38+C36+C33+C31+C29+C26+C24+C22+C19+C16+C13+C47+C50</f>
        <v>328144016.83</v>
      </c>
      <c r="D53" s="205">
        <f>D45+D42+D40+D38+D36+D33+D31+D29+D26+D24+D22+D19+D16+D13+D50+D47</f>
        <v>207017736</v>
      </c>
      <c r="E53" s="206">
        <f>E45+E42+E40+E38+E36+E32+E31+E29+E26+E24+E22+E19+E16+E13+E47</f>
        <v>304100</v>
      </c>
      <c r="F53" s="2116">
        <f>F11+F45+F42+F40+F38+F36+F33+F31+F29+F26+F24+F22+F19+F16+F13</f>
        <v>19835008.83</v>
      </c>
      <c r="G53" s="2117">
        <f>SUM(D53:F53)</f>
        <v>227156844.82999998</v>
      </c>
      <c r="H53" s="205">
        <f>H45+H42+H40+H38+H36+H33+H31+H29+H26+H24+H22+H19+H16+H13+H47</f>
        <v>92001713</v>
      </c>
      <c r="I53" s="206">
        <f>I45+I42+I40+I38+I36+I33+I31+I29+I26+I24+I22+I19+I16+I13</f>
        <v>55570</v>
      </c>
      <c r="J53" s="206">
        <f>J45+J42+J40+J38+J36+J33+J31+J29+J26+J24+J22+J19+J16+J13</f>
        <v>8929889</v>
      </c>
      <c r="K53" s="207">
        <f>SUM(H53:J53)</f>
        <v>100987172</v>
      </c>
    </row>
    <row r="54" spans="1:11" s="173" customFormat="1" ht="17.25" customHeight="1" thickBot="1">
      <c r="A54" s="208"/>
      <c r="B54" s="209" t="s">
        <v>239</v>
      </c>
      <c r="C54" s="210">
        <f>C48+C27+C20+C17+C14+C51+C34+C43</f>
        <v>24795890</v>
      </c>
      <c r="D54" s="210">
        <f>D48+D27+D20+D17+D51+D34</f>
        <v>24182705</v>
      </c>
      <c r="E54" s="211"/>
      <c r="F54" s="211"/>
      <c r="G54" s="212">
        <f>SUM(D54:F54)</f>
        <v>24182705</v>
      </c>
      <c r="H54" s="210">
        <f>H48+H27+H20+H17+H14+H51+H34+H43</f>
        <v>7000</v>
      </c>
      <c r="I54" s="211">
        <f>I48</f>
        <v>68000</v>
      </c>
      <c r="J54" s="211">
        <f>J48+J27+J20+J17+J14+J51</f>
        <v>538185</v>
      </c>
      <c r="K54" s="212">
        <f>SUM(H54:J54)</f>
        <v>613185</v>
      </c>
    </row>
    <row r="55" spans="1:7" ht="16.5" thickTop="1">
      <c r="A55" s="87" t="s">
        <v>423</v>
      </c>
      <c r="G55" s="194"/>
    </row>
    <row r="56" spans="1:7" ht="15.75">
      <c r="A56" s="87" t="s">
        <v>181</v>
      </c>
      <c r="G56" s="194"/>
    </row>
    <row r="57" spans="1:7" ht="15.75">
      <c r="A57" s="87" t="s">
        <v>40</v>
      </c>
      <c r="G57" s="194"/>
    </row>
    <row r="58" ht="15.75">
      <c r="G58" s="194"/>
    </row>
    <row r="59" ht="15.75">
      <c r="G59" s="194"/>
    </row>
    <row r="60" ht="15.75">
      <c r="G60" s="194"/>
    </row>
    <row r="61" ht="15.75">
      <c r="G61" s="194"/>
    </row>
    <row r="62" ht="15.75">
      <c r="G62" s="194"/>
    </row>
    <row r="63" ht="15.75">
      <c r="G63" s="194"/>
    </row>
    <row r="64" ht="15.75">
      <c r="G64" s="194"/>
    </row>
    <row r="65" ht="15.75">
      <c r="G65" s="194"/>
    </row>
    <row r="66" ht="15.75">
      <c r="G66" s="194"/>
    </row>
    <row r="67" ht="15.75">
      <c r="G67" s="194"/>
    </row>
    <row r="68" ht="15.75">
      <c r="G68" s="194"/>
    </row>
    <row r="69" ht="15.75">
      <c r="G69" s="194"/>
    </row>
    <row r="70" ht="15.75">
      <c r="G70" s="194"/>
    </row>
    <row r="71" ht="15.75">
      <c r="G71" s="194"/>
    </row>
    <row r="72" ht="15.75">
      <c r="G72" s="194"/>
    </row>
    <row r="73" ht="15.75">
      <c r="G73" s="194"/>
    </row>
    <row r="74" ht="15.75">
      <c r="G74" s="194"/>
    </row>
    <row r="75" ht="15.75">
      <c r="G75" s="194"/>
    </row>
    <row r="76" ht="15.75">
      <c r="G76" s="194"/>
    </row>
    <row r="77" ht="15.75">
      <c r="G77" s="194"/>
    </row>
    <row r="78" ht="15.75">
      <c r="G78" s="194"/>
    </row>
    <row r="79" ht="15.75">
      <c r="G79" s="194"/>
    </row>
    <row r="80" ht="15.75">
      <c r="G80" s="194"/>
    </row>
    <row r="81" ht="15.75">
      <c r="G81" s="194"/>
    </row>
    <row r="82" ht="15.75">
      <c r="G82" s="194"/>
    </row>
    <row r="83" ht="15.75">
      <c r="G83" s="194"/>
    </row>
    <row r="84" ht="15.75">
      <c r="G84" s="194"/>
    </row>
    <row r="85" ht="15.75">
      <c r="G85" s="194"/>
    </row>
    <row r="86" ht="15.75">
      <c r="G86" s="194"/>
    </row>
    <row r="87" ht="15.75">
      <c r="G87" s="194"/>
    </row>
    <row r="88" ht="15.75">
      <c r="G88" s="194"/>
    </row>
    <row r="89" ht="15.75">
      <c r="G89" s="194"/>
    </row>
    <row r="90" ht="15.75">
      <c r="G90" s="194"/>
    </row>
    <row r="91" ht="15.75">
      <c r="G91" s="194"/>
    </row>
    <row r="92" ht="15.75">
      <c r="G92" s="194"/>
    </row>
    <row r="93" ht="15.75">
      <c r="G93" s="194"/>
    </row>
    <row r="94" ht="15.75">
      <c r="G94" s="194"/>
    </row>
    <row r="95" ht="15.75">
      <c r="G95" s="194"/>
    </row>
    <row r="96" ht="15.75">
      <c r="G96" s="194"/>
    </row>
    <row r="97" ht="15.75">
      <c r="G97" s="194"/>
    </row>
    <row r="98" ht="15.75">
      <c r="G98" s="194"/>
    </row>
    <row r="99" ht="15.75">
      <c r="G99" s="194"/>
    </row>
    <row r="100" ht="15.75">
      <c r="G100" s="194"/>
    </row>
    <row r="101" ht="15.75">
      <c r="G101" s="194"/>
    </row>
    <row r="102" ht="15.75">
      <c r="G102" s="194"/>
    </row>
    <row r="103" ht="15.75">
      <c r="G103" s="194"/>
    </row>
    <row r="104" ht="15.75">
      <c r="G104" s="194"/>
    </row>
    <row r="105" ht="15.75">
      <c r="G105" s="194"/>
    </row>
    <row r="106" ht="15.75">
      <c r="G106" s="194"/>
    </row>
    <row r="107" ht="15.75">
      <c r="G107" s="194"/>
    </row>
    <row r="108" ht="15.75">
      <c r="G108" s="194"/>
    </row>
    <row r="109" ht="15.75">
      <c r="G109" s="194"/>
    </row>
    <row r="110" ht="15.75">
      <c r="G110" s="194"/>
    </row>
    <row r="111" ht="15.75">
      <c r="G111" s="194"/>
    </row>
    <row r="112" ht="15.75">
      <c r="G112" s="194"/>
    </row>
    <row r="113" ht="15.75">
      <c r="G113" s="194"/>
    </row>
    <row r="114" ht="15.75">
      <c r="G114" s="194"/>
    </row>
    <row r="115" ht="15.75">
      <c r="G115" s="194"/>
    </row>
    <row r="116" ht="15.75">
      <c r="G116" s="194"/>
    </row>
    <row r="117" ht="15.75">
      <c r="G117" s="194"/>
    </row>
    <row r="118" ht="15.75">
      <c r="G118" s="194"/>
    </row>
    <row r="119" ht="15.75">
      <c r="G119" s="194"/>
    </row>
    <row r="120" ht="15.75">
      <c r="G120" s="194"/>
    </row>
    <row r="121" ht="15.75">
      <c r="G121" s="194"/>
    </row>
    <row r="122" ht="15.75">
      <c r="G122" s="194"/>
    </row>
    <row r="123" ht="15.75">
      <c r="G123" s="194"/>
    </row>
    <row r="124" ht="15.75">
      <c r="G124" s="194"/>
    </row>
    <row r="125" ht="15.75">
      <c r="G125" s="194"/>
    </row>
    <row r="126" ht="15.75">
      <c r="G126" s="194"/>
    </row>
    <row r="127" ht="15.75">
      <c r="G127" s="194"/>
    </row>
    <row r="128" ht="15.75">
      <c r="G128" s="194"/>
    </row>
    <row r="129" ht="15.75">
      <c r="G129" s="194"/>
    </row>
    <row r="130" ht="15.75">
      <c r="G130" s="194"/>
    </row>
    <row r="131" ht="15.75">
      <c r="G131" s="194"/>
    </row>
    <row r="132" ht="15.75">
      <c r="G132" s="194"/>
    </row>
    <row r="133" ht="15.75">
      <c r="G133" s="194"/>
    </row>
    <row r="134" ht="15.75">
      <c r="G134" s="194"/>
    </row>
    <row r="135" ht="15.75">
      <c r="G135" s="194"/>
    </row>
    <row r="136" ht="15.75">
      <c r="G136" s="194"/>
    </row>
    <row r="137" ht="15.75">
      <c r="G137" s="194"/>
    </row>
    <row r="138" ht="15.75">
      <c r="G138" s="194"/>
    </row>
    <row r="139" ht="15.75">
      <c r="G139" s="194"/>
    </row>
    <row r="140" ht="15.75">
      <c r="G140" s="194"/>
    </row>
    <row r="141" ht="15.75">
      <c r="G141" s="194"/>
    </row>
    <row r="142" ht="15.75">
      <c r="G142" s="194"/>
    </row>
    <row r="143" ht="15.75">
      <c r="G143" s="194"/>
    </row>
    <row r="144" ht="15.75">
      <c r="G144" s="194"/>
    </row>
    <row r="145" ht="15.75">
      <c r="G145" s="194"/>
    </row>
    <row r="146" ht="15.75">
      <c r="G146" s="194"/>
    </row>
    <row r="147" ht="15.75">
      <c r="G147" s="194"/>
    </row>
    <row r="148" ht="15.75">
      <c r="G148" s="194"/>
    </row>
    <row r="149" ht="15.75">
      <c r="G149" s="194"/>
    </row>
    <row r="150" ht="15.75">
      <c r="G150" s="194"/>
    </row>
    <row r="151" ht="15.75">
      <c r="G151" s="194"/>
    </row>
    <row r="152" ht="15.75">
      <c r="G152" s="194"/>
    </row>
    <row r="153" ht="15.75">
      <c r="G153" s="194"/>
    </row>
    <row r="154" ht="15.75">
      <c r="G154" s="194"/>
    </row>
    <row r="155" ht="15.75">
      <c r="G155" s="194"/>
    </row>
    <row r="156" ht="15.75">
      <c r="G156" s="194"/>
    </row>
    <row r="157" ht="15.75">
      <c r="G157" s="194"/>
    </row>
    <row r="158" ht="15.75">
      <c r="G158" s="194"/>
    </row>
    <row r="159" ht="15.75">
      <c r="G159" s="194"/>
    </row>
    <row r="160" ht="15.75">
      <c r="G160" s="194"/>
    </row>
    <row r="161" ht="15.75">
      <c r="G161" s="194"/>
    </row>
    <row r="162" ht="15.75">
      <c r="G162" s="194"/>
    </row>
    <row r="163" ht="15.75">
      <c r="G163" s="194"/>
    </row>
    <row r="164" ht="15.75">
      <c r="G164" s="194"/>
    </row>
    <row r="165" ht="15.75">
      <c r="G165" s="194"/>
    </row>
    <row r="166" ht="15.75">
      <c r="G166" s="194"/>
    </row>
    <row r="167" ht="15.75">
      <c r="G167" s="194"/>
    </row>
    <row r="168" ht="15.75">
      <c r="G168" s="194"/>
    </row>
    <row r="169" ht="15.75">
      <c r="G169" s="194"/>
    </row>
    <row r="170" ht="15.75">
      <c r="G170" s="194"/>
    </row>
    <row r="171" ht="15.75">
      <c r="G171" s="194"/>
    </row>
    <row r="172" ht="15.75">
      <c r="G172" s="194"/>
    </row>
    <row r="173" ht="15.75">
      <c r="G173" s="194"/>
    </row>
    <row r="174" ht="15.75">
      <c r="G174" s="194"/>
    </row>
    <row r="175" ht="15.75">
      <c r="G175" s="194"/>
    </row>
    <row r="176" ht="15.75">
      <c r="G176" s="194"/>
    </row>
    <row r="177" ht="15.75">
      <c r="G177" s="194"/>
    </row>
    <row r="178" ht="15.75">
      <c r="G178" s="194"/>
    </row>
    <row r="179" ht="15.75">
      <c r="G179" s="194"/>
    </row>
    <row r="180" ht="15.75">
      <c r="G180" s="194"/>
    </row>
    <row r="181" ht="15.75">
      <c r="G181" s="194"/>
    </row>
    <row r="182" ht="15.75">
      <c r="G182" s="194"/>
    </row>
    <row r="183" ht="15.75">
      <c r="G183" s="194"/>
    </row>
    <row r="184" ht="15.75">
      <c r="G184" s="194"/>
    </row>
    <row r="185" ht="15.75">
      <c r="G185" s="194"/>
    </row>
    <row r="186" ht="15.75">
      <c r="G186" s="194"/>
    </row>
    <row r="187" ht="15.75">
      <c r="G187" s="194"/>
    </row>
    <row r="188" ht="15.75">
      <c r="G188" s="194"/>
    </row>
    <row r="189" ht="15.75">
      <c r="G189" s="194"/>
    </row>
    <row r="190" ht="15.75">
      <c r="G190" s="194"/>
    </row>
    <row r="191" ht="15.75">
      <c r="G191" s="194"/>
    </row>
    <row r="192" ht="15.75">
      <c r="G192" s="194"/>
    </row>
    <row r="193" ht="15.75">
      <c r="G193" s="194"/>
    </row>
    <row r="194" ht="15.75">
      <c r="G194" s="194"/>
    </row>
    <row r="195" ht="15.75">
      <c r="G195" s="194"/>
    </row>
    <row r="196" ht="15.75">
      <c r="G196" s="194"/>
    </row>
    <row r="197" ht="15.75">
      <c r="G197" s="194"/>
    </row>
    <row r="198" ht="15.75">
      <c r="G198" s="194"/>
    </row>
    <row r="199" ht="15.75">
      <c r="G199" s="194"/>
    </row>
    <row r="200" ht="15.75">
      <c r="G200" s="194"/>
    </row>
    <row r="201" ht="15.75">
      <c r="G201" s="194"/>
    </row>
    <row r="202" ht="15.75">
      <c r="G202" s="194"/>
    </row>
    <row r="203" ht="15.75">
      <c r="G203" s="194"/>
    </row>
    <row r="204" ht="15.75">
      <c r="G204" s="194"/>
    </row>
    <row r="205" ht="15.75">
      <c r="G205" s="194"/>
    </row>
    <row r="206" ht="15.75">
      <c r="G206" s="194"/>
    </row>
    <row r="207" ht="15.75">
      <c r="G207" s="194"/>
    </row>
    <row r="208" ht="15.75">
      <c r="G208" s="194"/>
    </row>
    <row r="209" ht="15.75">
      <c r="G209" s="194"/>
    </row>
    <row r="210" ht="15.75">
      <c r="G210" s="194"/>
    </row>
    <row r="211" ht="15.75">
      <c r="G211" s="194"/>
    </row>
    <row r="212" ht="15.75">
      <c r="G212" s="194"/>
    </row>
    <row r="213" ht="15.75">
      <c r="G213" s="194"/>
    </row>
    <row r="214" ht="15.75">
      <c r="G214" s="194"/>
    </row>
    <row r="215" ht="15.75">
      <c r="G215" s="194"/>
    </row>
    <row r="216" ht="15.75">
      <c r="G216" s="194"/>
    </row>
    <row r="217" ht="15.75">
      <c r="G217" s="194"/>
    </row>
    <row r="218" ht="15.75">
      <c r="G218" s="194"/>
    </row>
    <row r="219" ht="15.75">
      <c r="G219" s="194"/>
    </row>
    <row r="220" ht="15.75">
      <c r="G220" s="194"/>
    </row>
    <row r="221" ht="15.75">
      <c r="G221" s="194"/>
    </row>
    <row r="222" ht="15.75">
      <c r="G222" s="194"/>
    </row>
    <row r="223" ht="15.75">
      <c r="G223" s="194"/>
    </row>
    <row r="224" ht="15.75">
      <c r="G224" s="194"/>
    </row>
    <row r="225" ht="15.75">
      <c r="G225" s="194"/>
    </row>
    <row r="226" ht="15.75">
      <c r="G226" s="194"/>
    </row>
    <row r="227" ht="15.75">
      <c r="G227" s="194"/>
    </row>
    <row r="228" ht="15.75">
      <c r="G228" s="194"/>
    </row>
    <row r="229" ht="15.75">
      <c r="G229" s="194"/>
    </row>
    <row r="230" ht="15.75">
      <c r="G230" s="194"/>
    </row>
    <row r="231" ht="15.75">
      <c r="G231" s="194"/>
    </row>
    <row r="232" ht="15.75">
      <c r="G232" s="194"/>
    </row>
    <row r="233" ht="15.75">
      <c r="G233" s="194"/>
    </row>
    <row r="234" ht="15.75">
      <c r="G234" s="194"/>
    </row>
    <row r="235" ht="15.75">
      <c r="G235" s="194"/>
    </row>
    <row r="236" ht="15.75">
      <c r="G236" s="194"/>
    </row>
    <row r="237" ht="15.75">
      <c r="G237" s="194"/>
    </row>
    <row r="238" ht="15.75">
      <c r="G238" s="194"/>
    </row>
    <row r="239" ht="15.75">
      <c r="G239" s="194"/>
    </row>
    <row r="240" ht="15.75">
      <c r="G240" s="194"/>
    </row>
    <row r="241" ht="15.75">
      <c r="G241" s="194"/>
    </row>
    <row r="242" ht="15.75">
      <c r="G242" s="194"/>
    </row>
    <row r="243" ht="15.75">
      <c r="G243" s="194"/>
    </row>
    <row r="244" ht="15.75">
      <c r="G244" s="194"/>
    </row>
    <row r="245" ht="15.75">
      <c r="G245" s="194"/>
    </row>
    <row r="246" ht="15.75">
      <c r="G246" s="194"/>
    </row>
    <row r="247" ht="15.75">
      <c r="G247" s="194"/>
    </row>
    <row r="248" ht="15.75">
      <c r="G248" s="194"/>
    </row>
    <row r="249" ht="15.75">
      <c r="G249" s="194"/>
    </row>
    <row r="250" ht="15.75">
      <c r="G250" s="194"/>
    </row>
    <row r="251" ht="15.75">
      <c r="G251" s="194"/>
    </row>
    <row r="252" ht="15.75">
      <c r="G252" s="194"/>
    </row>
    <row r="253" ht="15.75">
      <c r="G253" s="194"/>
    </row>
    <row r="254" ht="15.75">
      <c r="G254" s="194"/>
    </row>
    <row r="255" ht="15.75">
      <c r="G255" s="194"/>
    </row>
    <row r="256" ht="15.75">
      <c r="G256" s="194"/>
    </row>
    <row r="257" ht="15.75">
      <c r="G257" s="194"/>
    </row>
    <row r="258" ht="15.75">
      <c r="G258" s="194"/>
    </row>
    <row r="259" ht="15.75">
      <c r="G259" s="194"/>
    </row>
    <row r="260" ht="15.75">
      <c r="G260" s="194"/>
    </row>
    <row r="261" ht="15.75">
      <c r="G261" s="194"/>
    </row>
    <row r="262" ht="15.75">
      <c r="G262" s="194"/>
    </row>
    <row r="263" ht="15.75">
      <c r="G263" s="194"/>
    </row>
    <row r="264" ht="15.75">
      <c r="G264" s="194"/>
    </row>
    <row r="265" ht="15.75">
      <c r="G265" s="194"/>
    </row>
    <row r="266" ht="15.75">
      <c r="G266" s="194"/>
    </row>
    <row r="267" ht="15.75">
      <c r="G267" s="194"/>
    </row>
    <row r="268" ht="15.75">
      <c r="G268" s="194"/>
    </row>
    <row r="269" ht="15.75">
      <c r="G269" s="194"/>
    </row>
    <row r="270" ht="15.75">
      <c r="G270" s="194"/>
    </row>
    <row r="271" ht="15.75">
      <c r="G271" s="194"/>
    </row>
    <row r="272" ht="15.75">
      <c r="G272" s="194"/>
    </row>
    <row r="273" ht="15.75">
      <c r="G273" s="194"/>
    </row>
    <row r="274" ht="15.75">
      <c r="G274" s="194"/>
    </row>
    <row r="275" ht="15.75">
      <c r="G275" s="194"/>
    </row>
    <row r="276" ht="15.75">
      <c r="G276" s="194"/>
    </row>
    <row r="277" ht="15.75">
      <c r="G277" s="194"/>
    </row>
    <row r="278" ht="15.75">
      <c r="G278" s="194"/>
    </row>
    <row r="279" ht="15.75">
      <c r="G279" s="194"/>
    </row>
    <row r="280" ht="15.75">
      <c r="G280" s="194"/>
    </row>
    <row r="281" ht="15.75">
      <c r="G281" s="194"/>
    </row>
    <row r="282" ht="15.75">
      <c r="G282" s="194"/>
    </row>
    <row r="283" ht="15.75">
      <c r="G283" s="194"/>
    </row>
    <row r="284" ht="15.75">
      <c r="G284" s="194"/>
    </row>
    <row r="285" ht="15.75">
      <c r="G285" s="194"/>
    </row>
    <row r="286" ht="15.75">
      <c r="G286" s="194"/>
    </row>
    <row r="287" ht="15.75">
      <c r="G287" s="194"/>
    </row>
    <row r="288" ht="15.75">
      <c r="G288" s="194"/>
    </row>
    <row r="289" ht="15.75">
      <c r="G289" s="194"/>
    </row>
    <row r="290" ht="15.75">
      <c r="G290" s="194"/>
    </row>
    <row r="291" ht="15.75">
      <c r="G291" s="194"/>
    </row>
    <row r="292" ht="15.75">
      <c r="G292" s="194"/>
    </row>
  </sheetData>
  <printOptions horizontalCentered="1"/>
  <pageMargins left="0.2" right="0.22" top="0.44" bottom="0.26" header="0.27" footer="0.19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13"/>
  <sheetViews>
    <sheetView zoomScale="120" zoomScaleNormal="120" workbookViewId="0" topLeftCell="A969">
      <selection activeCell="A996" sqref="A996"/>
    </sheetView>
  </sheetViews>
  <sheetFormatPr defaultColWidth="9.00390625" defaultRowHeight="12.75"/>
  <cols>
    <col min="1" max="1" width="5.75390625" style="213" customWidth="1"/>
    <col min="2" max="2" width="19.25390625" style="214" customWidth="1"/>
    <col min="3" max="3" width="13.75390625" style="215" customWidth="1"/>
    <col min="4" max="4" width="11.25390625" style="215" customWidth="1"/>
    <col min="5" max="5" width="13.25390625" style="215" customWidth="1"/>
    <col min="6" max="6" width="10.875" style="215" customWidth="1"/>
    <col min="7" max="7" width="12.625" style="4" customWidth="1"/>
    <col min="8" max="8" width="10.875" style="215" customWidth="1"/>
    <col min="9" max="9" width="11.75390625" style="4" customWidth="1"/>
    <col min="10" max="10" width="12.25390625" style="216" bestFit="1" customWidth="1"/>
    <col min="11" max="11" width="10.625" style="216" bestFit="1" customWidth="1"/>
    <col min="12" max="16384" width="9.125" style="216" customWidth="1"/>
  </cols>
  <sheetData>
    <row r="1" ht="12.75">
      <c r="H1" s="94" t="s">
        <v>250</v>
      </c>
    </row>
    <row r="2" ht="12.75">
      <c r="H2" s="6" t="s">
        <v>183</v>
      </c>
    </row>
    <row r="3" ht="12.75">
      <c r="H3" s="4" t="s">
        <v>747</v>
      </c>
    </row>
    <row r="4" ht="12.75">
      <c r="H4" s="6"/>
    </row>
    <row r="5" ht="8.25" customHeight="1">
      <c r="H5" s="4"/>
    </row>
    <row r="6" spans="1:9" s="221" customFormat="1" ht="18" customHeight="1">
      <c r="A6" s="217" t="s">
        <v>251</v>
      </c>
      <c r="B6" s="218"/>
      <c r="C6" s="219"/>
      <c r="D6" s="219"/>
      <c r="E6" s="219"/>
      <c r="F6" s="219"/>
      <c r="G6" s="220"/>
      <c r="H6" s="219"/>
      <c r="I6" s="220"/>
    </row>
    <row r="7" spans="1:9" s="221" customFormat="1" ht="15.75">
      <c r="A7" s="222" t="s">
        <v>252</v>
      </c>
      <c r="B7" s="218"/>
      <c r="C7" s="219"/>
      <c r="D7" s="219"/>
      <c r="E7" s="219"/>
      <c r="F7" s="219"/>
      <c r="G7" s="220"/>
      <c r="H7" s="219"/>
      <c r="I7" s="220"/>
    </row>
    <row r="8" spans="1:9" ht="13.5" thickBot="1">
      <c r="A8" s="223" t="s">
        <v>525</v>
      </c>
      <c r="B8" s="224"/>
      <c r="C8" s="224"/>
      <c r="D8" s="224"/>
      <c r="E8" s="224"/>
      <c r="F8" s="224"/>
      <c r="G8" s="225"/>
      <c r="H8" s="224"/>
      <c r="I8" s="225" t="s">
        <v>121</v>
      </c>
    </row>
    <row r="9" spans="1:9" ht="19.5" customHeight="1" thickTop="1">
      <c r="A9" s="226"/>
      <c r="B9" s="227"/>
      <c r="C9" s="228" t="s">
        <v>126</v>
      </c>
      <c r="D9" s="229"/>
      <c r="E9" s="230"/>
      <c r="F9" s="231" t="s">
        <v>186</v>
      </c>
      <c r="G9" s="232"/>
      <c r="H9" s="231" t="s">
        <v>187</v>
      </c>
      <c r="I9" s="233"/>
    </row>
    <row r="10" spans="1:9" ht="68.25" customHeight="1" thickBot="1">
      <c r="A10" s="234" t="s">
        <v>253</v>
      </c>
      <c r="B10" s="235" t="s">
        <v>254</v>
      </c>
      <c r="C10" s="236" t="s">
        <v>255</v>
      </c>
      <c r="D10" s="237" t="s">
        <v>127</v>
      </c>
      <c r="E10" s="238" t="s">
        <v>256</v>
      </c>
      <c r="F10" s="239" t="s">
        <v>127</v>
      </c>
      <c r="G10" s="238" t="s">
        <v>256</v>
      </c>
      <c r="H10" s="239" t="s">
        <v>127</v>
      </c>
      <c r="I10" s="240" t="s">
        <v>256</v>
      </c>
    </row>
    <row r="11" spans="1:9" s="249" customFormat="1" ht="11.25" customHeight="1" thickBot="1" thickTop="1">
      <c r="A11" s="241">
        <v>1</v>
      </c>
      <c r="B11" s="242">
        <v>2</v>
      </c>
      <c r="C11" s="243">
        <v>3</v>
      </c>
      <c r="D11" s="244">
        <v>4</v>
      </c>
      <c r="E11" s="245">
        <v>5</v>
      </c>
      <c r="F11" s="246">
        <v>6</v>
      </c>
      <c r="G11" s="247">
        <v>7</v>
      </c>
      <c r="H11" s="246">
        <v>8</v>
      </c>
      <c r="I11" s="248">
        <v>9</v>
      </c>
    </row>
    <row r="12" spans="1:9" s="256" customFormat="1" ht="27" thickBot="1" thickTop="1">
      <c r="A12" s="250" t="s">
        <v>132</v>
      </c>
      <c r="B12" s="251" t="s">
        <v>133</v>
      </c>
      <c r="C12" s="1951">
        <f>C15+C22</f>
        <v>27687.83</v>
      </c>
      <c r="D12" s="1952">
        <f>D15+D22</f>
        <v>13915</v>
      </c>
      <c r="E12" s="1950">
        <f>E15+E22</f>
        <v>13772.83</v>
      </c>
      <c r="F12" s="255">
        <f>F15+F22</f>
        <v>13915</v>
      </c>
      <c r="G12" s="1950">
        <f>G22</f>
        <v>13772.83</v>
      </c>
      <c r="H12" s="255"/>
      <c r="I12" s="200"/>
    </row>
    <row r="13" spans="1:9" ht="12" customHeight="1" hidden="1">
      <c r="A13" s="257"/>
      <c r="B13" s="258" t="s">
        <v>257</v>
      </c>
      <c r="C13" s="259">
        <f>SUM(C14)</f>
        <v>0</v>
      </c>
      <c r="D13" s="260"/>
      <c r="E13" s="261">
        <f>G13+I13</f>
        <v>0</v>
      </c>
      <c r="F13" s="262"/>
      <c r="G13" s="263"/>
      <c r="H13" s="262"/>
      <c r="I13" s="264">
        <f>SUM(I14)</f>
        <v>0</v>
      </c>
    </row>
    <row r="14" spans="1:9" s="273" customFormat="1" ht="11.25" customHeight="1" hidden="1">
      <c r="A14" s="265"/>
      <c r="B14" s="266" t="s">
        <v>258</v>
      </c>
      <c r="C14" s="267">
        <f>SUM(D14:E14)</f>
        <v>0</v>
      </c>
      <c r="D14" s="268"/>
      <c r="E14" s="269">
        <f>G14+I14</f>
        <v>0</v>
      </c>
      <c r="F14" s="270"/>
      <c r="G14" s="271"/>
      <c r="H14" s="270"/>
      <c r="I14" s="272"/>
    </row>
    <row r="15" spans="1:9" s="281" customFormat="1" ht="15" customHeight="1" thickTop="1">
      <c r="A15" s="274" t="s">
        <v>259</v>
      </c>
      <c r="B15" s="275" t="s">
        <v>260</v>
      </c>
      <c r="C15" s="276">
        <f>C16</f>
        <v>3000</v>
      </c>
      <c r="D15" s="277">
        <f>D16</f>
        <v>3000</v>
      </c>
      <c r="E15" s="278"/>
      <c r="F15" s="279">
        <f>F16</f>
        <v>3000</v>
      </c>
      <c r="G15" s="278"/>
      <c r="H15" s="279"/>
      <c r="I15" s="280"/>
    </row>
    <row r="16" spans="1:9" s="285" customFormat="1" ht="12.75">
      <c r="A16" s="257"/>
      <c r="B16" s="282" t="s">
        <v>261</v>
      </c>
      <c r="C16" s="259">
        <f>SUM(C17)</f>
        <v>3000</v>
      </c>
      <c r="D16" s="260">
        <f>SUM(D17)</f>
        <v>3000</v>
      </c>
      <c r="E16" s="261"/>
      <c r="F16" s="262">
        <f>SUM(F17)</f>
        <v>3000</v>
      </c>
      <c r="G16" s="263"/>
      <c r="H16" s="283"/>
      <c r="I16" s="284"/>
    </row>
    <row r="17" spans="1:9" s="273" customFormat="1" ht="12.75">
      <c r="A17" s="265"/>
      <c r="B17" s="286" t="s">
        <v>262</v>
      </c>
      <c r="C17" s="267">
        <f>D17+E17</f>
        <v>3000</v>
      </c>
      <c r="D17" s="268">
        <f>F17+H17</f>
        <v>3000</v>
      </c>
      <c r="E17" s="269"/>
      <c r="F17" s="287">
        <v>3000</v>
      </c>
      <c r="G17" s="271"/>
      <c r="H17" s="270"/>
      <c r="I17" s="272"/>
    </row>
    <row r="18" spans="1:9" s="256" customFormat="1" ht="14.25" hidden="1" thickBot="1" thickTop="1">
      <c r="A18" s="250" t="s">
        <v>263</v>
      </c>
      <c r="B18" s="251" t="s">
        <v>264</v>
      </c>
      <c r="C18" s="252">
        <f aca="true" t="shared" si="0" ref="C18:H20">SUM(C19)</f>
        <v>0</v>
      </c>
      <c r="D18" s="253">
        <f t="shared" si="0"/>
        <v>0</v>
      </c>
      <c r="E18" s="254"/>
      <c r="F18" s="255"/>
      <c r="G18" s="254"/>
      <c r="H18" s="255">
        <f t="shared" si="0"/>
        <v>0</v>
      </c>
      <c r="I18" s="200"/>
    </row>
    <row r="19" spans="1:9" s="281" customFormat="1" ht="10.5" customHeight="1" hidden="1">
      <c r="A19" s="274" t="s">
        <v>265</v>
      </c>
      <c r="B19" s="275" t="s">
        <v>266</v>
      </c>
      <c r="C19" s="288">
        <f t="shared" si="0"/>
        <v>0</v>
      </c>
      <c r="D19" s="191">
        <f t="shared" si="0"/>
        <v>0</v>
      </c>
      <c r="E19" s="289"/>
      <c r="F19" s="290"/>
      <c r="G19" s="289"/>
      <c r="H19" s="290">
        <f t="shared" si="0"/>
        <v>0</v>
      </c>
      <c r="I19" s="193"/>
    </row>
    <row r="20" spans="1:9" s="285" customFormat="1" ht="13.5" customHeight="1" hidden="1">
      <c r="A20" s="257"/>
      <c r="B20" s="282" t="s">
        <v>261</v>
      </c>
      <c r="C20" s="259">
        <f t="shared" si="0"/>
        <v>0</v>
      </c>
      <c r="D20" s="260">
        <f t="shared" si="0"/>
        <v>0</v>
      </c>
      <c r="E20" s="261"/>
      <c r="F20" s="262"/>
      <c r="G20" s="263"/>
      <c r="H20" s="262">
        <f t="shared" si="0"/>
        <v>0</v>
      </c>
      <c r="I20" s="264"/>
    </row>
    <row r="21" spans="1:9" s="292" customFormat="1" ht="14.25" customHeight="1" hidden="1">
      <c r="A21" s="265"/>
      <c r="B21" s="286" t="s">
        <v>262</v>
      </c>
      <c r="C21" s="267">
        <f>SUM(D21:E21)</f>
        <v>0</v>
      </c>
      <c r="D21" s="268">
        <f>F21+H21</f>
        <v>0</v>
      </c>
      <c r="E21" s="269"/>
      <c r="F21" s="287"/>
      <c r="G21" s="269"/>
      <c r="H21" s="287"/>
      <c r="I21" s="291"/>
    </row>
    <row r="22" spans="1:9" s="299" customFormat="1" ht="15" customHeight="1">
      <c r="A22" s="274" t="s">
        <v>267</v>
      </c>
      <c r="B22" s="293" t="s">
        <v>268</v>
      </c>
      <c r="C22" s="294">
        <f>C23</f>
        <v>24687.83</v>
      </c>
      <c r="D22" s="295">
        <f>D23</f>
        <v>10915</v>
      </c>
      <c r="E22" s="296">
        <f>E23</f>
        <v>13772.83</v>
      </c>
      <c r="F22" s="297">
        <f>F23</f>
        <v>10915</v>
      </c>
      <c r="G22" s="296">
        <f>G24</f>
        <v>13772.83</v>
      </c>
      <c r="H22" s="298"/>
      <c r="I22" s="171"/>
    </row>
    <row r="23" spans="1:9" s="299" customFormat="1" ht="14.25" customHeight="1">
      <c r="A23" s="300"/>
      <c r="B23" s="301" t="s">
        <v>261</v>
      </c>
      <c r="C23" s="302">
        <f>SUM(C24)</f>
        <v>24687.83</v>
      </c>
      <c r="D23" s="303">
        <f>D24</f>
        <v>10915</v>
      </c>
      <c r="E23" s="304">
        <f>E24</f>
        <v>13772.83</v>
      </c>
      <c r="F23" s="305">
        <f>F24</f>
        <v>10915</v>
      </c>
      <c r="G23" s="304">
        <f>G24</f>
        <v>13772.83</v>
      </c>
      <c r="H23" s="306"/>
      <c r="I23" s="307"/>
    </row>
    <row r="24" spans="1:9" s="292" customFormat="1" ht="13.5" customHeight="1" thickBot="1">
      <c r="A24" s="265"/>
      <c r="B24" s="286" t="s">
        <v>262</v>
      </c>
      <c r="C24" s="2454">
        <f>D24+E24</f>
        <v>24687.83</v>
      </c>
      <c r="D24" s="308">
        <f>F24+H24</f>
        <v>10915</v>
      </c>
      <c r="E24" s="309">
        <f>G24+I24</f>
        <v>13772.83</v>
      </c>
      <c r="F24" s="310">
        <v>10915</v>
      </c>
      <c r="G24" s="309">
        <v>13772.83</v>
      </c>
      <c r="H24" s="287"/>
      <c r="I24" s="291"/>
    </row>
    <row r="25" spans="1:9" s="256" customFormat="1" ht="17.25" customHeight="1" thickBot="1" thickTop="1">
      <c r="A25" s="311">
        <v>500</v>
      </c>
      <c r="B25" s="251" t="s">
        <v>134</v>
      </c>
      <c r="C25" s="252">
        <f>SUM(C26)</f>
        <v>194000</v>
      </c>
      <c r="D25" s="253">
        <f>SUM(D26)</f>
        <v>194000</v>
      </c>
      <c r="E25" s="254"/>
      <c r="F25" s="255">
        <f>SUM(F26)</f>
        <v>194000</v>
      </c>
      <c r="G25" s="254"/>
      <c r="H25" s="255"/>
      <c r="I25" s="200"/>
    </row>
    <row r="26" spans="1:9" s="281" customFormat="1" ht="15.75" customHeight="1" thickTop="1">
      <c r="A26" s="312">
        <v>50095</v>
      </c>
      <c r="B26" s="275" t="s">
        <v>268</v>
      </c>
      <c r="C26" s="288">
        <f>C27+C30</f>
        <v>194000</v>
      </c>
      <c r="D26" s="191">
        <f>D27+D30</f>
        <v>194000</v>
      </c>
      <c r="E26" s="289"/>
      <c r="F26" s="290">
        <f>F27+F30</f>
        <v>194000</v>
      </c>
      <c r="G26" s="289"/>
      <c r="H26" s="290"/>
      <c r="I26" s="193"/>
    </row>
    <row r="27" spans="1:9" s="285" customFormat="1" ht="12.75">
      <c r="A27" s="257"/>
      <c r="B27" s="282" t="s">
        <v>261</v>
      </c>
      <c r="C27" s="259">
        <f>SUM(C28)</f>
        <v>174000</v>
      </c>
      <c r="D27" s="260">
        <f>SUM(D28)</f>
        <v>174000</v>
      </c>
      <c r="E27" s="261"/>
      <c r="F27" s="262">
        <f>SUM(F28)</f>
        <v>174000</v>
      </c>
      <c r="G27" s="263"/>
      <c r="H27" s="262"/>
      <c r="I27" s="264"/>
    </row>
    <row r="28" spans="1:9" s="292" customFormat="1" ht="12">
      <c r="A28" s="265"/>
      <c r="B28" s="286" t="s">
        <v>262</v>
      </c>
      <c r="C28" s="267">
        <f>D28+E28</f>
        <v>174000</v>
      </c>
      <c r="D28" s="268">
        <f>F28+H28</f>
        <v>174000</v>
      </c>
      <c r="E28" s="269"/>
      <c r="F28" s="287">
        <v>174000</v>
      </c>
      <c r="G28" s="269"/>
      <c r="H28" s="287"/>
      <c r="I28" s="291"/>
    </row>
    <row r="29" spans="1:9" s="292" customFormat="1" ht="11.25" customHeight="1">
      <c r="A29" s="265"/>
      <c r="B29" s="286" t="s">
        <v>269</v>
      </c>
      <c r="C29" s="267" t="s">
        <v>246</v>
      </c>
      <c r="D29" s="268">
        <f>F29+H29</f>
        <v>25000</v>
      </c>
      <c r="E29" s="269"/>
      <c r="F29" s="287">
        <v>25000</v>
      </c>
      <c r="G29" s="269"/>
      <c r="H29" s="287"/>
      <c r="I29" s="291"/>
    </row>
    <row r="30" spans="1:9" s="292" customFormat="1" ht="11.25" customHeight="1">
      <c r="A30" s="265"/>
      <c r="B30" s="258" t="s">
        <v>257</v>
      </c>
      <c r="C30" s="267">
        <f>SUM(C31:C32)</f>
        <v>20000</v>
      </c>
      <c r="D30" s="268">
        <f>SUM(D31:D32)</f>
        <v>20000</v>
      </c>
      <c r="E30" s="269"/>
      <c r="F30" s="287">
        <f>SUM(F31:F32)</f>
        <v>20000</v>
      </c>
      <c r="G30" s="269"/>
      <c r="H30" s="287"/>
      <c r="I30" s="291"/>
    </row>
    <row r="31" spans="1:9" s="292" customFormat="1" ht="11.25" customHeight="1">
      <c r="A31" s="265"/>
      <c r="B31" s="609" t="s">
        <v>270</v>
      </c>
      <c r="C31" s="267">
        <f>D31+E31</f>
        <v>8500</v>
      </c>
      <c r="D31" s="268">
        <f>F31+H31</f>
        <v>8500</v>
      </c>
      <c r="E31" s="313"/>
      <c r="F31" s="287">
        <v>8500</v>
      </c>
      <c r="G31" s="269"/>
      <c r="H31" s="314"/>
      <c r="I31" s="291"/>
    </row>
    <row r="32" spans="1:9" s="292" customFormat="1" ht="11.25" customHeight="1" thickBot="1">
      <c r="A32" s="265"/>
      <c r="B32" s="266" t="s">
        <v>258</v>
      </c>
      <c r="C32" s="267">
        <f>D32+E32</f>
        <v>11500</v>
      </c>
      <c r="D32" s="268">
        <f>F32+H32</f>
        <v>11500</v>
      </c>
      <c r="E32" s="313"/>
      <c r="F32" s="287">
        <v>11500</v>
      </c>
      <c r="G32" s="269"/>
      <c r="H32" s="314"/>
      <c r="I32" s="291"/>
    </row>
    <row r="33" spans="1:9" s="256" customFormat="1" ht="27" thickBot="1" thickTop="1">
      <c r="A33" s="311">
        <v>600</v>
      </c>
      <c r="B33" s="251" t="s">
        <v>136</v>
      </c>
      <c r="C33" s="252">
        <f>SUM(C45+C63+C79+C55+C50+C70+C76)</f>
        <v>51949920</v>
      </c>
      <c r="D33" s="253">
        <f>SUM(D45+D63+D79+D55+D50+D70+D76)</f>
        <v>51949920</v>
      </c>
      <c r="E33" s="253"/>
      <c r="F33" s="255">
        <f>SUM(F45+F63+F79+F55+F50+F70+F76)</f>
        <v>28563920</v>
      </c>
      <c r="G33" s="254"/>
      <c r="H33" s="316">
        <f>SUM(H63+H79+H55+H70+H76)</f>
        <v>23386000</v>
      </c>
      <c r="I33" s="200"/>
    </row>
    <row r="34" spans="1:9" s="256" customFormat="1" ht="13.5" thickTop="1">
      <c r="A34" s="317"/>
      <c r="B34" s="318" t="s">
        <v>261</v>
      </c>
      <c r="C34" s="319">
        <f>D34+E34</f>
        <v>13945990</v>
      </c>
      <c r="D34" s="320">
        <f>F34+H34</f>
        <v>13945990</v>
      </c>
      <c r="E34" s="321"/>
      <c r="F34" s="322">
        <f>F46+F51+F56+F64+F71+F80</f>
        <v>12683990</v>
      </c>
      <c r="G34" s="323"/>
      <c r="H34" s="324">
        <f>H51+H56+H64+H71+H80</f>
        <v>1262000</v>
      </c>
      <c r="I34" s="325"/>
    </row>
    <row r="35" spans="1:9" s="330" customFormat="1" ht="12.75">
      <c r="A35" s="326"/>
      <c r="B35" s="286" t="s">
        <v>271</v>
      </c>
      <c r="C35" s="327">
        <f>D35+E35</f>
        <v>1844830</v>
      </c>
      <c r="D35" s="328">
        <f>F35+H35</f>
        <v>1844830</v>
      </c>
      <c r="E35" s="271"/>
      <c r="F35" s="329">
        <f>F81</f>
        <v>1840710</v>
      </c>
      <c r="G35" s="271"/>
      <c r="H35" s="270">
        <f>H57</f>
        <v>4120</v>
      </c>
      <c r="I35" s="272"/>
    </row>
    <row r="36" spans="1:9" s="330" customFormat="1" ht="12.75">
      <c r="A36" s="326"/>
      <c r="B36" s="286" t="s">
        <v>272</v>
      </c>
      <c r="C36" s="327"/>
      <c r="D36" s="328"/>
      <c r="E36" s="271"/>
      <c r="F36" s="329"/>
      <c r="G36" s="271"/>
      <c r="H36" s="270"/>
      <c r="I36" s="272"/>
    </row>
    <row r="37" spans="1:9" s="330" customFormat="1" ht="12.75">
      <c r="A37" s="326"/>
      <c r="B37" s="331" t="s">
        <v>273</v>
      </c>
      <c r="C37" s="327">
        <f>F37</f>
        <v>330000</v>
      </c>
      <c r="D37" s="328"/>
      <c r="E37" s="271"/>
      <c r="F37" s="329">
        <f>F47</f>
        <v>330000</v>
      </c>
      <c r="G37" s="271"/>
      <c r="H37" s="270"/>
      <c r="I37" s="272"/>
    </row>
    <row r="38" spans="1:9" s="330" customFormat="1" ht="12.75">
      <c r="A38" s="326"/>
      <c r="B38" s="286" t="s">
        <v>262</v>
      </c>
      <c r="C38" s="327">
        <f>SUM(D38:E38)</f>
        <v>11771160</v>
      </c>
      <c r="D38" s="328">
        <f aca="true" t="shared" si="1" ref="D38:D44">F38+H38</f>
        <v>11771160</v>
      </c>
      <c r="E38" s="271"/>
      <c r="F38" s="329">
        <f>F52+F59+F65+F72+F83</f>
        <v>10513280</v>
      </c>
      <c r="G38" s="271"/>
      <c r="H38" s="270">
        <f>H52+H59+H65+H72+H83</f>
        <v>1257880</v>
      </c>
      <c r="I38" s="272"/>
    </row>
    <row r="39" spans="1:9" s="281" customFormat="1" ht="12">
      <c r="A39" s="332"/>
      <c r="B39" s="333" t="s">
        <v>269</v>
      </c>
      <c r="C39" s="259">
        <f>SUM(D39:E39)</f>
        <v>3343580</v>
      </c>
      <c r="D39" s="260">
        <f t="shared" si="1"/>
        <v>3343580</v>
      </c>
      <c r="E39" s="334"/>
      <c r="F39" s="335">
        <f>F60+F66+F73+F84</f>
        <v>2512700</v>
      </c>
      <c r="G39" s="261"/>
      <c r="H39" s="283">
        <f>H60+H66+H73+H84</f>
        <v>830880</v>
      </c>
      <c r="I39" s="284"/>
    </row>
    <row r="40" spans="1:9" s="256" customFormat="1" ht="12.75">
      <c r="A40" s="317"/>
      <c r="B40" s="336" t="s">
        <v>257</v>
      </c>
      <c r="C40" s="319">
        <f>SUM(D40:E40)</f>
        <v>38003930</v>
      </c>
      <c r="D40" s="320">
        <f t="shared" si="1"/>
        <v>38003930</v>
      </c>
      <c r="E40" s="321"/>
      <c r="F40" s="322">
        <f>F48+F53+F61+F67+F74+F85+F77</f>
        <v>15879930</v>
      </c>
      <c r="G40" s="321"/>
      <c r="H40" s="337">
        <f>H53+H61+H67+H74+H85+H77</f>
        <v>22124000</v>
      </c>
      <c r="I40" s="338"/>
    </row>
    <row r="41" spans="1:9" s="341" customFormat="1" ht="13.5">
      <c r="A41" s="339"/>
      <c r="B41" s="266" t="s">
        <v>270</v>
      </c>
      <c r="C41" s="267">
        <f>E41+D41</f>
        <v>35981930</v>
      </c>
      <c r="D41" s="268">
        <f t="shared" si="1"/>
        <v>35981930</v>
      </c>
      <c r="E41" s="340"/>
      <c r="F41" s="314">
        <f>F49+F62+F68+F75+F86+F78</f>
        <v>13857930</v>
      </c>
      <c r="G41" s="269"/>
      <c r="H41" s="287">
        <f>H62+H68+H75+H86+H78</f>
        <v>22124000</v>
      </c>
      <c r="I41" s="272"/>
    </row>
    <row r="42" spans="1:9" s="351" customFormat="1" ht="10.5" customHeight="1" hidden="1">
      <c r="A42" s="342"/>
      <c r="B42" s="343" t="s">
        <v>274</v>
      </c>
      <c r="C42" s="344">
        <f>D42+E42</f>
        <v>0</v>
      </c>
      <c r="D42" s="345"/>
      <c r="E42" s="346"/>
      <c r="F42" s="347"/>
      <c r="G42" s="348"/>
      <c r="H42" s="349"/>
      <c r="I42" s="350"/>
    </row>
    <row r="43" spans="1:9" s="341" customFormat="1" ht="12.75" customHeight="1">
      <c r="A43" s="339"/>
      <c r="B43" s="266" t="s">
        <v>258</v>
      </c>
      <c r="C43" s="267">
        <f>E43+D43</f>
        <v>22000</v>
      </c>
      <c r="D43" s="268">
        <f t="shared" si="1"/>
        <v>22000</v>
      </c>
      <c r="E43" s="340"/>
      <c r="F43" s="314">
        <f>F87</f>
        <v>22000</v>
      </c>
      <c r="G43" s="269"/>
      <c r="H43" s="287"/>
      <c r="I43" s="272"/>
    </row>
    <row r="44" spans="1:9" s="341" customFormat="1" ht="14.25" thickBot="1">
      <c r="A44" s="352"/>
      <c r="B44" s="2330" t="s">
        <v>275</v>
      </c>
      <c r="C44" s="353">
        <f>E44+D44</f>
        <v>2000000</v>
      </c>
      <c r="D44" s="354">
        <f t="shared" si="1"/>
        <v>2000000</v>
      </c>
      <c r="E44" s="355"/>
      <c r="F44" s="356">
        <f>F54</f>
        <v>2000000</v>
      </c>
      <c r="G44" s="357"/>
      <c r="H44" s="358"/>
      <c r="I44" s="359"/>
    </row>
    <row r="45" spans="1:9" s="281" customFormat="1" ht="18" customHeight="1" thickTop="1">
      <c r="A45" s="360">
        <v>60002</v>
      </c>
      <c r="B45" s="361" t="s">
        <v>276</v>
      </c>
      <c r="C45" s="362">
        <f>SUM(D45:E45)</f>
        <v>330000</v>
      </c>
      <c r="D45" s="363">
        <f>D46+D48</f>
        <v>330000</v>
      </c>
      <c r="E45" s="364"/>
      <c r="F45" s="365">
        <f>F46+F48</f>
        <v>330000</v>
      </c>
      <c r="G45" s="364"/>
      <c r="H45" s="365"/>
      <c r="I45" s="366"/>
    </row>
    <row r="46" spans="1:9" s="372" customFormat="1" ht="15" customHeight="1">
      <c r="A46" s="300"/>
      <c r="B46" s="301" t="s">
        <v>261</v>
      </c>
      <c r="C46" s="367">
        <f>C47</f>
        <v>330000</v>
      </c>
      <c r="D46" s="368">
        <f>D47</f>
        <v>330000</v>
      </c>
      <c r="E46" s="369"/>
      <c r="F46" s="370">
        <f>F47</f>
        <v>330000</v>
      </c>
      <c r="G46" s="369"/>
      <c r="H46" s="370"/>
      <c r="I46" s="371"/>
    </row>
    <row r="47" spans="1:9" s="380" customFormat="1" ht="15" customHeight="1">
      <c r="A47" s="373"/>
      <c r="B47" s="374" t="s">
        <v>273</v>
      </c>
      <c r="C47" s="375">
        <f>SUM(D47:E47)</f>
        <v>330000</v>
      </c>
      <c r="D47" s="376">
        <f>F47</f>
        <v>330000</v>
      </c>
      <c r="E47" s="377"/>
      <c r="F47" s="378">
        <v>330000</v>
      </c>
      <c r="G47" s="377"/>
      <c r="H47" s="378"/>
      <c r="I47" s="379"/>
    </row>
    <row r="48" spans="1:9" ht="13.5" customHeight="1" hidden="1">
      <c r="A48" s="257"/>
      <c r="B48" s="258" t="s">
        <v>257</v>
      </c>
      <c r="C48" s="259">
        <f>SUM(C49)</f>
        <v>0</v>
      </c>
      <c r="D48" s="260">
        <f>F48+H48</f>
        <v>0</v>
      </c>
      <c r="E48" s="261"/>
      <c r="F48" s="262">
        <f>SUM(F49)</f>
        <v>0</v>
      </c>
      <c r="G48" s="263"/>
      <c r="H48" s="262"/>
      <c r="I48" s="264"/>
    </row>
    <row r="49" spans="1:9" ht="11.25" customHeight="1" hidden="1">
      <c r="A49" s="381"/>
      <c r="B49" s="315" t="s">
        <v>270</v>
      </c>
      <c r="C49" s="382">
        <f>SUM(D49:E49)</f>
        <v>0</v>
      </c>
      <c r="D49" s="383">
        <f>F49+H49</f>
        <v>0</v>
      </c>
      <c r="E49" s="384"/>
      <c r="F49" s="385"/>
      <c r="G49" s="386"/>
      <c r="H49" s="387"/>
      <c r="I49" s="388"/>
    </row>
    <row r="50" spans="1:9" s="281" customFormat="1" ht="23.25" customHeight="1">
      <c r="A50" s="360">
        <v>60004</v>
      </c>
      <c r="B50" s="361" t="s">
        <v>277</v>
      </c>
      <c r="C50" s="362">
        <f>C51+C53</f>
        <v>8956000</v>
      </c>
      <c r="D50" s="363">
        <f>D51+D53</f>
        <v>8956000</v>
      </c>
      <c r="E50" s="364"/>
      <c r="F50" s="365">
        <f>F51+F53</f>
        <v>8956000</v>
      </c>
      <c r="G50" s="364"/>
      <c r="H50" s="365"/>
      <c r="I50" s="366"/>
    </row>
    <row r="51" spans="1:9" s="285" customFormat="1" ht="12.75" customHeight="1">
      <c r="A51" s="257"/>
      <c r="B51" s="258" t="s">
        <v>278</v>
      </c>
      <c r="C51" s="259">
        <f>SUM(C52)</f>
        <v>6956000</v>
      </c>
      <c r="D51" s="260">
        <f>SUM(D52)</f>
        <v>6956000</v>
      </c>
      <c r="E51" s="261"/>
      <c r="F51" s="262">
        <f>SUM(F52)</f>
        <v>6956000</v>
      </c>
      <c r="G51" s="263"/>
      <c r="H51" s="262"/>
      <c r="I51" s="264"/>
    </row>
    <row r="52" spans="1:9" s="292" customFormat="1" ht="10.5" customHeight="1">
      <c r="A52" s="265"/>
      <c r="B52" s="286" t="s">
        <v>262</v>
      </c>
      <c r="C52" s="267">
        <f>SUM(D52:E52)</f>
        <v>6956000</v>
      </c>
      <c r="D52" s="268">
        <f>F52+H52</f>
        <v>6956000</v>
      </c>
      <c r="E52" s="269"/>
      <c r="F52" s="287">
        <v>6956000</v>
      </c>
      <c r="G52" s="269"/>
      <c r="H52" s="287"/>
      <c r="I52" s="291"/>
    </row>
    <row r="53" spans="1:9" ht="12" customHeight="1">
      <c r="A53" s="257"/>
      <c r="B53" s="258" t="s">
        <v>257</v>
      </c>
      <c r="C53" s="259">
        <f>SUM(D53:E53)</f>
        <v>2000000</v>
      </c>
      <c r="D53" s="260">
        <f>F53+H53</f>
        <v>2000000</v>
      </c>
      <c r="E53" s="261"/>
      <c r="F53" s="283">
        <f>F54</f>
        <v>2000000</v>
      </c>
      <c r="G53" s="263"/>
      <c r="H53" s="262"/>
      <c r="I53" s="272"/>
    </row>
    <row r="54" spans="1:9" ht="12" customHeight="1">
      <c r="A54" s="257"/>
      <c r="B54" s="2331" t="s">
        <v>275</v>
      </c>
      <c r="C54" s="382">
        <f>SUM(D54:E54)</f>
        <v>2000000</v>
      </c>
      <c r="D54" s="268">
        <f>F54+H54</f>
        <v>2000000</v>
      </c>
      <c r="E54" s="269"/>
      <c r="F54" s="287">
        <v>2000000</v>
      </c>
      <c r="G54" s="263"/>
      <c r="H54" s="262"/>
      <c r="I54" s="272"/>
    </row>
    <row r="55" spans="1:9" s="281" customFormat="1" ht="36.75" customHeight="1">
      <c r="A55" s="312">
        <v>60015</v>
      </c>
      <c r="B55" s="389" t="s">
        <v>279</v>
      </c>
      <c r="C55" s="276">
        <f>C56+C61</f>
        <v>23386000</v>
      </c>
      <c r="D55" s="277">
        <f>D56+D61</f>
        <v>23386000</v>
      </c>
      <c r="E55" s="277"/>
      <c r="F55" s="279"/>
      <c r="G55" s="278"/>
      <c r="H55" s="390">
        <f>H56+H61</f>
        <v>23386000</v>
      </c>
      <c r="I55" s="280"/>
    </row>
    <row r="56" spans="1:9" s="285" customFormat="1" ht="12.75">
      <c r="A56" s="257"/>
      <c r="B56" s="282" t="s">
        <v>261</v>
      </c>
      <c r="C56" s="259">
        <f>SUM(C57:C59)</f>
        <v>1262000</v>
      </c>
      <c r="D56" s="260">
        <f>SUM(D57:D59)</f>
        <v>1262000</v>
      </c>
      <c r="E56" s="261"/>
      <c r="F56" s="262"/>
      <c r="G56" s="263"/>
      <c r="H56" s="391">
        <f>SUM(H57:H59)</f>
        <v>1262000</v>
      </c>
      <c r="I56" s="264"/>
    </row>
    <row r="57" spans="1:9" s="285" customFormat="1" ht="12.75">
      <c r="A57" s="257"/>
      <c r="B57" s="286" t="s">
        <v>271</v>
      </c>
      <c r="C57" s="267">
        <f>SUM(D57:E57)</f>
        <v>4120</v>
      </c>
      <c r="D57" s="268">
        <f>F57+H57</f>
        <v>4120</v>
      </c>
      <c r="E57" s="261"/>
      <c r="F57" s="262"/>
      <c r="G57" s="263"/>
      <c r="H57" s="329">
        <v>4120</v>
      </c>
      <c r="I57" s="264"/>
    </row>
    <row r="58" spans="1:9" s="285" customFormat="1" ht="12.75">
      <c r="A58" s="257"/>
      <c r="B58" s="286" t="s">
        <v>272</v>
      </c>
      <c r="C58" s="267"/>
      <c r="D58" s="268"/>
      <c r="E58" s="261"/>
      <c r="F58" s="262"/>
      <c r="G58" s="263"/>
      <c r="H58" s="391"/>
      <c r="I58" s="264"/>
    </row>
    <row r="59" spans="1:9" s="292" customFormat="1" ht="12">
      <c r="A59" s="265"/>
      <c r="B59" s="286" t="s">
        <v>262</v>
      </c>
      <c r="C59" s="267">
        <f>SUM(D59:E59)</f>
        <v>1257880</v>
      </c>
      <c r="D59" s="268">
        <f>F59+H59</f>
        <v>1257880</v>
      </c>
      <c r="E59" s="269"/>
      <c r="F59" s="287"/>
      <c r="G59" s="269"/>
      <c r="H59" s="314">
        <v>1257880</v>
      </c>
      <c r="I59" s="291"/>
    </row>
    <row r="60" spans="1:9" s="292" customFormat="1" ht="12">
      <c r="A60" s="265"/>
      <c r="B60" s="286" t="s">
        <v>269</v>
      </c>
      <c r="C60" s="267">
        <f>SUM(D60:E60)</f>
        <v>830880</v>
      </c>
      <c r="D60" s="268">
        <f>F60+H60</f>
        <v>830880</v>
      </c>
      <c r="E60" s="269"/>
      <c r="F60" s="287"/>
      <c r="G60" s="269"/>
      <c r="H60" s="314">
        <v>830880</v>
      </c>
      <c r="I60" s="291"/>
    </row>
    <row r="61" spans="1:9" ht="11.25" customHeight="1">
      <c r="A61" s="257"/>
      <c r="B61" s="258" t="s">
        <v>257</v>
      </c>
      <c r="C61" s="259">
        <f>SUM(C62)</f>
        <v>22124000</v>
      </c>
      <c r="D61" s="260">
        <f>F61+H61</f>
        <v>22124000</v>
      </c>
      <c r="E61" s="261"/>
      <c r="F61" s="262"/>
      <c r="G61" s="263"/>
      <c r="H61" s="391">
        <f>SUM(H62)</f>
        <v>22124000</v>
      </c>
      <c r="I61" s="264"/>
    </row>
    <row r="62" spans="1:9" s="273" customFormat="1" ht="12.75">
      <c r="A62" s="265"/>
      <c r="B62" s="266" t="s">
        <v>270</v>
      </c>
      <c r="C62" s="267">
        <f>SUM(D62:E62)</f>
        <v>22124000</v>
      </c>
      <c r="D62" s="268">
        <f>F62+H62</f>
        <v>22124000</v>
      </c>
      <c r="E62" s="269"/>
      <c r="F62" s="270"/>
      <c r="G62" s="271"/>
      <c r="H62" s="314">
        <v>22124000</v>
      </c>
      <c r="I62" s="392"/>
    </row>
    <row r="63" spans="1:9" s="281" customFormat="1" ht="13.5" customHeight="1">
      <c r="A63" s="312">
        <v>60016</v>
      </c>
      <c r="B63" s="275" t="s">
        <v>280</v>
      </c>
      <c r="C63" s="276">
        <f>C64+C67</f>
        <v>12860830</v>
      </c>
      <c r="D63" s="277">
        <f>D64+D67</f>
        <v>12860830</v>
      </c>
      <c r="E63" s="278"/>
      <c r="F63" s="279">
        <f>F64+F67</f>
        <v>12860830</v>
      </c>
      <c r="G63" s="278"/>
      <c r="H63" s="279"/>
      <c r="I63" s="280"/>
    </row>
    <row r="64" spans="1:9" ht="9.75" customHeight="1">
      <c r="A64" s="257"/>
      <c r="B64" s="282" t="s">
        <v>261</v>
      </c>
      <c r="C64" s="259">
        <f>SUM(C65)</f>
        <v>802900</v>
      </c>
      <c r="D64" s="260">
        <f>SUM(D65)</f>
        <v>802900</v>
      </c>
      <c r="E64" s="261"/>
      <c r="F64" s="262">
        <f>SUM(F65)</f>
        <v>802900</v>
      </c>
      <c r="G64" s="393"/>
      <c r="H64" s="394"/>
      <c r="I64" s="395"/>
    </row>
    <row r="65" spans="1:9" ht="12.75">
      <c r="A65" s="257"/>
      <c r="B65" s="286" t="s">
        <v>262</v>
      </c>
      <c r="C65" s="267">
        <f>SUM(D65:E65)</f>
        <v>802900</v>
      </c>
      <c r="D65" s="268">
        <f>F65+H65</f>
        <v>802900</v>
      </c>
      <c r="E65" s="269"/>
      <c r="F65" s="287">
        <v>802900</v>
      </c>
      <c r="G65" s="263"/>
      <c r="H65" s="262"/>
      <c r="I65" s="264"/>
    </row>
    <row r="66" spans="1:9" s="273" customFormat="1" ht="11.25" customHeight="1">
      <c r="A66" s="396"/>
      <c r="B66" s="397" t="s">
        <v>269</v>
      </c>
      <c r="C66" s="382">
        <f>SUM(D66:E66)</f>
        <v>743900</v>
      </c>
      <c r="D66" s="383">
        <f>F66+H66</f>
        <v>743900</v>
      </c>
      <c r="E66" s="384"/>
      <c r="F66" s="385">
        <v>743900</v>
      </c>
      <c r="G66" s="398"/>
      <c r="H66" s="399"/>
      <c r="I66" s="400"/>
    </row>
    <row r="67" spans="1:9" ht="13.5" customHeight="1">
      <c r="A67" s="257"/>
      <c r="B67" s="258" t="s">
        <v>257</v>
      </c>
      <c r="C67" s="259">
        <f>SUM(C68)</f>
        <v>12057930</v>
      </c>
      <c r="D67" s="260">
        <f>F67+H67</f>
        <v>12057930</v>
      </c>
      <c r="E67" s="261"/>
      <c r="F67" s="262">
        <f>SUM(F68)</f>
        <v>12057930</v>
      </c>
      <c r="G67" s="263"/>
      <c r="H67" s="262"/>
      <c r="I67" s="264"/>
    </row>
    <row r="68" spans="1:9" ht="11.25" customHeight="1">
      <c r="A68" s="257"/>
      <c r="B68" s="266" t="s">
        <v>270</v>
      </c>
      <c r="C68" s="267">
        <f>SUM(D68:E68)</f>
        <v>12057930</v>
      </c>
      <c r="D68" s="268">
        <f>F68+H68</f>
        <v>12057930</v>
      </c>
      <c r="E68" s="269"/>
      <c r="F68" s="287">
        <v>12057930</v>
      </c>
      <c r="G68" s="263"/>
      <c r="H68" s="262"/>
      <c r="I68" s="264"/>
    </row>
    <row r="69" spans="1:9" s="351" customFormat="1" ht="12.75" customHeight="1" hidden="1">
      <c r="A69" s="401"/>
      <c r="B69" s="402" t="s">
        <v>274</v>
      </c>
      <c r="C69" s="403">
        <f>D69+E69</f>
        <v>0</v>
      </c>
      <c r="D69" s="404">
        <f>F69+H69</f>
        <v>0</v>
      </c>
      <c r="E69" s="405"/>
      <c r="F69" s="406"/>
      <c r="G69" s="407"/>
      <c r="H69" s="408"/>
      <c r="I69" s="409"/>
    </row>
    <row r="70" spans="1:9" s="281" customFormat="1" ht="15" customHeight="1">
      <c r="A70" s="312">
        <v>60017</v>
      </c>
      <c r="B70" s="275" t="s">
        <v>281</v>
      </c>
      <c r="C70" s="276">
        <f>C71+C74</f>
        <v>2621300</v>
      </c>
      <c r="D70" s="277">
        <f>D71+D74</f>
        <v>2621300</v>
      </c>
      <c r="E70" s="278"/>
      <c r="F70" s="279">
        <f>F71+F74</f>
        <v>2621300</v>
      </c>
      <c r="G70" s="278"/>
      <c r="H70" s="279"/>
      <c r="I70" s="280"/>
    </row>
    <row r="71" spans="1:9" ht="12.75">
      <c r="A71" s="257"/>
      <c r="B71" s="282" t="s">
        <v>261</v>
      </c>
      <c r="C71" s="259">
        <f>SUM(C72)</f>
        <v>1821300</v>
      </c>
      <c r="D71" s="260">
        <f>SUM(D72)</f>
        <v>1821300</v>
      </c>
      <c r="E71" s="261"/>
      <c r="F71" s="262">
        <f>SUM(F72)</f>
        <v>1821300</v>
      </c>
      <c r="G71" s="393"/>
      <c r="H71" s="394"/>
      <c r="I71" s="395"/>
    </row>
    <row r="72" spans="1:9" ht="11.25" customHeight="1">
      <c r="A72" s="257"/>
      <c r="B72" s="286" t="s">
        <v>262</v>
      </c>
      <c r="C72" s="267">
        <f>SUM(D72:E72)</f>
        <v>1821300</v>
      </c>
      <c r="D72" s="268">
        <f>F72+H72</f>
        <v>1821300</v>
      </c>
      <c r="E72" s="269"/>
      <c r="F72" s="287">
        <v>1821300</v>
      </c>
      <c r="G72" s="263"/>
      <c r="H72" s="262"/>
      <c r="I72" s="264"/>
    </row>
    <row r="73" spans="1:9" s="273" customFormat="1" ht="11.25" customHeight="1">
      <c r="A73" s="265"/>
      <c r="B73" s="286" t="s">
        <v>269</v>
      </c>
      <c r="C73" s="267">
        <f>SUM(D73:E73)</f>
        <v>1743800</v>
      </c>
      <c r="D73" s="268">
        <f>F73+H73</f>
        <v>1743800</v>
      </c>
      <c r="E73" s="269"/>
      <c r="F73" s="287">
        <v>1743800</v>
      </c>
      <c r="G73" s="271"/>
      <c r="H73" s="270"/>
      <c r="I73" s="272"/>
    </row>
    <row r="74" spans="1:9" ht="10.5" customHeight="1">
      <c r="A74" s="257"/>
      <c r="B74" s="258" t="s">
        <v>257</v>
      </c>
      <c r="C74" s="259">
        <f>SUM(C75)</f>
        <v>800000</v>
      </c>
      <c r="D74" s="260">
        <f>F74+H74</f>
        <v>800000</v>
      </c>
      <c r="E74" s="269"/>
      <c r="F74" s="262">
        <f>SUM(F75)</f>
        <v>800000</v>
      </c>
      <c r="G74" s="263"/>
      <c r="H74" s="262"/>
      <c r="I74" s="264"/>
    </row>
    <row r="75" spans="1:9" ht="12.75" customHeight="1">
      <c r="A75" s="381"/>
      <c r="B75" s="315" t="s">
        <v>270</v>
      </c>
      <c r="C75" s="382">
        <f>SUM(D75:E75)</f>
        <v>800000</v>
      </c>
      <c r="D75" s="383">
        <f>F75+H75</f>
        <v>800000</v>
      </c>
      <c r="E75" s="384"/>
      <c r="F75" s="385">
        <v>800000</v>
      </c>
      <c r="G75" s="386"/>
      <c r="H75" s="387"/>
      <c r="I75" s="388"/>
    </row>
    <row r="76" spans="1:9" s="281" customFormat="1" ht="25.5" customHeight="1">
      <c r="A76" s="312">
        <v>60053</v>
      </c>
      <c r="B76" s="275" t="s">
        <v>282</v>
      </c>
      <c r="C76" s="276">
        <f>SUM(C77)</f>
        <v>1000000</v>
      </c>
      <c r="D76" s="277">
        <f>SUM(D77)</f>
        <v>1000000</v>
      </c>
      <c r="E76" s="278"/>
      <c r="F76" s="279">
        <f>SUM(F77)</f>
        <v>1000000</v>
      </c>
      <c r="G76" s="278"/>
      <c r="H76" s="279"/>
      <c r="I76" s="280"/>
    </row>
    <row r="77" spans="1:9" ht="10.5" customHeight="1">
      <c r="A77" s="257"/>
      <c r="B77" s="258" t="s">
        <v>257</v>
      </c>
      <c r="C77" s="259">
        <f>SUM(C78)</f>
        <v>1000000</v>
      </c>
      <c r="D77" s="260">
        <f>F77+H77</f>
        <v>1000000</v>
      </c>
      <c r="E77" s="261"/>
      <c r="F77" s="262">
        <f>SUM(F78)</f>
        <v>1000000</v>
      </c>
      <c r="G77" s="263"/>
      <c r="H77" s="262"/>
      <c r="I77" s="264"/>
    </row>
    <row r="78" spans="1:9" ht="12.75" customHeight="1">
      <c r="A78" s="381"/>
      <c r="B78" s="315" t="s">
        <v>270</v>
      </c>
      <c r="C78" s="382">
        <f>SUM(D78:E78)</f>
        <v>1000000</v>
      </c>
      <c r="D78" s="383">
        <f>F78+H78</f>
        <v>1000000</v>
      </c>
      <c r="E78" s="384"/>
      <c r="F78" s="385">
        <v>1000000</v>
      </c>
      <c r="G78" s="386"/>
      <c r="H78" s="387"/>
      <c r="I78" s="388"/>
    </row>
    <row r="79" spans="1:9" ht="14.25" customHeight="1">
      <c r="A79" s="312">
        <v>60095</v>
      </c>
      <c r="B79" s="410" t="s">
        <v>268</v>
      </c>
      <c r="C79" s="288">
        <f>C80+C85</f>
        <v>2795790</v>
      </c>
      <c r="D79" s="191">
        <f>D80+D85</f>
        <v>2795790</v>
      </c>
      <c r="E79" s="289"/>
      <c r="F79" s="290">
        <f>F80+F85</f>
        <v>2795790</v>
      </c>
      <c r="G79" s="289"/>
      <c r="H79" s="290"/>
      <c r="I79" s="193"/>
    </row>
    <row r="80" spans="1:9" ht="12">
      <c r="A80" s="257"/>
      <c r="B80" s="282" t="s">
        <v>261</v>
      </c>
      <c r="C80" s="411">
        <f>SUM(C81:C83)</f>
        <v>2773790</v>
      </c>
      <c r="D80" s="260">
        <f>SUM(D81:D83)</f>
        <v>2773790</v>
      </c>
      <c r="E80" s="261"/>
      <c r="F80" s="283">
        <f>SUM(F81:F83)</f>
        <v>2773790</v>
      </c>
      <c r="G80" s="261"/>
      <c r="H80" s="283"/>
      <c r="I80" s="284"/>
    </row>
    <row r="81" spans="1:9" s="415" customFormat="1" ht="12">
      <c r="A81" s="412"/>
      <c r="B81" s="286" t="s">
        <v>271</v>
      </c>
      <c r="C81" s="267">
        <f>SUM(D81:E81)</f>
        <v>1840710</v>
      </c>
      <c r="D81" s="268">
        <f>F81+H81</f>
        <v>1840710</v>
      </c>
      <c r="E81" s="340"/>
      <c r="F81" s="287">
        <v>1840710</v>
      </c>
      <c r="G81" s="340"/>
      <c r="H81" s="413"/>
      <c r="I81" s="414"/>
    </row>
    <row r="82" spans="1:9" s="415" customFormat="1" ht="11.25" customHeight="1">
      <c r="A82" s="412"/>
      <c r="B82" s="286" t="s">
        <v>272</v>
      </c>
      <c r="C82" s="267"/>
      <c r="D82" s="268"/>
      <c r="E82" s="340"/>
      <c r="F82" s="413"/>
      <c r="G82" s="340"/>
      <c r="H82" s="413"/>
      <c r="I82" s="414"/>
    </row>
    <row r="83" spans="1:9" s="273" customFormat="1" ht="11.25" customHeight="1">
      <c r="A83" s="265"/>
      <c r="B83" s="286" t="s">
        <v>262</v>
      </c>
      <c r="C83" s="267">
        <f>SUM(D83:E83)</f>
        <v>933080</v>
      </c>
      <c r="D83" s="268">
        <f>F83+H83</f>
        <v>933080</v>
      </c>
      <c r="E83" s="269"/>
      <c r="F83" s="287">
        <v>933080</v>
      </c>
      <c r="G83" s="340"/>
      <c r="H83" s="270"/>
      <c r="I83" s="272"/>
    </row>
    <row r="84" spans="1:9" s="273" customFormat="1" ht="10.5" customHeight="1">
      <c r="A84" s="265"/>
      <c r="B84" s="286" t="s">
        <v>269</v>
      </c>
      <c r="C84" s="267">
        <f>SUM(D84:E84)</f>
        <v>25000</v>
      </c>
      <c r="D84" s="268">
        <f>F84+H84</f>
        <v>25000</v>
      </c>
      <c r="E84" s="269"/>
      <c r="F84" s="287">
        <v>25000</v>
      </c>
      <c r="G84" s="340"/>
      <c r="H84" s="270"/>
      <c r="I84" s="272"/>
    </row>
    <row r="85" spans="1:9" ht="10.5" customHeight="1">
      <c r="A85" s="257"/>
      <c r="B85" s="258" t="s">
        <v>257</v>
      </c>
      <c r="C85" s="416">
        <f>SUM(C86:C87)</f>
        <v>22000</v>
      </c>
      <c r="D85" s="417">
        <f>SUM(D86:D87)</f>
        <v>22000</v>
      </c>
      <c r="E85" s="261"/>
      <c r="F85" s="262">
        <f>SUM(F86:F87)</f>
        <v>22000</v>
      </c>
      <c r="G85" s="263"/>
      <c r="H85" s="262"/>
      <c r="I85" s="264"/>
    </row>
    <row r="86" spans="1:9" ht="13.5" customHeight="1" hidden="1">
      <c r="A86" s="257"/>
      <c r="B86" s="266" t="s">
        <v>270</v>
      </c>
      <c r="C86" s="267">
        <f>SUM(D86:E86)</f>
        <v>0</v>
      </c>
      <c r="D86" s="268">
        <f>F86+H86</f>
        <v>0</v>
      </c>
      <c r="E86" s="261"/>
      <c r="F86" s="287"/>
      <c r="G86" s="263"/>
      <c r="H86" s="262"/>
      <c r="I86" s="264"/>
    </row>
    <row r="87" spans="1:9" ht="12" customHeight="1" thickBot="1">
      <c r="A87" s="257"/>
      <c r="B87" s="266" t="s">
        <v>258</v>
      </c>
      <c r="C87" s="267">
        <f>SUM(D87:E87)</f>
        <v>22000</v>
      </c>
      <c r="D87" s="268">
        <f>F87+H87</f>
        <v>22000</v>
      </c>
      <c r="E87" s="269"/>
      <c r="F87" s="287">
        <v>22000</v>
      </c>
      <c r="G87" s="263"/>
      <c r="H87" s="262"/>
      <c r="I87" s="264"/>
    </row>
    <row r="88" spans="1:9" s="256" customFormat="1" ht="17.25" customHeight="1" thickBot="1" thickTop="1">
      <c r="A88" s="311">
        <v>630</v>
      </c>
      <c r="B88" s="251" t="s">
        <v>283</v>
      </c>
      <c r="C88" s="252">
        <f>C92+C96</f>
        <v>64000</v>
      </c>
      <c r="D88" s="253">
        <f>D92+D96</f>
        <v>64000</v>
      </c>
      <c r="E88" s="254"/>
      <c r="F88" s="255">
        <f>SUM(F92)+F96</f>
        <v>64000</v>
      </c>
      <c r="G88" s="254"/>
      <c r="H88" s="255"/>
      <c r="I88" s="200"/>
    </row>
    <row r="89" spans="1:9" s="256" customFormat="1" ht="13.5" customHeight="1" thickTop="1">
      <c r="A89" s="317"/>
      <c r="B89" s="282" t="s">
        <v>261</v>
      </c>
      <c r="C89" s="416">
        <f>D89+E89</f>
        <v>64000</v>
      </c>
      <c r="D89" s="417">
        <f>F89+H89</f>
        <v>64000</v>
      </c>
      <c r="E89" s="321"/>
      <c r="F89" s="262">
        <f>F93+F97</f>
        <v>64000</v>
      </c>
      <c r="G89" s="321"/>
      <c r="H89" s="337"/>
      <c r="I89" s="338"/>
    </row>
    <row r="90" spans="1:9" s="341" customFormat="1" ht="13.5" customHeight="1">
      <c r="A90" s="339"/>
      <c r="B90" s="286" t="s">
        <v>273</v>
      </c>
      <c r="C90" s="327">
        <f>D90+E90</f>
        <v>19000</v>
      </c>
      <c r="D90" s="328">
        <f>F90+H90</f>
        <v>19000</v>
      </c>
      <c r="E90" s="418"/>
      <c r="F90" s="270">
        <f>F94+F98</f>
        <v>19000</v>
      </c>
      <c r="G90" s="418"/>
      <c r="H90" s="419"/>
      <c r="I90" s="420"/>
    </row>
    <row r="91" spans="1:9" s="341" customFormat="1" ht="13.5" customHeight="1" thickBot="1">
      <c r="A91" s="352"/>
      <c r="B91" s="421" t="s">
        <v>262</v>
      </c>
      <c r="C91" s="422">
        <f>D91+E91</f>
        <v>45000</v>
      </c>
      <c r="D91" s="423">
        <f>F91+H91</f>
        <v>45000</v>
      </c>
      <c r="E91" s="424"/>
      <c r="F91" s="425">
        <f>F95+F99</f>
        <v>45000</v>
      </c>
      <c r="G91" s="424"/>
      <c r="H91" s="426"/>
      <c r="I91" s="427"/>
    </row>
    <row r="92" spans="1:9" ht="28.5" customHeight="1" thickTop="1">
      <c r="A92" s="360">
        <v>63003</v>
      </c>
      <c r="B92" s="428" t="s">
        <v>284</v>
      </c>
      <c r="C92" s="429">
        <f>C93</f>
        <v>64000</v>
      </c>
      <c r="D92" s="430">
        <f>D93</f>
        <v>64000</v>
      </c>
      <c r="E92" s="431"/>
      <c r="F92" s="432">
        <f>F93</f>
        <v>64000</v>
      </c>
      <c r="G92" s="431"/>
      <c r="H92" s="432"/>
      <c r="I92" s="433"/>
    </row>
    <row r="93" spans="1:9" s="285" customFormat="1" ht="10.5" customHeight="1">
      <c r="A93" s="257"/>
      <c r="B93" s="282" t="s">
        <v>261</v>
      </c>
      <c r="C93" s="416">
        <f>SUM(C94:C95)</f>
        <v>64000</v>
      </c>
      <c r="D93" s="417">
        <f>SUM(D94:D95)</f>
        <v>64000</v>
      </c>
      <c r="E93" s="261"/>
      <c r="F93" s="262">
        <f>SUM(F94:F95)</f>
        <v>64000</v>
      </c>
      <c r="G93" s="263"/>
      <c r="H93" s="262"/>
      <c r="I93" s="264"/>
    </row>
    <row r="94" spans="1:9" s="292" customFormat="1" ht="10.5" customHeight="1">
      <c r="A94" s="265"/>
      <c r="B94" s="286" t="s">
        <v>273</v>
      </c>
      <c r="C94" s="267">
        <f>SUM(D94:E94)</f>
        <v>19000</v>
      </c>
      <c r="D94" s="268">
        <f>F94+H94</f>
        <v>19000</v>
      </c>
      <c r="E94" s="269"/>
      <c r="F94" s="287">
        <v>19000</v>
      </c>
      <c r="G94" s="271"/>
      <c r="H94" s="270"/>
      <c r="I94" s="272"/>
    </row>
    <row r="95" spans="1:9" s="292" customFormat="1" ht="10.5" customHeight="1" thickBot="1">
      <c r="A95" s="396"/>
      <c r="B95" s="397" t="s">
        <v>262</v>
      </c>
      <c r="C95" s="382">
        <f>SUM(D95:E95)</f>
        <v>45000</v>
      </c>
      <c r="D95" s="383">
        <f>F95+H95</f>
        <v>45000</v>
      </c>
      <c r="E95" s="384"/>
      <c r="F95" s="385">
        <v>45000</v>
      </c>
      <c r="G95" s="398"/>
      <c r="H95" s="399"/>
      <c r="I95" s="400"/>
    </row>
    <row r="96" spans="1:9" s="281" customFormat="1" ht="12.75" hidden="1" thickBot="1">
      <c r="A96" s="312">
        <v>63095</v>
      </c>
      <c r="B96" s="434" t="s">
        <v>268</v>
      </c>
      <c r="C96" s="288">
        <f>SUM(C97)</f>
        <v>0</v>
      </c>
      <c r="D96" s="191">
        <f>SUM(D97)</f>
        <v>0</v>
      </c>
      <c r="E96" s="289"/>
      <c r="F96" s="290">
        <f>SUM(F97)</f>
        <v>0</v>
      </c>
      <c r="G96" s="289"/>
      <c r="H96" s="290"/>
      <c r="I96" s="193"/>
    </row>
    <row r="97" spans="1:9" ht="12" customHeight="1" hidden="1">
      <c r="A97" s="257"/>
      <c r="B97" s="282" t="s">
        <v>261</v>
      </c>
      <c r="C97" s="259">
        <f>SUM(C98:C99)</f>
        <v>0</v>
      </c>
      <c r="D97" s="260">
        <f>SUM(D98:D99)</f>
        <v>0</v>
      </c>
      <c r="E97" s="261"/>
      <c r="F97" s="262">
        <f>SUM(F98:F99)</f>
        <v>0</v>
      </c>
      <c r="G97" s="393"/>
      <c r="H97" s="394"/>
      <c r="I97" s="264"/>
    </row>
    <row r="98" spans="1:9" s="292" customFormat="1" ht="11.25" customHeight="1" hidden="1">
      <c r="A98" s="265"/>
      <c r="B98" s="286" t="s">
        <v>273</v>
      </c>
      <c r="C98" s="267">
        <f>SUM(D98:E98)</f>
        <v>0</v>
      </c>
      <c r="D98" s="268">
        <f>F98+H98</f>
        <v>0</v>
      </c>
      <c r="E98" s="269"/>
      <c r="F98" s="287">
        <v>0</v>
      </c>
      <c r="G98" s="271"/>
      <c r="H98" s="270"/>
      <c r="I98" s="272"/>
    </row>
    <row r="99" spans="1:9" ht="10.5" customHeight="1" hidden="1">
      <c r="A99" s="257"/>
      <c r="B99" s="286" t="s">
        <v>262</v>
      </c>
      <c r="C99" s="267">
        <f>SUM(D99:E99)</f>
        <v>0</v>
      </c>
      <c r="D99" s="268">
        <f>F99+H99</f>
        <v>0</v>
      </c>
      <c r="E99" s="269"/>
      <c r="F99" s="287"/>
      <c r="G99" s="263"/>
      <c r="H99" s="262"/>
      <c r="I99" s="272"/>
    </row>
    <row r="100" spans="1:9" s="435" customFormat="1" ht="27" thickBot="1" thickTop="1">
      <c r="A100" s="311">
        <v>700</v>
      </c>
      <c r="B100" s="251" t="s">
        <v>285</v>
      </c>
      <c r="C100" s="252">
        <f>C112+C120+C123+C130+C133</f>
        <v>22924815</v>
      </c>
      <c r="D100" s="253">
        <f>D112+D120+D123+D130+D133</f>
        <v>22885815</v>
      </c>
      <c r="E100" s="254">
        <f>E112+E120+E123+E133</f>
        <v>39000</v>
      </c>
      <c r="F100" s="255">
        <f>F112+F120+F123+F130+F133</f>
        <v>22885815</v>
      </c>
      <c r="G100" s="254"/>
      <c r="H100" s="255"/>
      <c r="I100" s="200">
        <f>I112+I120+I123+I133</f>
        <v>39000</v>
      </c>
    </row>
    <row r="101" spans="1:9" s="256" customFormat="1" ht="13.5" thickTop="1">
      <c r="A101" s="317"/>
      <c r="B101" s="318" t="s">
        <v>261</v>
      </c>
      <c r="C101" s="319">
        <f>D101+E101</f>
        <v>9628270</v>
      </c>
      <c r="D101" s="320">
        <f>F101+H101</f>
        <v>9589270</v>
      </c>
      <c r="E101" s="321">
        <f>G101+I101</f>
        <v>39000</v>
      </c>
      <c r="F101" s="324">
        <f>F124+F134+F113</f>
        <v>9589270</v>
      </c>
      <c r="G101" s="320"/>
      <c r="H101" s="324"/>
      <c r="I101" s="325">
        <f>I124+I134</f>
        <v>39000</v>
      </c>
    </row>
    <row r="102" spans="1:9" s="330" customFormat="1" ht="11.25" customHeight="1">
      <c r="A102" s="339"/>
      <c r="B102" s="266" t="s">
        <v>286</v>
      </c>
      <c r="C102" s="327">
        <f>D102+E102</f>
        <v>6700</v>
      </c>
      <c r="D102" s="328">
        <f>F102+H102</f>
        <v>6700</v>
      </c>
      <c r="E102" s="271"/>
      <c r="F102" s="270">
        <f>F135</f>
        <v>6700</v>
      </c>
      <c r="G102" s="328"/>
      <c r="H102" s="270"/>
      <c r="I102" s="272"/>
    </row>
    <row r="103" spans="1:9" s="330" customFormat="1" ht="12" customHeight="1">
      <c r="A103" s="339"/>
      <c r="B103" s="266" t="s">
        <v>287</v>
      </c>
      <c r="C103" s="327"/>
      <c r="D103" s="328"/>
      <c r="E103" s="271"/>
      <c r="F103" s="270"/>
      <c r="G103" s="436"/>
      <c r="H103" s="270"/>
      <c r="I103" s="272"/>
    </row>
    <row r="104" spans="1:9" s="330" customFormat="1" ht="9.75" customHeight="1">
      <c r="A104" s="339"/>
      <c r="B104" s="286" t="s">
        <v>273</v>
      </c>
      <c r="C104" s="327">
        <f aca="true" t="shared" si="2" ref="C104:C111">D104+E104</f>
        <v>6700000</v>
      </c>
      <c r="D104" s="328">
        <f aca="true" t="shared" si="3" ref="D104:D111">F104+H104</f>
        <v>6700000</v>
      </c>
      <c r="E104" s="271"/>
      <c r="F104" s="270">
        <f>F114</f>
        <v>6700000</v>
      </c>
      <c r="G104" s="437"/>
      <c r="H104" s="270"/>
      <c r="I104" s="272"/>
    </row>
    <row r="105" spans="1:9" s="330" customFormat="1" ht="10.5" customHeight="1">
      <c r="A105" s="339"/>
      <c r="B105" s="286" t="s">
        <v>262</v>
      </c>
      <c r="C105" s="327">
        <f t="shared" si="2"/>
        <v>2921570</v>
      </c>
      <c r="D105" s="328">
        <f t="shared" si="3"/>
        <v>2882570</v>
      </c>
      <c r="E105" s="271">
        <f>G105+I105</f>
        <v>39000</v>
      </c>
      <c r="F105" s="270">
        <f>F127+F137+F116</f>
        <v>2882570</v>
      </c>
      <c r="G105" s="328"/>
      <c r="H105" s="270"/>
      <c r="I105" s="272">
        <f>I127+I137</f>
        <v>39000</v>
      </c>
    </row>
    <row r="106" spans="1:9" s="330" customFormat="1" ht="10.5" customHeight="1">
      <c r="A106" s="339"/>
      <c r="B106" s="286" t="s">
        <v>269</v>
      </c>
      <c r="C106" s="327"/>
      <c r="D106" s="328"/>
      <c r="E106" s="271"/>
      <c r="F106" s="270"/>
      <c r="G106" s="328"/>
      <c r="H106" s="270"/>
      <c r="I106" s="272"/>
    </row>
    <row r="107" spans="1:9" s="256" customFormat="1" ht="12.75">
      <c r="A107" s="317"/>
      <c r="B107" s="336" t="s">
        <v>257</v>
      </c>
      <c r="C107" s="319">
        <f t="shared" si="2"/>
        <v>13296545</v>
      </c>
      <c r="D107" s="320">
        <f t="shared" si="3"/>
        <v>13296545</v>
      </c>
      <c r="E107" s="321"/>
      <c r="F107" s="337">
        <f>F117+F128+F131+F139</f>
        <v>13296545</v>
      </c>
      <c r="G107" s="320"/>
      <c r="H107" s="337"/>
      <c r="I107" s="338"/>
    </row>
    <row r="108" spans="1:9" s="330" customFormat="1" ht="13.5">
      <c r="A108" s="339"/>
      <c r="B108" s="266" t="s">
        <v>270</v>
      </c>
      <c r="C108" s="327">
        <f t="shared" si="2"/>
        <v>6621245</v>
      </c>
      <c r="D108" s="328">
        <f t="shared" si="3"/>
        <v>6621245</v>
      </c>
      <c r="E108" s="271"/>
      <c r="F108" s="270">
        <f>F118+F140</f>
        <v>6621245</v>
      </c>
      <c r="G108" s="328"/>
      <c r="H108" s="270"/>
      <c r="I108" s="272"/>
    </row>
    <row r="109" spans="1:9" s="351" customFormat="1" ht="12.75" hidden="1">
      <c r="A109" s="438"/>
      <c r="B109" s="343" t="s">
        <v>274</v>
      </c>
      <c r="C109" s="416">
        <f t="shared" si="2"/>
        <v>100000</v>
      </c>
      <c r="D109" s="417">
        <f t="shared" si="3"/>
        <v>100000</v>
      </c>
      <c r="E109" s="263"/>
      <c r="F109" s="262">
        <f>F119</f>
        <v>100000</v>
      </c>
      <c r="G109" s="417"/>
      <c r="H109" s="262"/>
      <c r="I109" s="264"/>
    </row>
    <row r="110" spans="1:9" s="330" customFormat="1" ht="13.5">
      <c r="A110" s="339"/>
      <c r="B110" s="266" t="s">
        <v>258</v>
      </c>
      <c r="C110" s="327">
        <f t="shared" si="2"/>
        <v>1158300</v>
      </c>
      <c r="D110" s="328">
        <f t="shared" si="3"/>
        <v>1158300</v>
      </c>
      <c r="E110" s="271"/>
      <c r="F110" s="270">
        <f>F129</f>
        <v>1158300</v>
      </c>
      <c r="G110" s="328"/>
      <c r="H110" s="270"/>
      <c r="I110" s="272"/>
    </row>
    <row r="111" spans="1:9" s="330" customFormat="1" ht="14.25" thickBot="1">
      <c r="A111" s="352"/>
      <c r="B111" s="439" t="s">
        <v>275</v>
      </c>
      <c r="C111" s="422">
        <f t="shared" si="2"/>
        <v>5517000</v>
      </c>
      <c r="D111" s="423">
        <f t="shared" si="3"/>
        <v>5517000</v>
      </c>
      <c r="E111" s="440"/>
      <c r="F111" s="425">
        <f>F132</f>
        <v>5517000</v>
      </c>
      <c r="G111" s="423"/>
      <c r="H111" s="425"/>
      <c r="I111" s="359"/>
    </row>
    <row r="112" spans="1:9" s="281" customFormat="1" ht="24.75" thickTop="1">
      <c r="A112" s="360">
        <v>70001</v>
      </c>
      <c r="B112" s="428" t="s">
        <v>288</v>
      </c>
      <c r="C112" s="429">
        <f>SUM(C113)+C117</f>
        <v>6800000</v>
      </c>
      <c r="D112" s="430">
        <f>SUM(D113)+D117</f>
        <v>6800000</v>
      </c>
      <c r="E112" s="431"/>
      <c r="F112" s="432">
        <f>SUM(F113)+F117</f>
        <v>6800000</v>
      </c>
      <c r="G112" s="431"/>
      <c r="H112" s="432"/>
      <c r="I112" s="433"/>
    </row>
    <row r="113" spans="1:9" ht="12.75">
      <c r="A113" s="257"/>
      <c r="B113" s="282" t="s">
        <v>261</v>
      </c>
      <c r="C113" s="259">
        <f>SUM(C114:C116)</f>
        <v>6700000</v>
      </c>
      <c r="D113" s="260">
        <f>SUM(D114:D116)</f>
        <v>6700000</v>
      </c>
      <c r="E113" s="261"/>
      <c r="F113" s="262">
        <f>SUM(F114:F116)</f>
        <v>6700000</v>
      </c>
      <c r="G113" s="393"/>
      <c r="H113" s="394"/>
      <c r="I113" s="395"/>
    </row>
    <row r="114" spans="1:9" ht="11.25" customHeight="1">
      <c r="A114" s="257"/>
      <c r="B114" s="286" t="s">
        <v>273</v>
      </c>
      <c r="C114" s="267">
        <f>SUM(D114:E114)</f>
        <v>6700000</v>
      </c>
      <c r="D114" s="268">
        <f>F114+H114</f>
        <v>6700000</v>
      </c>
      <c r="E114" s="269"/>
      <c r="F114" s="287">
        <v>6700000</v>
      </c>
      <c r="G114" s="263"/>
      <c r="H114" s="262"/>
      <c r="I114" s="264"/>
    </row>
    <row r="115" spans="1:9" ht="11.25" customHeight="1" hidden="1">
      <c r="A115" s="257"/>
      <c r="B115" s="286" t="s">
        <v>289</v>
      </c>
      <c r="C115" s="267">
        <f>SUM(D115:E115)</f>
        <v>0</v>
      </c>
      <c r="D115" s="268">
        <f>F115+H115</f>
        <v>0</v>
      </c>
      <c r="E115" s="269"/>
      <c r="F115" s="287"/>
      <c r="G115" s="263"/>
      <c r="H115" s="262"/>
      <c r="I115" s="264"/>
    </row>
    <row r="116" spans="1:9" ht="12.75" customHeight="1" hidden="1">
      <c r="A116" s="257"/>
      <c r="B116" s="286" t="s">
        <v>262</v>
      </c>
      <c r="C116" s="267">
        <f>SUM(D116:E116)</f>
        <v>0</v>
      </c>
      <c r="D116" s="268">
        <f>F116+H116</f>
        <v>0</v>
      </c>
      <c r="E116" s="269"/>
      <c r="F116" s="287"/>
      <c r="G116" s="261"/>
      <c r="H116" s="283"/>
      <c r="I116" s="291"/>
    </row>
    <row r="117" spans="1:9" ht="12.75" customHeight="1">
      <c r="A117" s="257"/>
      <c r="B117" s="258" t="s">
        <v>257</v>
      </c>
      <c r="C117" s="416">
        <f>SUM(C118)</f>
        <v>100000</v>
      </c>
      <c r="D117" s="417">
        <f>SUM(D118)</f>
        <v>100000</v>
      </c>
      <c r="E117" s="261"/>
      <c r="F117" s="262">
        <f>SUM(F118)</f>
        <v>100000</v>
      </c>
      <c r="G117" s="263"/>
      <c r="H117" s="262"/>
      <c r="I117" s="264"/>
    </row>
    <row r="118" spans="1:9" ht="13.5" customHeight="1">
      <c r="A118" s="257"/>
      <c r="B118" s="266" t="s">
        <v>270</v>
      </c>
      <c r="C118" s="267">
        <f>SUM(D118:E118)</f>
        <v>100000</v>
      </c>
      <c r="D118" s="268">
        <f>F118+H118</f>
        <v>100000</v>
      </c>
      <c r="E118" s="261"/>
      <c r="F118" s="287">
        <v>100000</v>
      </c>
      <c r="G118" s="263"/>
      <c r="H118" s="262"/>
      <c r="I118" s="264"/>
    </row>
    <row r="119" spans="1:9" s="351" customFormat="1" ht="12" customHeight="1">
      <c r="A119" s="401"/>
      <c r="B119" s="402" t="s">
        <v>274</v>
      </c>
      <c r="C119" s="441">
        <f>SUM(D119:E119)</f>
        <v>100000</v>
      </c>
      <c r="D119" s="442">
        <f>F119+H119</f>
        <v>100000</v>
      </c>
      <c r="E119" s="407"/>
      <c r="F119" s="408">
        <v>100000</v>
      </c>
      <c r="G119" s="407"/>
      <c r="H119" s="408"/>
      <c r="I119" s="409"/>
    </row>
    <row r="120" spans="1:9" s="281" customFormat="1" ht="13.5" customHeight="1" hidden="1">
      <c r="A120" s="312">
        <v>70004</v>
      </c>
      <c r="B120" s="434" t="s">
        <v>290</v>
      </c>
      <c r="C120" s="288">
        <f>SUM(C122)</f>
        <v>0</v>
      </c>
      <c r="D120" s="191">
        <f>SUM(D122)</f>
        <v>0</v>
      </c>
      <c r="E120" s="289"/>
      <c r="F120" s="290">
        <f>SUM(F122)</f>
        <v>0</v>
      </c>
      <c r="G120" s="289"/>
      <c r="H120" s="290"/>
      <c r="I120" s="193"/>
    </row>
    <row r="121" spans="1:9" ht="12.75" customHeight="1" hidden="1">
      <c r="A121" s="257"/>
      <c r="B121" s="282" t="s">
        <v>261</v>
      </c>
      <c r="C121" s="259">
        <f>SUM(C122)</f>
        <v>0</v>
      </c>
      <c r="D121" s="260">
        <f>SUM(D122)</f>
        <v>0</v>
      </c>
      <c r="E121" s="261"/>
      <c r="F121" s="262">
        <f>SUM(F122)</f>
        <v>0</v>
      </c>
      <c r="G121" s="393"/>
      <c r="H121" s="394"/>
      <c r="I121" s="395"/>
    </row>
    <row r="122" spans="1:9" ht="12" customHeight="1" hidden="1">
      <c r="A122" s="257"/>
      <c r="B122" s="286" t="s">
        <v>262</v>
      </c>
      <c r="C122" s="267">
        <f>SUM(D122:E122)</f>
        <v>0</v>
      </c>
      <c r="D122" s="268">
        <f>F122+H122</f>
        <v>0</v>
      </c>
      <c r="E122" s="269"/>
      <c r="F122" s="270">
        <v>0</v>
      </c>
      <c r="G122" s="263"/>
      <c r="H122" s="262"/>
      <c r="I122" s="264"/>
    </row>
    <row r="123" spans="1:9" s="281" customFormat="1" ht="24.75" customHeight="1">
      <c r="A123" s="312">
        <v>70005</v>
      </c>
      <c r="B123" s="434" t="s">
        <v>291</v>
      </c>
      <c r="C123" s="288">
        <f>C124+C128</f>
        <v>4060170</v>
      </c>
      <c r="D123" s="191">
        <f>D124+D128</f>
        <v>4021170</v>
      </c>
      <c r="E123" s="289">
        <f>SUM(E124)</f>
        <v>39000</v>
      </c>
      <c r="F123" s="290">
        <f>F124+F128</f>
        <v>4021170</v>
      </c>
      <c r="G123" s="289"/>
      <c r="H123" s="290"/>
      <c r="I123" s="193">
        <f>I124+I128</f>
        <v>39000</v>
      </c>
    </row>
    <row r="124" spans="1:9" ht="14.25" customHeight="1">
      <c r="A124" s="443"/>
      <c r="B124" s="444" t="s">
        <v>261</v>
      </c>
      <c r="C124" s="411">
        <f>SUM(C125:C127)</f>
        <v>2901870</v>
      </c>
      <c r="D124" s="445">
        <f>SUM(D127)</f>
        <v>2862870</v>
      </c>
      <c r="E124" s="446">
        <f>SUM(E125:E127)</f>
        <v>39000</v>
      </c>
      <c r="F124" s="447">
        <f>SUM(F127)</f>
        <v>2862870</v>
      </c>
      <c r="G124" s="448"/>
      <c r="H124" s="449"/>
      <c r="I124" s="450">
        <f>SUM(I125:I127)</f>
        <v>39000</v>
      </c>
    </row>
    <row r="125" spans="1:9" ht="12.75" hidden="1">
      <c r="A125" s="257"/>
      <c r="B125" s="266" t="s">
        <v>286</v>
      </c>
      <c r="C125" s="267">
        <f>SUM(D125:E125)</f>
        <v>0</v>
      </c>
      <c r="D125" s="268">
        <f>F125+H125</f>
        <v>0</v>
      </c>
      <c r="E125" s="269">
        <f>G125+I125</f>
        <v>0</v>
      </c>
      <c r="F125" s="262"/>
      <c r="G125" s="393"/>
      <c r="H125" s="394"/>
      <c r="I125" s="264"/>
    </row>
    <row r="126" spans="1:9" ht="12.75" hidden="1">
      <c r="A126" s="257"/>
      <c r="B126" s="266" t="s">
        <v>287</v>
      </c>
      <c r="C126" s="267"/>
      <c r="D126" s="268"/>
      <c r="E126" s="261"/>
      <c r="F126" s="262"/>
      <c r="G126" s="393"/>
      <c r="H126" s="394"/>
      <c r="I126" s="264"/>
    </row>
    <row r="127" spans="1:9" ht="12" customHeight="1">
      <c r="A127" s="257"/>
      <c r="B127" s="286" t="s">
        <v>262</v>
      </c>
      <c r="C127" s="267">
        <f>SUM(D127:E127)</f>
        <v>2901870</v>
      </c>
      <c r="D127" s="268">
        <f>F127+H127</f>
        <v>2862870</v>
      </c>
      <c r="E127" s="269">
        <f>G127+I127</f>
        <v>39000</v>
      </c>
      <c r="F127" s="287">
        <v>2862870</v>
      </c>
      <c r="G127" s="261"/>
      <c r="H127" s="283"/>
      <c r="I127" s="291">
        <v>39000</v>
      </c>
    </row>
    <row r="128" spans="1:9" ht="11.25" customHeight="1">
      <c r="A128" s="257"/>
      <c r="B128" s="258" t="s">
        <v>257</v>
      </c>
      <c r="C128" s="259">
        <f>SUM(C129)</f>
        <v>1158300</v>
      </c>
      <c r="D128" s="260">
        <f>F128+H128</f>
        <v>1158300</v>
      </c>
      <c r="E128" s="261"/>
      <c r="F128" s="262">
        <f>SUM(F129)</f>
        <v>1158300</v>
      </c>
      <c r="G128" s="263"/>
      <c r="H128" s="262"/>
      <c r="I128" s="264"/>
    </row>
    <row r="129" spans="1:9" ht="11.25" customHeight="1">
      <c r="A129" s="381"/>
      <c r="B129" s="315" t="s">
        <v>258</v>
      </c>
      <c r="C129" s="382">
        <f>SUM(D129:E129)</f>
        <v>1158300</v>
      </c>
      <c r="D129" s="383">
        <f>F129+H129</f>
        <v>1158300</v>
      </c>
      <c r="E129" s="384"/>
      <c r="F129" s="385">
        <v>1158300</v>
      </c>
      <c r="G129" s="386"/>
      <c r="H129" s="387"/>
      <c r="I129" s="400"/>
    </row>
    <row r="130" spans="1:9" ht="36.75" customHeight="1">
      <c r="A130" s="312">
        <v>70021</v>
      </c>
      <c r="B130" s="434" t="s">
        <v>292</v>
      </c>
      <c r="C130" s="288">
        <f>C131</f>
        <v>5517000</v>
      </c>
      <c r="D130" s="191">
        <f>D131</f>
        <v>5517000</v>
      </c>
      <c r="E130" s="289"/>
      <c r="F130" s="290">
        <f>F131</f>
        <v>5517000</v>
      </c>
      <c r="G130" s="289"/>
      <c r="H130" s="290"/>
      <c r="I130" s="193"/>
    </row>
    <row r="131" spans="1:9" ht="12.75">
      <c r="A131" s="257"/>
      <c r="B131" s="258" t="s">
        <v>257</v>
      </c>
      <c r="C131" s="451">
        <f>SUM(D131:E131)</f>
        <v>5517000</v>
      </c>
      <c r="D131" s="260">
        <f>F131+H131</f>
        <v>5517000</v>
      </c>
      <c r="E131" s="269"/>
      <c r="F131" s="287">
        <f>F132</f>
        <v>5517000</v>
      </c>
      <c r="G131" s="263"/>
      <c r="H131" s="262"/>
      <c r="I131" s="272"/>
    </row>
    <row r="132" spans="1:9" ht="11.25" customHeight="1">
      <c r="A132" s="381"/>
      <c r="B132" s="315" t="s">
        <v>275</v>
      </c>
      <c r="C132" s="382">
        <f>SUM(D132:E132)</f>
        <v>5517000</v>
      </c>
      <c r="D132" s="383">
        <f>F132+H132</f>
        <v>5517000</v>
      </c>
      <c r="E132" s="384"/>
      <c r="F132" s="385">
        <v>5517000</v>
      </c>
      <c r="G132" s="386"/>
      <c r="H132" s="387"/>
      <c r="I132" s="400"/>
    </row>
    <row r="133" spans="1:9" s="281" customFormat="1" ht="12">
      <c r="A133" s="312">
        <v>70095</v>
      </c>
      <c r="B133" s="434" t="s">
        <v>268</v>
      </c>
      <c r="C133" s="288">
        <f>C134+C139</f>
        <v>6547645</v>
      </c>
      <c r="D133" s="191">
        <f>D134+D139</f>
        <v>6547645</v>
      </c>
      <c r="E133" s="289"/>
      <c r="F133" s="290">
        <f>F134+F139</f>
        <v>6547645</v>
      </c>
      <c r="G133" s="289"/>
      <c r="H133" s="290"/>
      <c r="I133" s="193"/>
    </row>
    <row r="134" spans="1:9" ht="12.75">
      <c r="A134" s="257"/>
      <c r="B134" s="282" t="s">
        <v>261</v>
      </c>
      <c r="C134" s="259">
        <f>SUM(C135:C137)</f>
        <v>26400</v>
      </c>
      <c r="D134" s="260">
        <f>SUM(D135:D137)</f>
        <v>26400</v>
      </c>
      <c r="E134" s="261"/>
      <c r="F134" s="262">
        <f>SUM(F135:F137)</f>
        <v>26400</v>
      </c>
      <c r="G134" s="393"/>
      <c r="H134" s="394"/>
      <c r="I134" s="264"/>
    </row>
    <row r="135" spans="1:9" ht="12.75">
      <c r="A135" s="257"/>
      <c r="B135" s="266" t="s">
        <v>286</v>
      </c>
      <c r="C135" s="267">
        <f>SUM(D135:E135)</f>
        <v>6700</v>
      </c>
      <c r="D135" s="268">
        <f>F135+H135</f>
        <v>6700</v>
      </c>
      <c r="E135" s="261"/>
      <c r="F135" s="262">
        <v>6700</v>
      </c>
      <c r="G135" s="393"/>
      <c r="H135" s="394"/>
      <c r="I135" s="264"/>
    </row>
    <row r="136" spans="1:9" ht="12.75">
      <c r="A136" s="257"/>
      <c r="B136" s="266" t="s">
        <v>287</v>
      </c>
      <c r="C136" s="267"/>
      <c r="D136" s="268"/>
      <c r="E136" s="261"/>
      <c r="F136" s="262"/>
      <c r="G136" s="393"/>
      <c r="H136" s="394"/>
      <c r="I136" s="264"/>
    </row>
    <row r="137" spans="1:9" ht="11.25" customHeight="1">
      <c r="A137" s="257"/>
      <c r="B137" s="286" t="s">
        <v>262</v>
      </c>
      <c r="C137" s="267">
        <f>SUM(D137:E137)</f>
        <v>19700</v>
      </c>
      <c r="D137" s="268">
        <f>F137+H137</f>
        <v>19700</v>
      </c>
      <c r="E137" s="269"/>
      <c r="F137" s="287">
        <v>19700</v>
      </c>
      <c r="G137" s="263"/>
      <c r="H137" s="262"/>
      <c r="I137" s="272"/>
    </row>
    <row r="138" spans="1:9" ht="11.25" customHeight="1" hidden="1">
      <c r="A138" s="257"/>
      <c r="B138" s="286" t="s">
        <v>269</v>
      </c>
      <c r="C138" s="267">
        <f>SUM(D138:E138)</f>
        <v>0</v>
      </c>
      <c r="D138" s="268">
        <f>F138+H138</f>
        <v>0</v>
      </c>
      <c r="E138" s="269"/>
      <c r="F138" s="287"/>
      <c r="G138" s="263"/>
      <c r="H138" s="262"/>
      <c r="I138" s="272"/>
    </row>
    <row r="139" spans="1:9" ht="12" customHeight="1">
      <c r="A139" s="257"/>
      <c r="B139" s="258" t="s">
        <v>257</v>
      </c>
      <c r="C139" s="259">
        <f>SUM(C140:C141)</f>
        <v>6521245</v>
      </c>
      <c r="D139" s="260">
        <f>F139+H139</f>
        <v>6521245</v>
      </c>
      <c r="E139" s="261"/>
      <c r="F139" s="262">
        <f>SUM(F140:F141)</f>
        <v>6521245</v>
      </c>
      <c r="G139" s="263"/>
      <c r="H139" s="262"/>
      <c r="I139" s="264"/>
    </row>
    <row r="140" spans="1:9" s="273" customFormat="1" ht="14.25" customHeight="1" thickBot="1">
      <c r="A140" s="396"/>
      <c r="B140" s="315" t="s">
        <v>270</v>
      </c>
      <c r="C140" s="382">
        <f>SUM(D140:E140)</f>
        <v>6521245</v>
      </c>
      <c r="D140" s="383">
        <f>F140+H140</f>
        <v>6521245</v>
      </c>
      <c r="E140" s="384"/>
      <c r="F140" s="385">
        <v>6521245</v>
      </c>
      <c r="G140" s="384"/>
      <c r="H140" s="385"/>
      <c r="I140" s="392"/>
    </row>
    <row r="141" spans="1:9" ht="12.75" hidden="1" thickBot="1">
      <c r="A141" s="257"/>
      <c r="B141" s="266" t="s">
        <v>293</v>
      </c>
      <c r="C141" s="382">
        <f>SUM(D141:E141)</f>
        <v>0</v>
      </c>
      <c r="D141" s="268">
        <f>F141+H141</f>
        <v>0</v>
      </c>
      <c r="E141" s="269"/>
      <c r="F141" s="287">
        <v>0</v>
      </c>
      <c r="G141" s="261"/>
      <c r="H141" s="283"/>
      <c r="I141" s="284"/>
    </row>
    <row r="142" spans="1:9" s="435" customFormat="1" ht="30" customHeight="1" thickBot="1" thickTop="1">
      <c r="A142" s="311">
        <v>710</v>
      </c>
      <c r="B142" s="251" t="s">
        <v>142</v>
      </c>
      <c r="C142" s="252">
        <f>C155+C158+C161+C168+C150+C175</f>
        <v>3764966</v>
      </c>
      <c r="D142" s="253">
        <f>D155+D158+D161+D168+D150+D175</f>
        <v>3320700</v>
      </c>
      <c r="E142" s="254">
        <f>E155+E158+E161+E168</f>
        <v>444266</v>
      </c>
      <c r="F142" s="255">
        <f>F155+F158+F161+F168+F150+F175</f>
        <v>3120700</v>
      </c>
      <c r="G142" s="254">
        <f>G155+G158+G161+G168+G150</f>
        <v>16600</v>
      </c>
      <c r="H142" s="253">
        <f>H155+H158+H161+H168+H150</f>
        <v>200000</v>
      </c>
      <c r="I142" s="200">
        <f>I155+I158+I161+I168+I150</f>
        <v>427666</v>
      </c>
    </row>
    <row r="143" spans="1:9" s="256" customFormat="1" ht="14.25" customHeight="1" thickTop="1">
      <c r="A143" s="317"/>
      <c r="B143" s="318" t="s">
        <v>261</v>
      </c>
      <c r="C143" s="319">
        <f>D143+E143</f>
        <v>3404966</v>
      </c>
      <c r="D143" s="320">
        <f>F143+H143</f>
        <v>2960700</v>
      </c>
      <c r="E143" s="321">
        <f>G143+I143</f>
        <v>444266</v>
      </c>
      <c r="F143" s="324">
        <f>F151+F156+F159+F162+F169</f>
        <v>2760700</v>
      </c>
      <c r="G143" s="323">
        <f>G151+G156+G159+G162+G169</f>
        <v>16600</v>
      </c>
      <c r="H143" s="201">
        <f>H151+H156+H159+H162+H169</f>
        <v>200000</v>
      </c>
      <c r="I143" s="325">
        <f>I151+I156+I159+I162+I169</f>
        <v>427666</v>
      </c>
    </row>
    <row r="144" spans="1:9" s="330" customFormat="1" ht="12" customHeight="1">
      <c r="A144" s="339"/>
      <c r="B144" s="266" t="s">
        <v>286</v>
      </c>
      <c r="C144" s="327">
        <f>D144+E144</f>
        <v>494816</v>
      </c>
      <c r="D144" s="328">
        <f>F144+H144</f>
        <v>204300</v>
      </c>
      <c r="E144" s="271">
        <f>G144+I144</f>
        <v>290516</v>
      </c>
      <c r="F144" s="329">
        <f>F152+F163</f>
        <v>44700</v>
      </c>
      <c r="G144" s="271"/>
      <c r="H144" s="437">
        <f>H163</f>
        <v>159600</v>
      </c>
      <c r="I144" s="272">
        <f>I163</f>
        <v>290516</v>
      </c>
    </row>
    <row r="145" spans="1:9" s="330" customFormat="1" ht="12" customHeight="1">
      <c r="A145" s="339"/>
      <c r="B145" s="266" t="s">
        <v>287</v>
      </c>
      <c r="C145" s="327"/>
      <c r="D145" s="328"/>
      <c r="E145" s="271"/>
      <c r="F145" s="270"/>
      <c r="G145" s="271"/>
      <c r="H145" s="437"/>
      <c r="I145" s="272"/>
    </row>
    <row r="146" spans="1:9" s="330" customFormat="1" ht="12" customHeight="1">
      <c r="A146" s="339"/>
      <c r="B146" s="286" t="s">
        <v>262</v>
      </c>
      <c r="C146" s="327">
        <f>D146+E146</f>
        <v>2910150</v>
      </c>
      <c r="D146" s="328">
        <f>F146+H146</f>
        <v>2756400</v>
      </c>
      <c r="E146" s="271">
        <f>G146+I146</f>
        <v>153750</v>
      </c>
      <c r="F146" s="270">
        <f>F154+F157+F160+F165+F170</f>
        <v>2716000</v>
      </c>
      <c r="G146" s="271">
        <f>G170</f>
        <v>16600</v>
      </c>
      <c r="H146" s="437">
        <f>H154+H157+H160+H165</f>
        <v>40400</v>
      </c>
      <c r="I146" s="272">
        <f>I154+I157+I160+I165</f>
        <v>137150</v>
      </c>
    </row>
    <row r="147" spans="1:9" s="256" customFormat="1" ht="12.75">
      <c r="A147" s="317"/>
      <c r="B147" s="336" t="s">
        <v>257</v>
      </c>
      <c r="C147" s="319">
        <f>D147+E147</f>
        <v>360000</v>
      </c>
      <c r="D147" s="320">
        <f>F147+H147</f>
        <v>360000</v>
      </c>
      <c r="E147" s="320">
        <f>G147+I147</f>
        <v>0</v>
      </c>
      <c r="F147" s="337">
        <f>SUM(F148:F149)</f>
        <v>360000</v>
      </c>
      <c r="G147" s="321"/>
      <c r="H147" s="201"/>
      <c r="I147" s="338">
        <f>SUM(I148:I149)</f>
        <v>0</v>
      </c>
    </row>
    <row r="148" spans="1:9" s="330" customFormat="1" ht="13.5">
      <c r="A148" s="339"/>
      <c r="B148" s="266" t="s">
        <v>270</v>
      </c>
      <c r="C148" s="267">
        <f>D148+E148</f>
        <v>360000</v>
      </c>
      <c r="D148" s="268">
        <f>F148+H148</f>
        <v>360000</v>
      </c>
      <c r="E148" s="269"/>
      <c r="F148" s="287">
        <f>F174</f>
        <v>360000</v>
      </c>
      <c r="G148" s="269"/>
      <c r="H148" s="268"/>
      <c r="I148" s="291"/>
    </row>
    <row r="149" spans="1:9" ht="13.5" thickBot="1">
      <c r="A149" s="452"/>
      <c r="B149" s="439" t="s">
        <v>258</v>
      </c>
      <c r="C149" s="353">
        <f>SUM(D149:E149)</f>
        <v>0</v>
      </c>
      <c r="D149" s="354"/>
      <c r="E149" s="357">
        <f>G149+I149</f>
        <v>0</v>
      </c>
      <c r="F149" s="425"/>
      <c r="G149" s="440"/>
      <c r="H149" s="423"/>
      <c r="I149" s="359">
        <f>I167</f>
        <v>0</v>
      </c>
    </row>
    <row r="150" spans="1:9" s="281" customFormat="1" ht="27" customHeight="1" thickTop="1">
      <c r="A150" s="360">
        <v>71004</v>
      </c>
      <c r="B150" s="428" t="s">
        <v>294</v>
      </c>
      <c r="C150" s="429">
        <f>SUM(C151)</f>
        <v>1260700</v>
      </c>
      <c r="D150" s="430">
        <f>D151+D155</f>
        <v>1260700</v>
      </c>
      <c r="E150" s="431"/>
      <c r="F150" s="432">
        <f>SUM(F151)</f>
        <v>1260700</v>
      </c>
      <c r="G150" s="431"/>
      <c r="H150" s="432"/>
      <c r="I150" s="433"/>
    </row>
    <row r="151" spans="1:9" ht="13.5" customHeight="1">
      <c r="A151" s="257"/>
      <c r="B151" s="282" t="s">
        <v>261</v>
      </c>
      <c r="C151" s="259">
        <f>SUM(C154)+C152</f>
        <v>1260700</v>
      </c>
      <c r="D151" s="260">
        <f>SUM(D154)+D152</f>
        <v>1260700</v>
      </c>
      <c r="E151" s="261"/>
      <c r="F151" s="262">
        <f>F152+F154</f>
        <v>1260700</v>
      </c>
      <c r="G151" s="393"/>
      <c r="H151" s="394"/>
      <c r="I151" s="264"/>
    </row>
    <row r="152" spans="1:9" ht="12.75">
      <c r="A152" s="257"/>
      <c r="B152" s="266" t="s">
        <v>286</v>
      </c>
      <c r="C152" s="267">
        <f>SUM(D152:E152)</f>
        <v>44700</v>
      </c>
      <c r="D152" s="268">
        <f>F152+H152</f>
        <v>44700</v>
      </c>
      <c r="E152" s="261"/>
      <c r="F152" s="262">
        <v>44700</v>
      </c>
      <c r="G152" s="393"/>
      <c r="H152" s="394"/>
      <c r="I152" s="264"/>
    </row>
    <row r="153" spans="1:9" ht="11.25" customHeight="1">
      <c r="A153" s="257"/>
      <c r="B153" s="266" t="s">
        <v>287</v>
      </c>
      <c r="C153" s="267"/>
      <c r="D153" s="268"/>
      <c r="E153" s="261"/>
      <c r="F153" s="262"/>
      <c r="G153" s="393"/>
      <c r="H153" s="394"/>
      <c r="I153" s="264"/>
    </row>
    <row r="154" spans="1:9" ht="12" customHeight="1">
      <c r="A154" s="257"/>
      <c r="B154" s="286" t="s">
        <v>262</v>
      </c>
      <c r="C154" s="267">
        <f>SUM(D154:E154)</f>
        <v>1216000</v>
      </c>
      <c r="D154" s="268">
        <f>F154+H154</f>
        <v>1216000</v>
      </c>
      <c r="E154" s="269"/>
      <c r="F154" s="287">
        <v>1216000</v>
      </c>
      <c r="G154" s="261"/>
      <c r="H154" s="283"/>
      <c r="I154" s="291"/>
    </row>
    <row r="155" spans="1:9" s="281" customFormat="1" ht="24.75" customHeight="1">
      <c r="A155" s="312">
        <v>71013</v>
      </c>
      <c r="B155" s="434" t="s">
        <v>295</v>
      </c>
      <c r="C155" s="288">
        <f aca="true" t="shared" si="4" ref="C155:E156">SUM(C156)</f>
        <v>74000</v>
      </c>
      <c r="D155" s="191"/>
      <c r="E155" s="289">
        <f t="shared" si="4"/>
        <v>74000</v>
      </c>
      <c r="F155" s="290"/>
      <c r="G155" s="289"/>
      <c r="H155" s="290"/>
      <c r="I155" s="193">
        <f>SUM(I156)</f>
        <v>74000</v>
      </c>
    </row>
    <row r="156" spans="1:9" ht="12" customHeight="1">
      <c r="A156" s="257"/>
      <c r="B156" s="282" t="s">
        <v>261</v>
      </c>
      <c r="C156" s="259">
        <f t="shared" si="4"/>
        <v>74000</v>
      </c>
      <c r="D156" s="260"/>
      <c r="E156" s="261">
        <f t="shared" si="4"/>
        <v>74000</v>
      </c>
      <c r="F156" s="262"/>
      <c r="G156" s="393"/>
      <c r="H156" s="394"/>
      <c r="I156" s="264">
        <f>SUM(I157)</f>
        <v>74000</v>
      </c>
    </row>
    <row r="157" spans="1:9" ht="11.25" customHeight="1">
      <c r="A157" s="257"/>
      <c r="B157" s="286" t="s">
        <v>262</v>
      </c>
      <c r="C157" s="267">
        <f>SUM(D157:E157)</f>
        <v>74000</v>
      </c>
      <c r="D157" s="268"/>
      <c r="E157" s="269">
        <f>G157+I157</f>
        <v>74000</v>
      </c>
      <c r="F157" s="287"/>
      <c r="G157" s="261"/>
      <c r="H157" s="283"/>
      <c r="I157" s="291">
        <v>74000</v>
      </c>
    </row>
    <row r="158" spans="1:9" s="281" customFormat="1" ht="22.5" customHeight="1">
      <c r="A158" s="312">
        <v>71014</v>
      </c>
      <c r="B158" s="434" t="s">
        <v>296</v>
      </c>
      <c r="C158" s="288">
        <f>SUM(C160)</f>
        <v>20000</v>
      </c>
      <c r="D158" s="191"/>
      <c r="E158" s="289">
        <f>SUM(E159)</f>
        <v>20000</v>
      </c>
      <c r="F158" s="290"/>
      <c r="G158" s="289"/>
      <c r="H158" s="290"/>
      <c r="I158" s="193">
        <f>SUM(I159)</f>
        <v>20000</v>
      </c>
    </row>
    <row r="159" spans="1:9" ht="12" customHeight="1">
      <c r="A159" s="257"/>
      <c r="B159" s="282" t="s">
        <v>261</v>
      </c>
      <c r="C159" s="259">
        <f>SUM(C160)</f>
        <v>20000</v>
      </c>
      <c r="D159" s="260"/>
      <c r="E159" s="261">
        <f>SUM(E160)</f>
        <v>20000</v>
      </c>
      <c r="F159" s="262"/>
      <c r="G159" s="393"/>
      <c r="H159" s="394"/>
      <c r="I159" s="264">
        <f>SUM(I160)</f>
        <v>20000</v>
      </c>
    </row>
    <row r="160" spans="1:9" ht="12" customHeight="1">
      <c r="A160" s="381"/>
      <c r="B160" s="397" t="s">
        <v>262</v>
      </c>
      <c r="C160" s="382">
        <f>SUM(D160:E160)</f>
        <v>20000</v>
      </c>
      <c r="D160" s="383"/>
      <c r="E160" s="384">
        <f>G160+I160</f>
        <v>20000</v>
      </c>
      <c r="F160" s="385"/>
      <c r="G160" s="453"/>
      <c r="H160" s="454"/>
      <c r="I160" s="392">
        <v>20000</v>
      </c>
    </row>
    <row r="161" spans="1:9" s="281" customFormat="1" ht="12.75" customHeight="1">
      <c r="A161" s="312">
        <v>71015</v>
      </c>
      <c r="B161" s="434" t="s">
        <v>297</v>
      </c>
      <c r="C161" s="288">
        <f>C162+C166</f>
        <v>533666</v>
      </c>
      <c r="D161" s="191">
        <f>D162+D166</f>
        <v>200000</v>
      </c>
      <c r="E161" s="289">
        <f>E162+E166</f>
        <v>333666</v>
      </c>
      <c r="F161" s="290"/>
      <c r="G161" s="289"/>
      <c r="H161" s="290">
        <f>H162+H166</f>
        <v>200000</v>
      </c>
      <c r="I161" s="193">
        <f>I162+I166</f>
        <v>333666</v>
      </c>
    </row>
    <row r="162" spans="1:9" ht="12">
      <c r="A162" s="257"/>
      <c r="B162" s="282" t="s">
        <v>261</v>
      </c>
      <c r="C162" s="259">
        <f>SUM(C163:C165)</f>
        <v>533666</v>
      </c>
      <c r="D162" s="260">
        <f>SUM(D163:D165)</f>
        <v>200000</v>
      </c>
      <c r="E162" s="261">
        <f>SUM(E163:E165)</f>
        <v>333666</v>
      </c>
      <c r="F162" s="283"/>
      <c r="G162" s="261"/>
      <c r="H162" s="283">
        <f>SUM(H163:H165)</f>
        <v>200000</v>
      </c>
      <c r="I162" s="284">
        <f>SUM(I163:I165)</f>
        <v>333666</v>
      </c>
    </row>
    <row r="163" spans="1:9" ht="12">
      <c r="A163" s="257"/>
      <c r="B163" s="266" t="s">
        <v>286</v>
      </c>
      <c r="C163" s="267">
        <f>SUM(D163:E163)</f>
        <v>450116</v>
      </c>
      <c r="D163" s="268">
        <f>F163+H163</f>
        <v>159600</v>
      </c>
      <c r="E163" s="269">
        <f>G163+I163</f>
        <v>290516</v>
      </c>
      <c r="F163" s="287"/>
      <c r="G163" s="261"/>
      <c r="H163" s="287">
        <v>159600</v>
      </c>
      <c r="I163" s="291">
        <v>290516</v>
      </c>
    </row>
    <row r="164" spans="1:9" ht="12">
      <c r="A164" s="257"/>
      <c r="B164" s="266" t="s">
        <v>287</v>
      </c>
      <c r="C164" s="267"/>
      <c r="D164" s="268"/>
      <c r="E164" s="269"/>
      <c r="F164" s="287"/>
      <c r="G164" s="261"/>
      <c r="H164" s="287"/>
      <c r="I164" s="291"/>
    </row>
    <row r="165" spans="1:9" ht="10.5" customHeight="1">
      <c r="A165" s="257"/>
      <c r="B165" s="286" t="s">
        <v>262</v>
      </c>
      <c r="C165" s="267">
        <f>SUM(D165:E165)</f>
        <v>83550</v>
      </c>
      <c r="D165" s="268">
        <f>F165+H165</f>
        <v>40400</v>
      </c>
      <c r="E165" s="269">
        <f>G165+I165</f>
        <v>43150</v>
      </c>
      <c r="F165" s="287"/>
      <c r="G165" s="261"/>
      <c r="H165" s="287">
        <v>40400</v>
      </c>
      <c r="I165" s="291">
        <v>43150</v>
      </c>
    </row>
    <row r="166" spans="1:9" ht="11.25" customHeight="1">
      <c r="A166" s="257"/>
      <c r="B166" s="258" t="s">
        <v>257</v>
      </c>
      <c r="C166" s="259">
        <f>SUM(C167)</f>
        <v>0</v>
      </c>
      <c r="D166" s="268"/>
      <c r="E166" s="261">
        <f>SUM(E167)</f>
        <v>0</v>
      </c>
      <c r="F166" s="270"/>
      <c r="G166" s="263"/>
      <c r="H166" s="262"/>
      <c r="I166" s="264">
        <f>SUM(I167)</f>
        <v>0</v>
      </c>
    </row>
    <row r="167" spans="1:9" ht="12.75">
      <c r="A167" s="257"/>
      <c r="B167" s="266" t="s">
        <v>258</v>
      </c>
      <c r="C167" s="267">
        <f>SUM(D167:E167)</f>
        <v>0</v>
      </c>
      <c r="D167" s="268"/>
      <c r="E167" s="269">
        <f>G167+I167</f>
        <v>0</v>
      </c>
      <c r="F167" s="270"/>
      <c r="G167" s="263"/>
      <c r="H167" s="399"/>
      <c r="I167" s="272">
        <v>0</v>
      </c>
    </row>
    <row r="168" spans="1:9" s="281" customFormat="1" ht="10.5" customHeight="1">
      <c r="A168" s="312">
        <v>71035</v>
      </c>
      <c r="B168" s="434" t="s">
        <v>298</v>
      </c>
      <c r="C168" s="288">
        <f>SUM(C170+C173)</f>
        <v>1876600</v>
      </c>
      <c r="D168" s="191">
        <f>D169+D173</f>
        <v>1860000</v>
      </c>
      <c r="E168" s="289">
        <f>SUM(E169)</f>
        <v>16600</v>
      </c>
      <c r="F168" s="290">
        <f>F169+F173</f>
        <v>1860000</v>
      </c>
      <c r="G168" s="289">
        <f>SUM(G169)</f>
        <v>16600</v>
      </c>
      <c r="H168" s="455"/>
      <c r="I168" s="193"/>
    </row>
    <row r="169" spans="1:9" ht="13.5" customHeight="1">
      <c r="A169" s="443"/>
      <c r="B169" s="444" t="s">
        <v>261</v>
      </c>
      <c r="C169" s="411">
        <f>SUM(C170)</f>
        <v>1516600</v>
      </c>
      <c r="D169" s="445">
        <f>SUM(D170)</f>
        <v>1500000</v>
      </c>
      <c r="E169" s="261">
        <f>SUM(E170)</f>
        <v>16600</v>
      </c>
      <c r="F169" s="447">
        <f>SUM(F170)</f>
        <v>1500000</v>
      </c>
      <c r="G169" s="456">
        <f>SUM(G170)</f>
        <v>16600</v>
      </c>
      <c r="H169" s="457"/>
      <c r="I169" s="450"/>
    </row>
    <row r="170" spans="1:9" ht="11.25" customHeight="1">
      <c r="A170" s="257"/>
      <c r="B170" s="286" t="s">
        <v>262</v>
      </c>
      <c r="C170" s="267">
        <f>SUM(D170:E170)</f>
        <v>1516600</v>
      </c>
      <c r="D170" s="268">
        <f>F170+H170</f>
        <v>1500000</v>
      </c>
      <c r="E170" s="269">
        <f>G170+I170</f>
        <v>16600</v>
      </c>
      <c r="F170" s="287">
        <v>1500000</v>
      </c>
      <c r="G170" s="269">
        <v>16600</v>
      </c>
      <c r="H170" s="458"/>
      <c r="I170" s="291"/>
    </row>
    <row r="171" spans="1:9" s="273" customFormat="1" ht="12" customHeight="1" hidden="1">
      <c r="A171" s="396"/>
      <c r="B171" s="397" t="s">
        <v>269</v>
      </c>
      <c r="C171" s="267">
        <f>SUM(D171:E171)</f>
        <v>0</v>
      </c>
      <c r="D171" s="383">
        <f>F171+H171</f>
        <v>0</v>
      </c>
      <c r="E171" s="269">
        <f>G171+I171</f>
        <v>0</v>
      </c>
      <c r="F171" s="385"/>
      <c r="G171" s="384"/>
      <c r="H171" s="383"/>
      <c r="I171" s="392"/>
    </row>
    <row r="172" spans="1:9" s="462" customFormat="1" ht="12" customHeight="1">
      <c r="A172" s="459"/>
      <c r="B172" s="460" t="s">
        <v>299</v>
      </c>
      <c r="C172" s="344">
        <f>SUM(D172:E172)</f>
        <v>16600</v>
      </c>
      <c r="D172" s="345"/>
      <c r="E172" s="346">
        <f>G172+I172</f>
        <v>16600</v>
      </c>
      <c r="F172" s="347"/>
      <c r="G172" s="346">
        <v>16600</v>
      </c>
      <c r="H172" s="345"/>
      <c r="I172" s="461"/>
    </row>
    <row r="173" spans="1:9" ht="12" customHeight="1">
      <c r="A173" s="257"/>
      <c r="B173" s="258" t="s">
        <v>257</v>
      </c>
      <c r="C173" s="259">
        <f>SUM(C174:C175)</f>
        <v>360000</v>
      </c>
      <c r="D173" s="260">
        <f>F173+H173</f>
        <v>360000</v>
      </c>
      <c r="E173" s="261"/>
      <c r="F173" s="262">
        <f>SUM(F174:F175)</f>
        <v>360000</v>
      </c>
      <c r="G173" s="263"/>
      <c r="H173" s="417"/>
      <c r="I173" s="264"/>
    </row>
    <row r="174" spans="1:9" s="273" customFormat="1" ht="14.25" customHeight="1" thickBot="1">
      <c r="A174" s="265"/>
      <c r="B174" s="266" t="s">
        <v>270</v>
      </c>
      <c r="C174" s="267">
        <f>SUM(D174:E174)</f>
        <v>360000</v>
      </c>
      <c r="D174" s="268">
        <f>F174+H174</f>
        <v>360000</v>
      </c>
      <c r="E174" s="269"/>
      <c r="F174" s="287">
        <v>360000</v>
      </c>
      <c r="G174" s="269"/>
      <c r="H174" s="287"/>
      <c r="I174" s="291"/>
    </row>
    <row r="175" spans="1:9" s="273" customFormat="1" ht="15" customHeight="1" hidden="1">
      <c r="A175" s="312">
        <v>71095</v>
      </c>
      <c r="B175" s="275" t="s">
        <v>268</v>
      </c>
      <c r="C175" s="288">
        <f>SUM(C177)</f>
        <v>0</v>
      </c>
      <c r="D175" s="191">
        <f>D176</f>
        <v>0</v>
      </c>
      <c r="E175" s="289"/>
      <c r="F175" s="290">
        <f>F176</f>
        <v>0</v>
      </c>
      <c r="G175" s="289"/>
      <c r="H175" s="290"/>
      <c r="I175" s="193"/>
    </row>
    <row r="176" spans="1:9" s="273" customFormat="1" ht="9" customHeight="1" hidden="1">
      <c r="A176" s="265"/>
      <c r="B176" s="282" t="s">
        <v>300</v>
      </c>
      <c r="C176" s="411">
        <f>SUM(C177)</f>
        <v>0</v>
      </c>
      <c r="D176" s="445">
        <f>SUM(D177)</f>
        <v>0</v>
      </c>
      <c r="E176" s="269"/>
      <c r="F176" s="283">
        <f>F177</f>
        <v>0</v>
      </c>
      <c r="G176" s="269"/>
      <c r="H176" s="287"/>
      <c r="I176" s="291"/>
    </row>
    <row r="177" spans="1:9" s="273" customFormat="1" ht="16.5" customHeight="1" hidden="1">
      <c r="A177" s="265"/>
      <c r="B177" s="286" t="s">
        <v>301</v>
      </c>
      <c r="C177" s="267">
        <f>SUM(D177:E177)</f>
        <v>0</v>
      </c>
      <c r="D177" s="268">
        <f>F177+H177</f>
        <v>0</v>
      </c>
      <c r="E177" s="269"/>
      <c r="F177" s="287">
        <v>0</v>
      </c>
      <c r="G177" s="357"/>
      <c r="H177" s="287"/>
      <c r="I177" s="291"/>
    </row>
    <row r="178" spans="1:9" s="256" customFormat="1" ht="27.75" customHeight="1" thickBot="1" thickTop="1">
      <c r="A178" s="311">
        <v>750</v>
      </c>
      <c r="B178" s="251" t="s">
        <v>144</v>
      </c>
      <c r="C178" s="252">
        <f aca="true" t="shared" si="5" ref="C178:I178">C189+C204+C207+C229+C194+C216+C223</f>
        <v>34771508</v>
      </c>
      <c r="D178" s="253">
        <f t="shared" si="5"/>
        <v>33733976</v>
      </c>
      <c r="E178" s="254">
        <f t="shared" si="5"/>
        <v>1037532</v>
      </c>
      <c r="F178" s="255">
        <f t="shared" si="5"/>
        <v>30541976</v>
      </c>
      <c r="G178" s="254">
        <f t="shared" si="5"/>
        <v>757900</v>
      </c>
      <c r="H178" s="255">
        <f t="shared" si="5"/>
        <v>3192000</v>
      </c>
      <c r="I178" s="200">
        <f t="shared" si="5"/>
        <v>279632</v>
      </c>
    </row>
    <row r="179" spans="1:9" s="256" customFormat="1" ht="12.75" customHeight="1" thickTop="1">
      <c r="A179" s="463"/>
      <c r="B179" s="464" t="s">
        <v>261</v>
      </c>
      <c r="C179" s="465">
        <f>D179+E179</f>
        <v>31908758</v>
      </c>
      <c r="D179" s="466">
        <f>F179+H179</f>
        <v>30871226</v>
      </c>
      <c r="E179" s="323">
        <f>G179+I179</f>
        <v>1037532</v>
      </c>
      <c r="F179" s="467">
        <f>F190+F195+F205+F208+F217+F224+F230</f>
        <v>27855826</v>
      </c>
      <c r="G179" s="468">
        <f>G190+G195+G205+G208+G217+G224+G230</f>
        <v>757900</v>
      </c>
      <c r="H179" s="324">
        <f>H190+H195+H205+H208+H217+H224+H230</f>
        <v>3015400</v>
      </c>
      <c r="I179" s="325">
        <f>I190+I195+I205+I208+I217+I224+I230</f>
        <v>279632</v>
      </c>
    </row>
    <row r="180" spans="1:9" s="330" customFormat="1" ht="12.75" customHeight="1">
      <c r="A180" s="326"/>
      <c r="B180" s="266" t="s">
        <v>286</v>
      </c>
      <c r="C180" s="327">
        <f>D180+E180</f>
        <v>19717771</v>
      </c>
      <c r="D180" s="328">
        <f>F180+H180</f>
        <v>18694569</v>
      </c>
      <c r="E180" s="271">
        <f>G180+I180</f>
        <v>1023202</v>
      </c>
      <c r="F180" s="329">
        <f>F191+F196+F209+F218+F225+F231</f>
        <v>17378669</v>
      </c>
      <c r="G180" s="469">
        <f>G191+G196+G209+G218+G225+G231</f>
        <v>757900</v>
      </c>
      <c r="H180" s="270">
        <f>H191+H196+H209+H218+H225+H231</f>
        <v>1315900</v>
      </c>
      <c r="I180" s="272">
        <f>I191+I196+I209+I218+I225+I231</f>
        <v>265302</v>
      </c>
    </row>
    <row r="181" spans="1:9" s="330" customFormat="1" ht="12.75" customHeight="1">
      <c r="A181" s="326"/>
      <c r="B181" s="266" t="s">
        <v>287</v>
      </c>
      <c r="C181" s="327"/>
      <c r="D181" s="328"/>
      <c r="E181" s="271"/>
      <c r="F181" s="329"/>
      <c r="G181" s="469"/>
      <c r="H181" s="270"/>
      <c r="I181" s="272"/>
    </row>
    <row r="182" spans="1:9" s="330" customFormat="1" ht="12.75" customHeight="1">
      <c r="A182" s="326"/>
      <c r="B182" s="286" t="s">
        <v>273</v>
      </c>
      <c r="C182" s="327">
        <f>D182+E182</f>
        <v>683000</v>
      </c>
      <c r="D182" s="328">
        <f aca="true" t="shared" si="6" ref="D182:D187">F182+H182</f>
        <v>683000</v>
      </c>
      <c r="E182" s="271"/>
      <c r="F182" s="329">
        <f>F199+F233</f>
        <v>668000</v>
      </c>
      <c r="G182" s="271"/>
      <c r="H182" s="470">
        <f>H199+H233</f>
        <v>15000</v>
      </c>
      <c r="I182" s="272"/>
    </row>
    <row r="183" spans="1:9" s="330" customFormat="1" ht="12.75" customHeight="1">
      <c r="A183" s="326"/>
      <c r="B183" s="266" t="s">
        <v>262</v>
      </c>
      <c r="C183" s="327">
        <f>D183+E183</f>
        <v>11507987</v>
      </c>
      <c r="D183" s="328">
        <f t="shared" si="6"/>
        <v>11493657</v>
      </c>
      <c r="E183" s="271">
        <f>G183+I183</f>
        <v>14330</v>
      </c>
      <c r="F183" s="329">
        <f>F193+F200+F206+F211+F221+F227+F234</f>
        <v>9809157</v>
      </c>
      <c r="G183" s="469"/>
      <c r="H183" s="270">
        <f>H193+H200+H206+H211+H221+H227+H234</f>
        <v>1684500</v>
      </c>
      <c r="I183" s="272">
        <f>I193+I200+I206+I211+I221+I227+I234</f>
        <v>14330</v>
      </c>
    </row>
    <row r="184" spans="1:9" ht="12.75" customHeight="1">
      <c r="A184" s="257"/>
      <c r="B184" s="266" t="s">
        <v>289</v>
      </c>
      <c r="C184" s="259">
        <f>D184+E184</f>
        <v>320892</v>
      </c>
      <c r="D184" s="260">
        <f t="shared" si="6"/>
        <v>320892</v>
      </c>
      <c r="E184" s="261"/>
      <c r="F184" s="335">
        <f>F212</f>
        <v>320892</v>
      </c>
      <c r="G184" s="471"/>
      <c r="H184" s="283"/>
      <c r="I184" s="284"/>
    </row>
    <row r="185" spans="1:9" s="256" customFormat="1" ht="12.75" customHeight="1">
      <c r="A185" s="317"/>
      <c r="B185" s="464" t="s">
        <v>257</v>
      </c>
      <c r="C185" s="319">
        <f>D185+E185</f>
        <v>2862750</v>
      </c>
      <c r="D185" s="320">
        <f t="shared" si="6"/>
        <v>2862750</v>
      </c>
      <c r="E185" s="321"/>
      <c r="F185" s="322">
        <f>F213</f>
        <v>2686150</v>
      </c>
      <c r="G185" s="472"/>
      <c r="H185" s="337">
        <f>H201</f>
        <v>176600</v>
      </c>
      <c r="I185" s="338"/>
    </row>
    <row r="186" spans="1:9" s="330" customFormat="1" ht="13.5" customHeight="1">
      <c r="A186" s="326"/>
      <c r="B186" s="266" t="s">
        <v>258</v>
      </c>
      <c r="C186" s="327">
        <f>D186+E186</f>
        <v>1217300</v>
      </c>
      <c r="D186" s="328">
        <f t="shared" si="6"/>
        <v>1217300</v>
      </c>
      <c r="E186" s="271"/>
      <c r="F186" s="329">
        <f>F215</f>
        <v>1217300</v>
      </c>
      <c r="G186" s="469"/>
      <c r="H186" s="270"/>
      <c r="I186" s="272"/>
    </row>
    <row r="187" spans="1:9" s="273" customFormat="1" ht="15" customHeight="1">
      <c r="A187" s="265"/>
      <c r="B187" s="266" t="s">
        <v>270</v>
      </c>
      <c r="C187" s="327">
        <f>SUM(D187:E187)</f>
        <v>1645450</v>
      </c>
      <c r="D187" s="328">
        <f t="shared" si="6"/>
        <v>1645450</v>
      </c>
      <c r="E187" s="271"/>
      <c r="F187" s="270">
        <f>F214</f>
        <v>1468850</v>
      </c>
      <c r="G187" s="271"/>
      <c r="H187" s="270">
        <f>H202</f>
        <v>176600</v>
      </c>
      <c r="I187" s="272"/>
    </row>
    <row r="188" spans="1:9" s="273" customFormat="1" ht="15" customHeight="1">
      <c r="A188" s="396"/>
      <c r="B188" s="402" t="s">
        <v>274</v>
      </c>
      <c r="C188" s="473">
        <f>SUM(D188:E188)</f>
        <v>176600</v>
      </c>
      <c r="D188" s="474">
        <f>D203</f>
        <v>176600</v>
      </c>
      <c r="E188" s="398"/>
      <c r="F188" s="399"/>
      <c r="G188" s="398"/>
      <c r="H188" s="399">
        <f>H203</f>
        <v>176600</v>
      </c>
      <c r="I188" s="400"/>
    </row>
    <row r="189" spans="1:9" ht="15" customHeight="1">
      <c r="A189" s="360">
        <v>75011</v>
      </c>
      <c r="B189" s="428" t="s">
        <v>302</v>
      </c>
      <c r="C189" s="429">
        <f>SUM(C190)</f>
        <v>1558700</v>
      </c>
      <c r="D189" s="430">
        <f>SUM(D190)</f>
        <v>559600</v>
      </c>
      <c r="E189" s="431">
        <f>SUM(E190)</f>
        <v>999100</v>
      </c>
      <c r="F189" s="432">
        <f>SUM(F190)</f>
        <v>559600</v>
      </c>
      <c r="G189" s="431">
        <f>G190</f>
        <v>757900</v>
      </c>
      <c r="H189" s="432"/>
      <c r="I189" s="433">
        <f>I190</f>
        <v>241200</v>
      </c>
    </row>
    <row r="190" spans="1:9" ht="12.75" customHeight="1">
      <c r="A190" s="257"/>
      <c r="B190" s="258" t="s">
        <v>261</v>
      </c>
      <c r="C190" s="259">
        <f>SUM(C191:C193)</f>
        <v>1558700</v>
      </c>
      <c r="D190" s="260">
        <f>SUM(D191:D193)</f>
        <v>559600</v>
      </c>
      <c r="E190" s="261">
        <f>SUM(E191:E193)</f>
        <v>999100</v>
      </c>
      <c r="F190" s="283">
        <f>SUM(F191:F193)</f>
        <v>559600</v>
      </c>
      <c r="G190" s="261">
        <f>SUM(G191:G193)</f>
        <v>757900</v>
      </c>
      <c r="H190" s="283"/>
      <c r="I190" s="284">
        <f>SUM(I191:I193)</f>
        <v>241200</v>
      </c>
    </row>
    <row r="191" spans="1:9" s="273" customFormat="1" ht="14.25" customHeight="1">
      <c r="A191" s="265"/>
      <c r="B191" s="266" t="s">
        <v>286</v>
      </c>
      <c r="C191" s="267">
        <f>SUM(D191:E191)</f>
        <v>1209700</v>
      </c>
      <c r="D191" s="268">
        <f>F191+H191</f>
        <v>210600</v>
      </c>
      <c r="E191" s="269">
        <f>G191+I191</f>
        <v>999100</v>
      </c>
      <c r="F191" s="287">
        <v>210600</v>
      </c>
      <c r="G191" s="269">
        <v>757900</v>
      </c>
      <c r="H191" s="287"/>
      <c r="I191" s="291">
        <v>241200</v>
      </c>
    </row>
    <row r="192" spans="1:9" s="273" customFormat="1" ht="12">
      <c r="A192" s="265"/>
      <c r="B192" s="266" t="s">
        <v>287</v>
      </c>
      <c r="C192" s="267"/>
      <c r="D192" s="268"/>
      <c r="E192" s="269"/>
      <c r="F192" s="287"/>
      <c r="G192" s="269"/>
      <c r="H192" s="287"/>
      <c r="I192" s="291"/>
    </row>
    <row r="193" spans="1:9" s="273" customFormat="1" ht="10.5" customHeight="1">
      <c r="A193" s="396"/>
      <c r="B193" s="315" t="s">
        <v>262</v>
      </c>
      <c r="C193" s="382">
        <f>SUM(D193:E193)</f>
        <v>349000</v>
      </c>
      <c r="D193" s="383">
        <f>F193+H193</f>
        <v>349000</v>
      </c>
      <c r="E193" s="384"/>
      <c r="F193" s="385">
        <v>349000</v>
      </c>
      <c r="G193" s="384"/>
      <c r="H193" s="385"/>
      <c r="I193" s="392"/>
    </row>
    <row r="194" spans="1:9" ht="14.25" customHeight="1">
      <c r="A194" s="312">
        <v>75020</v>
      </c>
      <c r="B194" s="434" t="s">
        <v>303</v>
      </c>
      <c r="C194" s="288">
        <f>C195+C201</f>
        <v>3189000</v>
      </c>
      <c r="D194" s="191">
        <f>D195+D201</f>
        <v>3189000</v>
      </c>
      <c r="E194" s="431"/>
      <c r="F194" s="475"/>
      <c r="G194" s="476"/>
      <c r="H194" s="290">
        <f>H195+H201</f>
        <v>3189000</v>
      </c>
      <c r="I194" s="193"/>
    </row>
    <row r="195" spans="1:9" ht="14.25" customHeight="1">
      <c r="A195" s="257"/>
      <c r="B195" s="258" t="s">
        <v>261</v>
      </c>
      <c r="C195" s="259">
        <f>SUM(C196:C200)</f>
        <v>3012400</v>
      </c>
      <c r="D195" s="260">
        <f>SUM(D196:D200)</f>
        <v>3012400</v>
      </c>
      <c r="E195" s="261"/>
      <c r="F195" s="283"/>
      <c r="G195" s="261"/>
      <c r="H195" s="283">
        <f>SUM(H196:H200)</f>
        <v>3012400</v>
      </c>
      <c r="I195" s="284"/>
    </row>
    <row r="196" spans="1:9" s="273" customFormat="1" ht="12">
      <c r="A196" s="265"/>
      <c r="B196" s="266" t="s">
        <v>286</v>
      </c>
      <c r="C196" s="267">
        <f>SUM(D196:E196)</f>
        <v>1315900</v>
      </c>
      <c r="D196" s="268">
        <f>F196+H196</f>
        <v>1315900</v>
      </c>
      <c r="E196" s="269"/>
      <c r="F196" s="287"/>
      <c r="G196" s="269"/>
      <c r="H196" s="287">
        <v>1315900</v>
      </c>
      <c r="I196" s="291"/>
    </row>
    <row r="197" spans="1:9" s="273" customFormat="1" ht="12">
      <c r="A197" s="265"/>
      <c r="B197" s="266" t="s">
        <v>287</v>
      </c>
      <c r="C197" s="267"/>
      <c r="D197" s="268"/>
      <c r="E197" s="269"/>
      <c r="F197" s="287"/>
      <c r="G197" s="269"/>
      <c r="H197" s="287"/>
      <c r="I197" s="291"/>
    </row>
    <row r="198" spans="1:9" s="273" customFormat="1" ht="12" hidden="1">
      <c r="A198" s="265"/>
      <c r="B198" s="286" t="s">
        <v>273</v>
      </c>
      <c r="C198" s="267">
        <f>SUM(D198:E198)</f>
        <v>0</v>
      </c>
      <c r="D198" s="268">
        <f>F198+H198</f>
        <v>0</v>
      </c>
      <c r="E198" s="269"/>
      <c r="F198" s="287"/>
      <c r="G198" s="269"/>
      <c r="H198" s="287"/>
      <c r="I198" s="291"/>
    </row>
    <row r="199" spans="1:9" s="273" customFormat="1" ht="12">
      <c r="A199" s="265"/>
      <c r="B199" s="286" t="s">
        <v>273</v>
      </c>
      <c r="C199" s="267">
        <f>SUM(D199:E199)</f>
        <v>15000</v>
      </c>
      <c r="D199" s="268">
        <f>F199+H199</f>
        <v>15000</v>
      </c>
      <c r="E199" s="261"/>
      <c r="F199" s="287"/>
      <c r="G199" s="269"/>
      <c r="H199" s="287">
        <v>15000</v>
      </c>
      <c r="I199" s="291"/>
    </row>
    <row r="200" spans="1:9" s="273" customFormat="1" ht="12.75">
      <c r="A200" s="265"/>
      <c r="B200" s="266" t="s">
        <v>262</v>
      </c>
      <c r="C200" s="267">
        <f>SUM(D200:E200)</f>
        <v>1681500</v>
      </c>
      <c r="D200" s="268">
        <f>F200+H200</f>
        <v>1681500</v>
      </c>
      <c r="E200" s="334"/>
      <c r="F200" s="270"/>
      <c r="G200" s="271"/>
      <c r="H200" s="287">
        <v>1681500</v>
      </c>
      <c r="I200" s="272"/>
    </row>
    <row r="201" spans="1:9" s="273" customFormat="1" ht="12.75">
      <c r="A201" s="265"/>
      <c r="B201" s="258" t="s">
        <v>257</v>
      </c>
      <c r="C201" s="259">
        <f>C202</f>
        <v>176600</v>
      </c>
      <c r="D201" s="260">
        <f>D202</f>
        <v>176600</v>
      </c>
      <c r="E201" s="334"/>
      <c r="F201" s="270"/>
      <c r="G201" s="271"/>
      <c r="H201" s="283">
        <f>H202</f>
        <v>176600</v>
      </c>
      <c r="I201" s="272"/>
    </row>
    <row r="202" spans="1:9" s="273" customFormat="1" ht="12.75">
      <c r="A202" s="265"/>
      <c r="B202" s="266" t="s">
        <v>270</v>
      </c>
      <c r="C202" s="267">
        <f>SUM(D202:E202)</f>
        <v>176600</v>
      </c>
      <c r="D202" s="268">
        <f>F202+H202</f>
        <v>176600</v>
      </c>
      <c r="E202" s="334"/>
      <c r="F202" s="270"/>
      <c r="G202" s="271"/>
      <c r="H202" s="287">
        <v>176600</v>
      </c>
      <c r="I202" s="272"/>
    </row>
    <row r="203" spans="1:9" s="273" customFormat="1" ht="12.75">
      <c r="A203" s="396"/>
      <c r="B203" s="402" t="s">
        <v>274</v>
      </c>
      <c r="C203" s="267">
        <f>SUM(D203:E203)</f>
        <v>176600</v>
      </c>
      <c r="D203" s="268">
        <f>F203+H203</f>
        <v>176600</v>
      </c>
      <c r="E203" s="431"/>
      <c r="F203" s="399"/>
      <c r="G203" s="398"/>
      <c r="H203" s="385">
        <v>176600</v>
      </c>
      <c r="I203" s="400"/>
    </row>
    <row r="204" spans="1:9" ht="15.75" customHeight="1">
      <c r="A204" s="312">
        <v>75022</v>
      </c>
      <c r="B204" s="434" t="s">
        <v>304</v>
      </c>
      <c r="C204" s="288">
        <f>C205</f>
        <v>776000</v>
      </c>
      <c r="D204" s="191">
        <f>SUM(D205)</f>
        <v>776000</v>
      </c>
      <c r="E204" s="289"/>
      <c r="F204" s="290">
        <f>SUM(F205)</f>
        <v>776000</v>
      </c>
      <c r="G204" s="289"/>
      <c r="H204" s="290"/>
      <c r="I204" s="193"/>
    </row>
    <row r="205" spans="1:9" ht="12.75">
      <c r="A205" s="257"/>
      <c r="B205" s="282" t="s">
        <v>261</v>
      </c>
      <c r="C205" s="259">
        <f>SUM(C206)</f>
        <v>776000</v>
      </c>
      <c r="D205" s="260">
        <f>SUM(D206)</f>
        <v>776000</v>
      </c>
      <c r="E205" s="261"/>
      <c r="F205" s="262">
        <f>SUM(F206)</f>
        <v>776000</v>
      </c>
      <c r="G205" s="393"/>
      <c r="H205" s="394"/>
      <c r="I205" s="395"/>
    </row>
    <row r="206" spans="1:9" ht="12.75">
      <c r="A206" s="381"/>
      <c r="B206" s="397" t="s">
        <v>262</v>
      </c>
      <c r="C206" s="382">
        <f>SUM(D206:E206)</f>
        <v>776000</v>
      </c>
      <c r="D206" s="383">
        <f>F206+H206</f>
        <v>776000</v>
      </c>
      <c r="E206" s="384"/>
      <c r="F206" s="385">
        <v>776000</v>
      </c>
      <c r="G206" s="386"/>
      <c r="H206" s="387"/>
      <c r="I206" s="388"/>
    </row>
    <row r="207" spans="1:9" ht="15" customHeight="1">
      <c r="A207" s="312">
        <v>75023</v>
      </c>
      <c r="B207" s="2332" t="s">
        <v>305</v>
      </c>
      <c r="C207" s="288">
        <f>C208+C213</f>
        <v>24802705</v>
      </c>
      <c r="D207" s="191">
        <f>D208+D213</f>
        <v>24802705</v>
      </c>
      <c r="E207" s="289"/>
      <c r="F207" s="290">
        <f>F208+F213</f>
        <v>24802705</v>
      </c>
      <c r="G207" s="289"/>
      <c r="H207" s="290"/>
      <c r="I207" s="193"/>
    </row>
    <row r="208" spans="1:9" ht="12">
      <c r="A208" s="257"/>
      <c r="B208" s="258" t="s">
        <v>261</v>
      </c>
      <c r="C208" s="259">
        <f>SUM(C209:C211)</f>
        <v>22116555</v>
      </c>
      <c r="D208" s="260">
        <f>SUM(D209:D211)</f>
        <v>22116555</v>
      </c>
      <c r="E208" s="261"/>
      <c r="F208" s="283">
        <f>SUM(F209:F211)</f>
        <v>22116555</v>
      </c>
      <c r="G208" s="261"/>
      <c r="H208" s="283"/>
      <c r="I208" s="284"/>
    </row>
    <row r="209" spans="1:9" s="273" customFormat="1" ht="12">
      <c r="A209" s="265"/>
      <c r="B209" s="266" t="s">
        <v>286</v>
      </c>
      <c r="C209" s="267">
        <f>SUM(D209:E209)</f>
        <v>17106065</v>
      </c>
      <c r="D209" s="268">
        <f>F209+H209</f>
        <v>17106065</v>
      </c>
      <c r="E209" s="269"/>
      <c r="F209" s="287">
        <v>17106065</v>
      </c>
      <c r="G209" s="269"/>
      <c r="H209" s="287"/>
      <c r="I209" s="291"/>
    </row>
    <row r="210" spans="1:9" s="273" customFormat="1" ht="12">
      <c r="A210" s="265"/>
      <c r="B210" s="266" t="s">
        <v>287</v>
      </c>
      <c r="C210" s="267"/>
      <c r="D210" s="268"/>
      <c r="E210" s="269"/>
      <c r="F210" s="287"/>
      <c r="G210" s="269"/>
      <c r="H210" s="287"/>
      <c r="I210" s="291"/>
    </row>
    <row r="211" spans="1:9" s="273" customFormat="1" ht="9.75" customHeight="1">
      <c r="A211" s="265"/>
      <c r="B211" s="266" t="s">
        <v>262</v>
      </c>
      <c r="C211" s="267">
        <f>SUM(D211:E211)</f>
        <v>5010490</v>
      </c>
      <c r="D211" s="268">
        <f>F211+H211</f>
        <v>5010490</v>
      </c>
      <c r="E211" s="269"/>
      <c r="F211" s="287">
        <v>5010490</v>
      </c>
      <c r="G211" s="269"/>
      <c r="H211" s="287"/>
      <c r="I211" s="291"/>
    </row>
    <row r="212" spans="1:9" s="273" customFormat="1" ht="11.25" customHeight="1">
      <c r="A212" s="265"/>
      <c r="B212" s="266" t="s">
        <v>289</v>
      </c>
      <c r="C212" s="267">
        <f>SUM(D212:E212)</f>
        <v>320892</v>
      </c>
      <c r="D212" s="268">
        <f>F212+H212</f>
        <v>320892</v>
      </c>
      <c r="E212" s="269"/>
      <c r="F212" s="287">
        <v>320892</v>
      </c>
      <c r="G212" s="271"/>
      <c r="H212" s="270"/>
      <c r="I212" s="272"/>
    </row>
    <row r="213" spans="1:9" ht="12" customHeight="1">
      <c r="A213" s="257"/>
      <c r="B213" s="258" t="s">
        <v>257</v>
      </c>
      <c r="C213" s="259">
        <f>SUM(C214:C215)</f>
        <v>2686150</v>
      </c>
      <c r="D213" s="260">
        <f>SUM(D214:D215)</f>
        <v>2686150</v>
      </c>
      <c r="E213" s="261"/>
      <c r="F213" s="262">
        <f>SUM(F214:F215)</f>
        <v>2686150</v>
      </c>
      <c r="G213" s="263"/>
      <c r="H213" s="262"/>
      <c r="I213" s="264"/>
    </row>
    <row r="214" spans="1:9" s="273" customFormat="1" ht="12" customHeight="1">
      <c r="A214" s="265"/>
      <c r="B214" s="266" t="s">
        <v>270</v>
      </c>
      <c r="C214" s="267">
        <f>SUM(D214:E214)</f>
        <v>1468850</v>
      </c>
      <c r="D214" s="268">
        <f>F214+H214</f>
        <v>1468850</v>
      </c>
      <c r="E214" s="269"/>
      <c r="F214" s="287">
        <v>1468850</v>
      </c>
      <c r="G214" s="271"/>
      <c r="H214" s="270"/>
      <c r="I214" s="272"/>
    </row>
    <row r="215" spans="1:9" ht="12" customHeight="1">
      <c r="A215" s="381"/>
      <c r="B215" s="315" t="s">
        <v>258</v>
      </c>
      <c r="C215" s="382">
        <f>SUM(D215:E215)</f>
        <v>1217300</v>
      </c>
      <c r="D215" s="383">
        <f>F215+H215</f>
        <v>1217300</v>
      </c>
      <c r="E215" s="384"/>
      <c r="F215" s="385">
        <v>1217300</v>
      </c>
      <c r="G215" s="386"/>
      <c r="H215" s="387"/>
      <c r="I215" s="388"/>
    </row>
    <row r="216" spans="1:9" ht="12" customHeight="1">
      <c r="A216" s="312">
        <v>75045</v>
      </c>
      <c r="B216" s="434" t="s">
        <v>306</v>
      </c>
      <c r="C216" s="288">
        <f>C217</f>
        <v>41432</v>
      </c>
      <c r="D216" s="191">
        <f>SUM(D217)</f>
        <v>3000</v>
      </c>
      <c r="E216" s="289">
        <f>SUM(E217)</f>
        <v>38432</v>
      </c>
      <c r="F216" s="475"/>
      <c r="G216" s="476"/>
      <c r="H216" s="290">
        <f>SUM(H217)</f>
        <v>3000</v>
      </c>
      <c r="I216" s="193">
        <f>SUM(I217)</f>
        <v>38432</v>
      </c>
    </row>
    <row r="217" spans="1:9" ht="12.75" customHeight="1">
      <c r="A217" s="257"/>
      <c r="B217" s="258" t="s">
        <v>261</v>
      </c>
      <c r="C217" s="259">
        <f>C218+C221</f>
        <v>41432</v>
      </c>
      <c r="D217" s="260">
        <f>SUM(D218:D221)</f>
        <v>3000</v>
      </c>
      <c r="E217" s="261">
        <f>E218+E221</f>
        <v>38432</v>
      </c>
      <c r="F217" s="283"/>
      <c r="G217" s="261"/>
      <c r="H217" s="283">
        <f>SUM(H218:H221)</f>
        <v>3000</v>
      </c>
      <c r="I217" s="284">
        <f>I218+I221</f>
        <v>38432</v>
      </c>
    </row>
    <row r="218" spans="1:9" s="273" customFormat="1" ht="12" customHeight="1">
      <c r="A218" s="265"/>
      <c r="B218" s="266" t="s">
        <v>286</v>
      </c>
      <c r="C218" s="267">
        <f>SUM(D218:E218)</f>
        <v>24102</v>
      </c>
      <c r="D218" s="268"/>
      <c r="E218" s="269">
        <f>G218+I218</f>
        <v>24102</v>
      </c>
      <c r="F218" s="287"/>
      <c r="G218" s="269"/>
      <c r="H218" s="287"/>
      <c r="I218" s="291">
        <v>24102</v>
      </c>
    </row>
    <row r="219" spans="1:9" s="273" customFormat="1" ht="11.25" customHeight="1">
      <c r="A219" s="265"/>
      <c r="B219" s="266" t="s">
        <v>287</v>
      </c>
      <c r="C219" s="267"/>
      <c r="D219" s="268"/>
      <c r="E219" s="269"/>
      <c r="F219" s="287"/>
      <c r="G219" s="269"/>
      <c r="H219" s="287"/>
      <c r="I219" s="291"/>
    </row>
    <row r="220" spans="1:9" s="273" customFormat="1" ht="11.25" customHeight="1">
      <c r="A220" s="265"/>
      <c r="B220" s="460" t="s">
        <v>299</v>
      </c>
      <c r="C220" s="267">
        <f>SUM(D220:E220)</f>
        <v>500</v>
      </c>
      <c r="D220" s="268"/>
      <c r="E220" s="269">
        <f>I220</f>
        <v>500</v>
      </c>
      <c r="F220" s="287"/>
      <c r="G220" s="269"/>
      <c r="H220" s="287"/>
      <c r="I220" s="291">
        <v>500</v>
      </c>
    </row>
    <row r="221" spans="1:9" ht="11.25" customHeight="1">
      <c r="A221" s="257"/>
      <c r="B221" s="286" t="s">
        <v>262</v>
      </c>
      <c r="C221" s="267">
        <f>SUM(D221:E221)</f>
        <v>17330</v>
      </c>
      <c r="D221" s="268">
        <f>F221+H221</f>
        <v>3000</v>
      </c>
      <c r="E221" s="269">
        <f>G221+I221</f>
        <v>14330</v>
      </c>
      <c r="F221" s="287"/>
      <c r="G221" s="261"/>
      <c r="H221" s="287">
        <v>3000</v>
      </c>
      <c r="I221" s="291">
        <v>14330</v>
      </c>
    </row>
    <row r="222" spans="1:9" s="351" customFormat="1" ht="12">
      <c r="A222" s="342"/>
      <c r="B222" s="460" t="s">
        <v>299</v>
      </c>
      <c r="C222" s="267">
        <f>SUM(D222:E222)</f>
        <v>3934</v>
      </c>
      <c r="D222" s="345"/>
      <c r="E222" s="269">
        <f>G222+I222</f>
        <v>3934</v>
      </c>
      <c r="F222" s="347"/>
      <c r="G222" s="348"/>
      <c r="H222" s="347"/>
      <c r="I222" s="461">
        <v>3934</v>
      </c>
    </row>
    <row r="223" spans="1:9" ht="24" customHeight="1">
      <c r="A223" s="312">
        <v>75075</v>
      </c>
      <c r="B223" s="434" t="s">
        <v>307</v>
      </c>
      <c r="C223" s="288">
        <f>C224</f>
        <v>1550843</v>
      </c>
      <c r="D223" s="191">
        <f>SUM(D224)</f>
        <v>1550843</v>
      </c>
      <c r="E223" s="289"/>
      <c r="F223" s="290">
        <f>SUM(F224)</f>
        <v>1550843</v>
      </c>
      <c r="G223" s="289"/>
      <c r="H223" s="290"/>
      <c r="I223" s="193"/>
    </row>
    <row r="224" spans="1:9" s="285" customFormat="1" ht="12.75">
      <c r="A224" s="257"/>
      <c r="B224" s="282" t="s">
        <v>261</v>
      </c>
      <c r="C224" s="416">
        <f>C225+C227</f>
        <v>1550843</v>
      </c>
      <c r="D224" s="417">
        <f>D225+D227</f>
        <v>1550843</v>
      </c>
      <c r="E224" s="261"/>
      <c r="F224" s="262">
        <f>F225+F227</f>
        <v>1550843</v>
      </c>
      <c r="G224" s="263"/>
      <c r="H224" s="262"/>
      <c r="I224" s="264"/>
    </row>
    <row r="225" spans="1:9" s="273" customFormat="1" ht="11.25" customHeight="1">
      <c r="A225" s="265"/>
      <c r="B225" s="266" t="s">
        <v>286</v>
      </c>
      <c r="C225" s="267">
        <f>SUM(D225:E225)</f>
        <v>12652</v>
      </c>
      <c r="D225" s="268">
        <f>F225+H225</f>
        <v>12652</v>
      </c>
      <c r="E225" s="269"/>
      <c r="F225" s="287">
        <v>12652</v>
      </c>
      <c r="G225" s="269"/>
      <c r="H225" s="287"/>
      <c r="I225" s="291"/>
    </row>
    <row r="226" spans="1:9" s="273" customFormat="1" ht="11.25" customHeight="1">
      <c r="A226" s="265"/>
      <c r="B226" s="266" t="s">
        <v>287</v>
      </c>
      <c r="C226" s="267"/>
      <c r="D226" s="268"/>
      <c r="E226" s="269"/>
      <c r="F226" s="287"/>
      <c r="G226" s="269"/>
      <c r="H226" s="287"/>
      <c r="I226" s="291"/>
    </row>
    <row r="227" spans="1:9" ht="12" customHeight="1">
      <c r="A227" s="257"/>
      <c r="B227" s="286" t="s">
        <v>262</v>
      </c>
      <c r="C227" s="267">
        <f>SUM(D227:E227)</f>
        <v>1538191</v>
      </c>
      <c r="D227" s="268">
        <f>F227+H227</f>
        <v>1538191</v>
      </c>
      <c r="E227" s="269"/>
      <c r="F227" s="287">
        <v>1538191</v>
      </c>
      <c r="G227" s="271"/>
      <c r="H227" s="270"/>
      <c r="I227" s="272"/>
    </row>
    <row r="228" spans="1:9" ht="9.75" customHeight="1" hidden="1">
      <c r="A228" s="257"/>
      <c r="B228" s="266" t="s">
        <v>289</v>
      </c>
      <c r="C228" s="382">
        <f>E228+G228</f>
        <v>0</v>
      </c>
      <c r="D228" s="383">
        <f>F228+H228</f>
        <v>0</v>
      </c>
      <c r="E228" s="477"/>
      <c r="F228" s="270"/>
      <c r="G228" s="271"/>
      <c r="H228" s="399"/>
      <c r="I228" s="272"/>
    </row>
    <row r="229" spans="1:9" ht="12" customHeight="1">
      <c r="A229" s="312">
        <v>75095</v>
      </c>
      <c r="B229" s="434" t="s">
        <v>268</v>
      </c>
      <c r="C229" s="288">
        <f>SUM(C230)</f>
        <v>2852828</v>
      </c>
      <c r="D229" s="191">
        <f>SUM(D230)</f>
        <v>2852828</v>
      </c>
      <c r="E229" s="289"/>
      <c r="F229" s="290">
        <f>SUM(F230)</f>
        <v>2852828</v>
      </c>
      <c r="G229" s="289"/>
      <c r="H229" s="290"/>
      <c r="I229" s="193"/>
    </row>
    <row r="230" spans="1:9" s="285" customFormat="1" ht="12" customHeight="1">
      <c r="A230" s="257"/>
      <c r="B230" s="282" t="s">
        <v>261</v>
      </c>
      <c r="C230" s="416">
        <f>SUM(C231:C234)</f>
        <v>2852828</v>
      </c>
      <c r="D230" s="417">
        <f>SUM(D231:D234)</f>
        <v>2852828</v>
      </c>
      <c r="E230" s="261"/>
      <c r="F230" s="262">
        <f>SUM(F231:F234)</f>
        <v>2852828</v>
      </c>
      <c r="G230" s="263"/>
      <c r="H230" s="262"/>
      <c r="I230" s="264"/>
    </row>
    <row r="231" spans="1:9" s="273" customFormat="1" ht="9.75" customHeight="1">
      <c r="A231" s="265"/>
      <c r="B231" s="266" t="s">
        <v>286</v>
      </c>
      <c r="C231" s="267">
        <f>SUM(D231:E231)</f>
        <v>49352</v>
      </c>
      <c r="D231" s="268">
        <f>F231+H231</f>
        <v>49352</v>
      </c>
      <c r="E231" s="269"/>
      <c r="F231" s="287">
        <v>49352</v>
      </c>
      <c r="G231" s="269"/>
      <c r="H231" s="287"/>
      <c r="I231" s="291"/>
    </row>
    <row r="232" spans="1:9" s="273" customFormat="1" ht="10.5" customHeight="1">
      <c r="A232" s="265"/>
      <c r="B232" s="266" t="s">
        <v>287</v>
      </c>
      <c r="C232" s="267"/>
      <c r="D232" s="268"/>
      <c r="E232" s="269"/>
      <c r="F232" s="287"/>
      <c r="G232" s="269"/>
      <c r="H232" s="287"/>
      <c r="I232" s="291"/>
    </row>
    <row r="233" spans="1:9" s="292" customFormat="1" ht="12">
      <c r="A233" s="265"/>
      <c r="B233" s="286" t="s">
        <v>273</v>
      </c>
      <c r="C233" s="267">
        <f>SUM(D233:E233)</f>
        <v>668000</v>
      </c>
      <c r="D233" s="268">
        <f>F233+H233</f>
        <v>668000</v>
      </c>
      <c r="E233" s="269"/>
      <c r="F233" s="287">
        <v>668000</v>
      </c>
      <c r="G233" s="269"/>
      <c r="H233" s="287"/>
      <c r="I233" s="291"/>
    </row>
    <row r="234" spans="1:9" s="292" customFormat="1" ht="12" customHeight="1" thickBot="1">
      <c r="A234" s="396"/>
      <c r="B234" s="397" t="s">
        <v>262</v>
      </c>
      <c r="C234" s="382">
        <f>SUM(D234:E234)</f>
        <v>2135476</v>
      </c>
      <c r="D234" s="383">
        <f>F234+H234</f>
        <v>2135476</v>
      </c>
      <c r="E234" s="384"/>
      <c r="F234" s="385">
        <v>2135476</v>
      </c>
      <c r="G234" s="384"/>
      <c r="H234" s="385"/>
      <c r="I234" s="392"/>
    </row>
    <row r="235" spans="1:9" s="292" customFormat="1" ht="1.5" customHeight="1" hidden="1">
      <c r="A235" s="265"/>
      <c r="B235" s="266" t="s">
        <v>289</v>
      </c>
      <c r="C235" s="267">
        <f>SUM(D235:E235)</f>
        <v>0</v>
      </c>
      <c r="D235" s="268">
        <f>F235+H235</f>
        <v>0</v>
      </c>
      <c r="E235" s="269"/>
      <c r="F235" s="287">
        <v>0</v>
      </c>
      <c r="G235" s="269"/>
      <c r="H235" s="287"/>
      <c r="I235" s="291"/>
    </row>
    <row r="236" spans="1:9" s="256" customFormat="1" ht="116.25" hidden="1" thickBot="1" thickTop="1">
      <c r="A236" s="250" t="s">
        <v>145</v>
      </c>
      <c r="B236" s="251" t="s">
        <v>146</v>
      </c>
      <c r="C236" s="252">
        <f>SUM(C237)</f>
        <v>0</v>
      </c>
      <c r="D236" s="253"/>
      <c r="E236" s="254">
        <f>E237</f>
        <v>0</v>
      </c>
      <c r="F236" s="255"/>
      <c r="G236" s="254">
        <f>SUM(G237)</f>
        <v>0</v>
      </c>
      <c r="H236" s="255"/>
      <c r="I236" s="200"/>
    </row>
    <row r="237" spans="1:9" s="281" customFormat="1" ht="48.75" hidden="1" thickBot="1">
      <c r="A237" s="274" t="s">
        <v>308</v>
      </c>
      <c r="B237" s="275" t="s">
        <v>309</v>
      </c>
      <c r="C237" s="288">
        <f>SUM(C238)</f>
        <v>0</v>
      </c>
      <c r="D237" s="191"/>
      <c r="E237" s="289">
        <f>E238</f>
        <v>0</v>
      </c>
      <c r="F237" s="290"/>
      <c r="G237" s="289">
        <f>SUM(G238)</f>
        <v>0</v>
      </c>
      <c r="H237" s="290"/>
      <c r="I237" s="193"/>
    </row>
    <row r="238" spans="1:9" s="285" customFormat="1" ht="12.75" customHeight="1" hidden="1">
      <c r="A238" s="443"/>
      <c r="B238" s="444" t="s">
        <v>261</v>
      </c>
      <c r="C238" s="411">
        <f>SUM(C239:C241)</f>
        <v>0</v>
      </c>
      <c r="D238" s="445"/>
      <c r="E238" s="446">
        <f>SUM(E239:E241)</f>
        <v>0</v>
      </c>
      <c r="F238" s="447"/>
      <c r="G238" s="456">
        <f>SUM(G239:G241)</f>
        <v>0</v>
      </c>
      <c r="H238" s="447"/>
      <c r="I238" s="450"/>
    </row>
    <row r="239" spans="1:9" s="285" customFormat="1" ht="13.5" hidden="1" thickBot="1">
      <c r="A239" s="257"/>
      <c r="B239" s="266" t="s">
        <v>286</v>
      </c>
      <c r="C239" s="267">
        <f>SUM(D239:E239)</f>
        <v>0</v>
      </c>
      <c r="D239" s="268"/>
      <c r="E239" s="269">
        <f>G239+I239</f>
        <v>0</v>
      </c>
      <c r="F239" s="262"/>
      <c r="G239" s="263"/>
      <c r="H239" s="262"/>
      <c r="I239" s="264"/>
    </row>
    <row r="240" spans="1:9" s="285" customFormat="1" ht="13.5" hidden="1" thickBot="1">
      <c r="A240" s="257"/>
      <c r="B240" s="266" t="s">
        <v>287</v>
      </c>
      <c r="C240" s="259"/>
      <c r="D240" s="260"/>
      <c r="E240" s="261"/>
      <c r="F240" s="262"/>
      <c r="G240" s="263"/>
      <c r="H240" s="262"/>
      <c r="I240" s="264"/>
    </row>
    <row r="241" spans="1:9" s="292" customFormat="1" ht="0.75" customHeight="1" hidden="1">
      <c r="A241" s="265"/>
      <c r="B241" s="286" t="s">
        <v>262</v>
      </c>
      <c r="C241" s="267">
        <f>SUM(D241:E241)</f>
        <v>0</v>
      </c>
      <c r="D241" s="268"/>
      <c r="E241" s="269">
        <f>G241+I241</f>
        <v>0</v>
      </c>
      <c r="F241" s="287">
        <v>0</v>
      </c>
      <c r="G241" s="269">
        <v>0</v>
      </c>
      <c r="H241" s="287"/>
      <c r="I241" s="291"/>
    </row>
    <row r="242" spans="1:9" s="292" customFormat="1" ht="86.25" customHeight="1" thickBot="1" thickTop="1">
      <c r="A242" s="478">
        <v>751</v>
      </c>
      <c r="B242" s="479" t="s">
        <v>146</v>
      </c>
      <c r="C242" s="252">
        <f>C243+C252</f>
        <v>132897</v>
      </c>
      <c r="D242" s="253"/>
      <c r="E242" s="480">
        <f>E243+E252</f>
        <v>132897</v>
      </c>
      <c r="F242" s="253"/>
      <c r="G242" s="254">
        <f>G243+G252</f>
        <v>132897</v>
      </c>
      <c r="H242" s="255"/>
      <c r="I242" s="200"/>
    </row>
    <row r="243" spans="1:9" s="292" customFormat="1" ht="48.75" customHeight="1" thickTop="1">
      <c r="A243" s="360">
        <v>75101</v>
      </c>
      <c r="B243" s="361" t="s">
        <v>310</v>
      </c>
      <c r="C243" s="429">
        <f>C244</f>
        <v>17577</v>
      </c>
      <c r="D243" s="430"/>
      <c r="E243" s="430">
        <f>SUM(E244)</f>
        <v>17577</v>
      </c>
      <c r="F243" s="432"/>
      <c r="G243" s="431">
        <f>SUM(G244)</f>
        <v>17577</v>
      </c>
      <c r="H243" s="430"/>
      <c r="I243" s="433"/>
    </row>
    <row r="244" spans="1:9" s="292" customFormat="1" ht="9.75" customHeight="1">
      <c r="A244" s="481"/>
      <c r="B244" s="444" t="s">
        <v>300</v>
      </c>
      <c r="C244" s="411">
        <f>SUM(C247+C245)</f>
        <v>17577</v>
      </c>
      <c r="D244" s="445"/>
      <c r="E244" s="482">
        <f>SUM(E247)+E245</f>
        <v>17577</v>
      </c>
      <c r="F244" s="447"/>
      <c r="G244" s="482">
        <f>SUM(G247)+G245</f>
        <v>17577</v>
      </c>
      <c r="H244" s="449"/>
      <c r="I244" s="483"/>
    </row>
    <row r="245" spans="1:9" s="273" customFormat="1" ht="12" customHeight="1">
      <c r="A245" s="265"/>
      <c r="B245" s="266" t="s">
        <v>286</v>
      </c>
      <c r="C245" s="267">
        <f>SUM(D245:E245)</f>
        <v>16157</v>
      </c>
      <c r="D245" s="268"/>
      <c r="E245" s="269">
        <f>G245+I245</f>
        <v>16157</v>
      </c>
      <c r="F245" s="287"/>
      <c r="G245" s="269">
        <v>16157</v>
      </c>
      <c r="H245" s="287"/>
      <c r="I245" s="291"/>
    </row>
    <row r="246" spans="1:9" s="273" customFormat="1" ht="11.25" customHeight="1">
      <c r="A246" s="265"/>
      <c r="B246" s="266" t="s">
        <v>287</v>
      </c>
      <c r="C246" s="267"/>
      <c r="D246" s="268"/>
      <c r="E246" s="269"/>
      <c r="F246" s="287"/>
      <c r="G246" s="269"/>
      <c r="H246" s="287"/>
      <c r="I246" s="291"/>
    </row>
    <row r="247" spans="1:9" s="292" customFormat="1" ht="12" customHeight="1">
      <c r="A247" s="396"/>
      <c r="B247" s="397" t="s">
        <v>262</v>
      </c>
      <c r="C247" s="382">
        <f>SUM(D247:E247)</f>
        <v>1420</v>
      </c>
      <c r="D247" s="383"/>
      <c r="E247" s="484">
        <f>G247+I247</f>
        <v>1420</v>
      </c>
      <c r="F247" s="385"/>
      <c r="G247" s="484">
        <v>1420</v>
      </c>
      <c r="H247" s="385"/>
      <c r="I247" s="392"/>
    </row>
    <row r="248" spans="1:9" s="292" customFormat="1" ht="9.75" customHeight="1" hidden="1" thickBot="1">
      <c r="A248" s="485">
        <v>752</v>
      </c>
      <c r="B248" s="486" t="s">
        <v>311</v>
      </c>
      <c r="C248" s="487">
        <f>C249</f>
        <v>0</v>
      </c>
      <c r="D248" s="488"/>
      <c r="E248" s="489">
        <f>E249</f>
        <v>0</v>
      </c>
      <c r="F248" s="488"/>
      <c r="G248" s="489"/>
      <c r="H248" s="490"/>
      <c r="I248" s="491">
        <f>I249</f>
        <v>0</v>
      </c>
    </row>
    <row r="249" spans="1:9" s="292" customFormat="1" ht="12" customHeight="1" hidden="1" thickTop="1">
      <c r="A249" s="360">
        <v>75212</v>
      </c>
      <c r="B249" s="361" t="s">
        <v>312</v>
      </c>
      <c r="C249" s="429">
        <f>D249+E249</f>
        <v>0</v>
      </c>
      <c r="D249" s="430"/>
      <c r="E249" s="492">
        <f>I249+G249</f>
        <v>0</v>
      </c>
      <c r="F249" s="432"/>
      <c r="G249" s="431"/>
      <c r="H249" s="432"/>
      <c r="I249" s="433">
        <f>I250</f>
        <v>0</v>
      </c>
    </row>
    <row r="250" spans="1:9" s="292" customFormat="1" ht="12" customHeight="1" hidden="1">
      <c r="A250" s="265"/>
      <c r="B250" s="282" t="s">
        <v>300</v>
      </c>
      <c r="C250" s="411">
        <f>D250+E250</f>
        <v>0</v>
      </c>
      <c r="D250" s="493"/>
      <c r="E250" s="446">
        <f>I250+G250</f>
        <v>0</v>
      </c>
      <c r="F250" s="287"/>
      <c r="G250" s="269"/>
      <c r="H250" s="287"/>
      <c r="I250" s="284">
        <f>SUM(I251)</f>
        <v>0</v>
      </c>
    </row>
    <row r="251" spans="1:9" s="292" customFormat="1" ht="12.75" customHeight="1" hidden="1">
      <c r="A251" s="265"/>
      <c r="B251" s="286" t="s">
        <v>262</v>
      </c>
      <c r="C251" s="267">
        <f>D251+E251</f>
        <v>0</v>
      </c>
      <c r="D251" s="268"/>
      <c r="E251" s="477">
        <f>I251+G251</f>
        <v>0</v>
      </c>
      <c r="F251" s="287"/>
      <c r="G251" s="269"/>
      <c r="H251" s="287"/>
      <c r="I251" s="291"/>
    </row>
    <row r="252" spans="1:9" s="292" customFormat="1" ht="24">
      <c r="A252" s="360">
        <v>75113</v>
      </c>
      <c r="B252" s="361" t="s">
        <v>666</v>
      </c>
      <c r="C252" s="429">
        <f>C253</f>
        <v>115320</v>
      </c>
      <c r="D252" s="430"/>
      <c r="E252" s="430">
        <f>SUM(E253)</f>
        <v>115320</v>
      </c>
      <c r="F252" s="432"/>
      <c r="G252" s="431">
        <f>SUM(G253)</f>
        <v>115320</v>
      </c>
      <c r="H252" s="430"/>
      <c r="I252" s="433"/>
    </row>
    <row r="253" spans="1:9" s="292" customFormat="1" ht="12.75" customHeight="1">
      <c r="A253" s="265"/>
      <c r="B253" s="444" t="s">
        <v>300</v>
      </c>
      <c r="C253" s="267">
        <f>SUM(C254:C256)</f>
        <v>115320</v>
      </c>
      <c r="D253" s="268"/>
      <c r="E253" s="477">
        <f>SUM(E254:E256)</f>
        <v>115320</v>
      </c>
      <c r="F253" s="314"/>
      <c r="G253" s="269">
        <f>SUM(G254:G256)</f>
        <v>115320</v>
      </c>
      <c r="H253" s="287"/>
      <c r="I253" s="291"/>
    </row>
    <row r="254" spans="1:9" s="292" customFormat="1" ht="12.75" customHeight="1">
      <c r="A254" s="265"/>
      <c r="B254" s="266" t="s">
        <v>286</v>
      </c>
      <c r="C254" s="267">
        <f>SUM(D254:E254)</f>
        <v>29978</v>
      </c>
      <c r="D254" s="268"/>
      <c r="E254" s="269">
        <f>G254+I254</f>
        <v>29978</v>
      </c>
      <c r="F254" s="314"/>
      <c r="G254" s="269">
        <v>29978</v>
      </c>
      <c r="H254" s="287"/>
      <c r="I254" s="291"/>
    </row>
    <row r="255" spans="1:9" s="292" customFormat="1" ht="12.75" customHeight="1">
      <c r="A255" s="265"/>
      <c r="B255" s="266" t="s">
        <v>287</v>
      </c>
      <c r="C255" s="267"/>
      <c r="D255" s="268"/>
      <c r="E255" s="477"/>
      <c r="F255" s="314"/>
      <c r="G255" s="269"/>
      <c r="H255" s="287"/>
      <c r="I255" s="291"/>
    </row>
    <row r="256" spans="1:9" s="292" customFormat="1" ht="12.75" customHeight="1" thickBot="1">
      <c r="A256" s="1833"/>
      <c r="B256" s="421" t="s">
        <v>262</v>
      </c>
      <c r="C256" s="353">
        <f>SUM(D256:E256)</f>
        <v>85342</v>
      </c>
      <c r="D256" s="354"/>
      <c r="E256" s="357">
        <f>G256+I256</f>
        <v>85342</v>
      </c>
      <c r="F256" s="356"/>
      <c r="G256" s="357">
        <v>85342</v>
      </c>
      <c r="H256" s="358"/>
      <c r="I256" s="1834"/>
    </row>
    <row r="257" spans="1:9" s="501" customFormat="1" ht="49.5" customHeight="1" thickBot="1" thickTop="1">
      <c r="A257" s="520">
        <v>754</v>
      </c>
      <c r="B257" s="1831" t="s">
        <v>148</v>
      </c>
      <c r="C257" s="487">
        <f>C270+C279+C290+C293+C306+C302</f>
        <v>10092446</v>
      </c>
      <c r="D257" s="488">
        <f>D270+D279+D290+D293+D306+D302</f>
        <v>1457500</v>
      </c>
      <c r="E257" s="489">
        <f>E270+E279+E290+E293+E302+E306</f>
        <v>8634946</v>
      </c>
      <c r="F257" s="1832">
        <f>F270+F279+F290+F293+F306+F302</f>
        <v>179500</v>
      </c>
      <c r="G257" s="489">
        <f>G270+G279+G290+G293</f>
        <v>10000</v>
      </c>
      <c r="H257" s="490">
        <f>H270+H279+H290+H293</f>
        <v>1278000</v>
      </c>
      <c r="I257" s="491">
        <f>I270+I279+I290+I293+I306</f>
        <v>8624946</v>
      </c>
    </row>
    <row r="258" spans="1:9" s="256" customFormat="1" ht="15" customHeight="1" thickTop="1">
      <c r="A258" s="317"/>
      <c r="B258" s="336" t="s">
        <v>261</v>
      </c>
      <c r="C258" s="319">
        <f>D258+E258</f>
        <v>9066161</v>
      </c>
      <c r="D258" s="466">
        <f>F258+H258</f>
        <v>969400</v>
      </c>
      <c r="E258" s="320">
        <f>G258+I258</f>
        <v>8096761</v>
      </c>
      <c r="F258" s="322">
        <f>F280+F291+F294+F307+F303</f>
        <v>79500</v>
      </c>
      <c r="G258" s="321">
        <f>G280+G291+G294</f>
        <v>10000</v>
      </c>
      <c r="H258" s="324">
        <f>H280+H271</f>
        <v>889900</v>
      </c>
      <c r="I258" s="325">
        <f>I280+I291+I294+I307</f>
        <v>8086761</v>
      </c>
    </row>
    <row r="259" spans="1:9" s="415" customFormat="1" ht="11.25" customHeight="1">
      <c r="A259" s="412"/>
      <c r="B259" s="266" t="s">
        <v>286</v>
      </c>
      <c r="C259" s="327">
        <f>D259+E259</f>
        <v>6065016</v>
      </c>
      <c r="D259" s="328"/>
      <c r="E259" s="328">
        <f>G259+I259</f>
        <v>6065016</v>
      </c>
      <c r="F259" s="329"/>
      <c r="G259" s="271"/>
      <c r="H259" s="270"/>
      <c r="I259" s="272">
        <f>I281+I308</f>
        <v>6065016</v>
      </c>
    </row>
    <row r="260" spans="1:9" s="415" customFormat="1" ht="12" customHeight="1">
      <c r="A260" s="412"/>
      <c r="B260" s="266" t="s">
        <v>287</v>
      </c>
      <c r="C260" s="327"/>
      <c r="D260" s="328"/>
      <c r="E260" s="328"/>
      <c r="F260" s="329"/>
      <c r="G260" s="271"/>
      <c r="H260" s="270"/>
      <c r="I260" s="272"/>
    </row>
    <row r="261" spans="1:9" s="415" customFormat="1" ht="12" customHeight="1">
      <c r="A261" s="412"/>
      <c r="B261" s="460" t="s">
        <v>299</v>
      </c>
      <c r="C261" s="344">
        <f aca="true" t="shared" si="7" ref="C261:C267">D261+E261</f>
        <v>18210</v>
      </c>
      <c r="D261" s="345"/>
      <c r="E261" s="345">
        <f>G261+I261</f>
        <v>18210</v>
      </c>
      <c r="F261" s="1974"/>
      <c r="G261" s="346"/>
      <c r="H261" s="347"/>
      <c r="I261" s="461">
        <f>I310</f>
        <v>18210</v>
      </c>
    </row>
    <row r="262" spans="1:9" s="415" customFormat="1" ht="13.5" customHeight="1">
      <c r="A262" s="412"/>
      <c r="B262" s="286" t="s">
        <v>273</v>
      </c>
      <c r="C262" s="327">
        <f t="shared" si="7"/>
        <v>22000</v>
      </c>
      <c r="D262" s="328">
        <f aca="true" t="shared" si="8" ref="D262:D268">F262+H262</f>
        <v>22000</v>
      </c>
      <c r="E262" s="328"/>
      <c r="F262" s="329">
        <f>F292</f>
        <v>22000</v>
      </c>
      <c r="G262" s="271"/>
      <c r="H262" s="270"/>
      <c r="I262" s="272"/>
    </row>
    <row r="263" spans="1:9" s="415" customFormat="1" ht="13.5" customHeight="1">
      <c r="A263" s="412"/>
      <c r="B263" s="266" t="s">
        <v>262</v>
      </c>
      <c r="C263" s="327">
        <f t="shared" si="7"/>
        <v>2979145</v>
      </c>
      <c r="D263" s="328">
        <f t="shared" si="8"/>
        <v>947400</v>
      </c>
      <c r="E263" s="328">
        <f>G263+I263</f>
        <v>2031745</v>
      </c>
      <c r="F263" s="329">
        <f>F284+F297+F311+F304</f>
        <v>57500</v>
      </c>
      <c r="G263" s="271">
        <f>G284+G297</f>
        <v>10000</v>
      </c>
      <c r="H263" s="270">
        <f>H284+H274</f>
        <v>889900</v>
      </c>
      <c r="I263" s="272">
        <f>I284+I297+I311</f>
        <v>2021745</v>
      </c>
    </row>
    <row r="264" spans="1:9" s="281" customFormat="1" ht="12.75" customHeight="1">
      <c r="A264" s="332"/>
      <c r="B264" s="266" t="s">
        <v>289</v>
      </c>
      <c r="C264" s="259">
        <f t="shared" si="7"/>
        <v>75000</v>
      </c>
      <c r="D264" s="328">
        <f t="shared" si="8"/>
        <v>10000</v>
      </c>
      <c r="E264" s="260">
        <f>G264+I264</f>
        <v>65000</v>
      </c>
      <c r="F264" s="335">
        <f>F305</f>
        <v>10000</v>
      </c>
      <c r="G264" s="471"/>
      <c r="H264" s="283"/>
      <c r="I264" s="284">
        <f>I285</f>
        <v>65000</v>
      </c>
    </row>
    <row r="265" spans="1:9" s="281" customFormat="1" ht="12.75" customHeight="1">
      <c r="A265" s="332"/>
      <c r="B265" s="460" t="s">
        <v>299</v>
      </c>
      <c r="C265" s="344">
        <f t="shared" si="7"/>
        <v>32926</v>
      </c>
      <c r="D265" s="345"/>
      <c r="E265" s="345">
        <f>G265+I265</f>
        <v>32926</v>
      </c>
      <c r="F265" s="1974"/>
      <c r="G265" s="1975"/>
      <c r="H265" s="347"/>
      <c r="I265" s="461">
        <f>I312</f>
        <v>32926</v>
      </c>
    </row>
    <row r="266" spans="1:9" s="256" customFormat="1" ht="17.25" customHeight="1">
      <c r="A266" s="317"/>
      <c r="B266" s="336" t="s">
        <v>257</v>
      </c>
      <c r="C266" s="319">
        <f t="shared" si="7"/>
        <v>638185</v>
      </c>
      <c r="D266" s="320">
        <f t="shared" si="8"/>
        <v>100000</v>
      </c>
      <c r="E266" s="320">
        <f>G266+I266</f>
        <v>538185</v>
      </c>
      <c r="F266" s="337">
        <f>F276+F286+F313+F299</f>
        <v>100000</v>
      </c>
      <c r="G266" s="321"/>
      <c r="H266" s="337"/>
      <c r="I266" s="338">
        <f>I276+I286</f>
        <v>538185</v>
      </c>
    </row>
    <row r="267" spans="1:9" s="415" customFormat="1" ht="13.5" customHeight="1">
      <c r="A267" s="526"/>
      <c r="B267" s="315" t="s">
        <v>270</v>
      </c>
      <c r="C267" s="382">
        <f t="shared" si="7"/>
        <v>161000</v>
      </c>
      <c r="D267" s="383">
        <f t="shared" si="8"/>
        <v>100000</v>
      </c>
      <c r="E267" s="383">
        <f>G267+I267</f>
        <v>61000</v>
      </c>
      <c r="F267" s="385">
        <f>F277+F287+F314</f>
        <v>100000</v>
      </c>
      <c r="G267" s="384"/>
      <c r="H267" s="385"/>
      <c r="I267" s="392">
        <f>I277+I287</f>
        <v>61000</v>
      </c>
    </row>
    <row r="268" spans="1:9" ht="13.5" customHeight="1">
      <c r="A268" s="257"/>
      <c r="B268" s="266" t="s">
        <v>258</v>
      </c>
      <c r="C268" s="267">
        <f>SUM(D268:E268)</f>
        <v>388100</v>
      </c>
      <c r="D268" s="268">
        <f t="shared" si="8"/>
        <v>388100</v>
      </c>
      <c r="E268" s="269"/>
      <c r="F268" s="287">
        <f>F301</f>
        <v>0</v>
      </c>
      <c r="G268" s="263"/>
      <c r="H268" s="287">
        <f>H288+H278</f>
        <v>388100</v>
      </c>
      <c r="I268" s="264"/>
    </row>
    <row r="269" spans="1:9" ht="13.5" customHeight="1" thickBot="1">
      <c r="A269" s="452"/>
      <c r="B269" s="502" t="s">
        <v>274</v>
      </c>
      <c r="C269" s="353">
        <f>C289</f>
        <v>220000</v>
      </c>
      <c r="D269" s="354">
        <f>D289</f>
        <v>220000</v>
      </c>
      <c r="E269" s="357"/>
      <c r="F269" s="358"/>
      <c r="G269" s="503"/>
      <c r="H269" s="358">
        <f>H289</f>
        <v>220000</v>
      </c>
      <c r="I269" s="504"/>
    </row>
    <row r="270" spans="1:9" s="281" customFormat="1" ht="24.75" customHeight="1" thickTop="1">
      <c r="A270" s="360">
        <v>75405</v>
      </c>
      <c r="B270" s="428" t="s">
        <v>313</v>
      </c>
      <c r="C270" s="429">
        <f>C271+C276</f>
        <v>790000</v>
      </c>
      <c r="D270" s="430">
        <f>D271+D276</f>
        <v>790000</v>
      </c>
      <c r="E270" s="431"/>
      <c r="F270" s="432"/>
      <c r="G270" s="431"/>
      <c r="H270" s="432">
        <f>H271+H276</f>
        <v>790000</v>
      </c>
      <c r="I270" s="433"/>
    </row>
    <row r="271" spans="1:9" s="281" customFormat="1" ht="13.5" customHeight="1">
      <c r="A271" s="257"/>
      <c r="B271" s="258" t="s">
        <v>261</v>
      </c>
      <c r="C271" s="259">
        <f>SUM(C272:C274)</f>
        <v>690000</v>
      </c>
      <c r="D271" s="260">
        <f>F271+H271</f>
        <v>690000</v>
      </c>
      <c r="E271" s="261">
        <f>SUM(E272:E274)</f>
        <v>0</v>
      </c>
      <c r="F271" s="505"/>
      <c r="G271" s="334"/>
      <c r="H271" s="283">
        <f>SUM(H272:H274)</f>
        <v>690000</v>
      </c>
      <c r="I271" s="284">
        <f>SUM(I272:I274)</f>
        <v>0</v>
      </c>
    </row>
    <row r="272" spans="1:9" s="273" customFormat="1" ht="15" customHeight="1" hidden="1">
      <c r="A272" s="265"/>
      <c r="B272" s="266" t="s">
        <v>286</v>
      </c>
      <c r="C272" s="267">
        <f>SUM(D272:E272)</f>
        <v>0</v>
      </c>
      <c r="D272" s="268">
        <f>F272+H272</f>
        <v>0</v>
      </c>
      <c r="E272" s="269">
        <f>G272+I272</f>
        <v>0</v>
      </c>
      <c r="F272" s="287"/>
      <c r="G272" s="269"/>
      <c r="H272" s="287"/>
      <c r="I272" s="291"/>
    </row>
    <row r="273" spans="1:9" s="273" customFormat="1" ht="13.5" customHeight="1" hidden="1">
      <c r="A273" s="265"/>
      <c r="B273" s="266" t="s">
        <v>287</v>
      </c>
      <c r="C273" s="267"/>
      <c r="D273" s="268"/>
      <c r="E273" s="269"/>
      <c r="F273" s="287"/>
      <c r="G273" s="269"/>
      <c r="H273" s="287"/>
      <c r="I273" s="291"/>
    </row>
    <row r="274" spans="1:9" s="273" customFormat="1" ht="14.25" customHeight="1">
      <c r="A274" s="265"/>
      <c r="B274" s="266" t="s">
        <v>262</v>
      </c>
      <c r="C274" s="267">
        <f>SUM(D274:E274)</f>
        <v>690000</v>
      </c>
      <c r="D274" s="268">
        <f>F274+H274</f>
        <v>690000</v>
      </c>
      <c r="E274" s="269">
        <f>G274+I274</f>
        <v>0</v>
      </c>
      <c r="F274" s="287"/>
      <c r="G274" s="269"/>
      <c r="H274" s="287">
        <v>690000</v>
      </c>
      <c r="I274" s="291"/>
    </row>
    <row r="275" spans="1:9" s="273" customFormat="1" ht="13.5" customHeight="1" hidden="1">
      <c r="A275" s="396"/>
      <c r="B275" s="315" t="s">
        <v>289</v>
      </c>
      <c r="C275" s="382">
        <f>SUM(D275:E275)</f>
        <v>0</v>
      </c>
      <c r="D275" s="383">
        <f>F275+H275</f>
        <v>0</v>
      </c>
      <c r="E275" s="384"/>
      <c r="F275" s="385"/>
      <c r="G275" s="384"/>
      <c r="H275" s="385"/>
      <c r="I275" s="392"/>
    </row>
    <row r="276" spans="1:9" ht="13.5" customHeight="1">
      <c r="A276" s="443"/>
      <c r="B276" s="506" t="s">
        <v>257</v>
      </c>
      <c r="C276" s="411">
        <f>SUM(C277:C278)</f>
        <v>100000</v>
      </c>
      <c r="D276" s="445">
        <f>F276+H276</f>
        <v>100000</v>
      </c>
      <c r="E276" s="446"/>
      <c r="F276" s="507"/>
      <c r="G276" s="446"/>
      <c r="H276" s="507">
        <f>SUM(H277:H278)</f>
        <v>100000</v>
      </c>
      <c r="I276" s="178"/>
    </row>
    <row r="277" spans="1:9" ht="13.5" customHeight="1" hidden="1">
      <c r="A277" s="257"/>
      <c r="B277" s="266" t="s">
        <v>270</v>
      </c>
      <c r="C277" s="267">
        <f>SUM(D277:E277)</f>
        <v>0</v>
      </c>
      <c r="D277" s="268">
        <f>F277+H277</f>
        <v>0</v>
      </c>
      <c r="E277" s="269"/>
      <c r="F277" s="287"/>
      <c r="G277" s="261"/>
      <c r="H277" s="287">
        <v>0</v>
      </c>
      <c r="I277" s="291"/>
    </row>
    <row r="278" spans="1:9" ht="13.5" customHeight="1">
      <c r="A278" s="381"/>
      <c r="B278" s="266" t="s">
        <v>258</v>
      </c>
      <c r="C278" s="267">
        <f>SUM(D278:E278)</f>
        <v>100000</v>
      </c>
      <c r="D278" s="268">
        <f>F278+H278</f>
        <v>100000</v>
      </c>
      <c r="E278" s="384"/>
      <c r="F278" s="383"/>
      <c r="G278" s="453"/>
      <c r="H278" s="385">
        <v>100000</v>
      </c>
      <c r="I278" s="392"/>
    </row>
    <row r="279" spans="1:9" s="281" customFormat="1" ht="36" customHeight="1">
      <c r="A279" s="312">
        <v>75411</v>
      </c>
      <c r="B279" s="434" t="s">
        <v>314</v>
      </c>
      <c r="C279" s="288">
        <f>C280+C286</f>
        <v>9061810</v>
      </c>
      <c r="D279" s="191">
        <f>D280+D286</f>
        <v>488000</v>
      </c>
      <c r="E279" s="289">
        <f>SUM(E280+E286)</f>
        <v>8573810</v>
      </c>
      <c r="F279" s="191"/>
      <c r="G279" s="289"/>
      <c r="H279" s="290">
        <f>H280+H286</f>
        <v>488000</v>
      </c>
      <c r="I279" s="193">
        <f>SUM(I280+I286)</f>
        <v>8573810</v>
      </c>
    </row>
    <row r="280" spans="1:9" s="281" customFormat="1" ht="15" customHeight="1">
      <c r="A280" s="257"/>
      <c r="B280" s="258" t="s">
        <v>261</v>
      </c>
      <c r="C280" s="259">
        <f>SUM(C281:C284)</f>
        <v>8235525</v>
      </c>
      <c r="D280" s="260">
        <f>F280+H280</f>
        <v>199900</v>
      </c>
      <c r="E280" s="261">
        <f>SUM(E281:E284)</f>
        <v>8035625</v>
      </c>
      <c r="F280" s="505"/>
      <c r="G280" s="334"/>
      <c r="H280" s="283">
        <f>H281+H284</f>
        <v>199900</v>
      </c>
      <c r="I280" s="284">
        <f>SUM(I281:I284)</f>
        <v>8035625</v>
      </c>
    </row>
    <row r="281" spans="1:9" s="273" customFormat="1" ht="12" customHeight="1">
      <c r="A281" s="265"/>
      <c r="B281" s="266" t="s">
        <v>286</v>
      </c>
      <c r="C281" s="267">
        <f>SUM(D281:E281)</f>
        <v>6046806</v>
      </c>
      <c r="D281" s="268"/>
      <c r="E281" s="269">
        <f>G281+I281</f>
        <v>6046806</v>
      </c>
      <c r="F281" s="287"/>
      <c r="G281" s="269"/>
      <c r="H281" s="270"/>
      <c r="I281" s="291">
        <v>6046806</v>
      </c>
    </row>
    <row r="282" spans="1:9" s="273" customFormat="1" ht="12" customHeight="1">
      <c r="A282" s="265"/>
      <c r="B282" s="266" t="s">
        <v>287</v>
      </c>
      <c r="C282" s="267"/>
      <c r="D282" s="268"/>
      <c r="E282" s="269"/>
      <c r="F282" s="287"/>
      <c r="G282" s="269"/>
      <c r="H282" s="270"/>
      <c r="I282" s="291"/>
    </row>
    <row r="283" spans="1:9" s="273" customFormat="1" ht="10.5" customHeight="1" hidden="1">
      <c r="A283" s="265"/>
      <c r="B283" s="286" t="s">
        <v>273</v>
      </c>
      <c r="C283" s="267"/>
      <c r="D283" s="268"/>
      <c r="E283" s="269"/>
      <c r="F283" s="287"/>
      <c r="G283" s="269"/>
      <c r="H283" s="270"/>
      <c r="I283" s="291"/>
    </row>
    <row r="284" spans="1:9" s="273" customFormat="1" ht="11.25" customHeight="1">
      <c r="A284" s="265"/>
      <c r="B284" s="266" t="s">
        <v>262</v>
      </c>
      <c r="C284" s="267">
        <f>D284+E284</f>
        <v>2188719</v>
      </c>
      <c r="D284" s="268">
        <f>F284+H284</f>
        <v>199900</v>
      </c>
      <c r="E284" s="269">
        <f>G284+I284</f>
        <v>1988819</v>
      </c>
      <c r="F284" s="287"/>
      <c r="G284" s="269"/>
      <c r="H284" s="287">
        <v>199900</v>
      </c>
      <c r="I284" s="291">
        <v>1988819</v>
      </c>
    </row>
    <row r="285" spans="1:9" s="273" customFormat="1" ht="15" customHeight="1">
      <c r="A285" s="265"/>
      <c r="B285" s="266" t="s">
        <v>289</v>
      </c>
      <c r="C285" s="267">
        <f>SUM(D285:E285)</f>
        <v>245000</v>
      </c>
      <c r="D285" s="268">
        <f>F285+H285</f>
        <v>180000</v>
      </c>
      <c r="E285" s="269">
        <f>G285+I285</f>
        <v>65000</v>
      </c>
      <c r="F285" s="287"/>
      <c r="G285" s="269"/>
      <c r="H285" s="287">
        <v>180000</v>
      </c>
      <c r="I285" s="291">
        <v>65000</v>
      </c>
    </row>
    <row r="286" spans="1:9" ht="13.5" customHeight="1">
      <c r="A286" s="257"/>
      <c r="B286" s="258" t="s">
        <v>257</v>
      </c>
      <c r="C286" s="259">
        <f>SUM(C287:C288)</f>
        <v>826285</v>
      </c>
      <c r="D286" s="268">
        <f>F286+H286</f>
        <v>288100</v>
      </c>
      <c r="E286" s="261">
        <f>SUM(E287:E288)</f>
        <v>538185</v>
      </c>
      <c r="F286" s="260"/>
      <c r="G286" s="261"/>
      <c r="H286" s="283">
        <f>SUM(H287:H288)</f>
        <v>288100</v>
      </c>
      <c r="I286" s="284">
        <f>SUM(I287:I288)</f>
        <v>538185</v>
      </c>
    </row>
    <row r="287" spans="1:9" ht="12" customHeight="1">
      <c r="A287" s="257"/>
      <c r="B287" s="266" t="s">
        <v>270</v>
      </c>
      <c r="C287" s="267">
        <f>SUM(D287:E287)</f>
        <v>61000</v>
      </c>
      <c r="D287" s="268"/>
      <c r="E287" s="269">
        <f>G287+I287</f>
        <v>61000</v>
      </c>
      <c r="F287" s="268"/>
      <c r="G287" s="261"/>
      <c r="H287" s="287"/>
      <c r="I287" s="291">
        <v>61000</v>
      </c>
    </row>
    <row r="288" spans="1:9" ht="14.25" customHeight="1">
      <c r="A288" s="257"/>
      <c r="B288" s="266" t="s">
        <v>258</v>
      </c>
      <c r="C288" s="267">
        <f>SUM(D288:E288)</f>
        <v>765285</v>
      </c>
      <c r="D288" s="268">
        <f>F288+H288</f>
        <v>288100</v>
      </c>
      <c r="E288" s="269">
        <f>G288+I288</f>
        <v>477185</v>
      </c>
      <c r="F288" s="287"/>
      <c r="G288" s="263"/>
      <c r="H288" s="287">
        <v>288100</v>
      </c>
      <c r="I288" s="291">
        <v>477185</v>
      </c>
    </row>
    <row r="289" spans="1:9" ht="13.5" customHeight="1">
      <c r="A289" s="381"/>
      <c r="B289" s="508" t="s">
        <v>274</v>
      </c>
      <c r="C289" s="509">
        <f>SUM(D289:E289)</f>
        <v>220000</v>
      </c>
      <c r="D289" s="268">
        <f>F289+H289</f>
        <v>220000</v>
      </c>
      <c r="E289" s="269">
        <f>G289+I289</f>
        <v>0</v>
      </c>
      <c r="F289" s="510"/>
      <c r="G289" s="511"/>
      <c r="H289" s="385">
        <v>220000</v>
      </c>
      <c r="I289" s="392"/>
    </row>
    <row r="290" spans="1:9" ht="16.5" customHeight="1">
      <c r="A290" s="312">
        <v>75412</v>
      </c>
      <c r="B290" s="434" t="s">
        <v>315</v>
      </c>
      <c r="C290" s="288">
        <f>SUM(C292)</f>
        <v>22000</v>
      </c>
      <c r="D290" s="191">
        <f>SUM(D292)</f>
        <v>22000</v>
      </c>
      <c r="E290" s="289"/>
      <c r="F290" s="290">
        <f>SUM(F292)</f>
        <v>22000</v>
      </c>
      <c r="G290" s="289"/>
      <c r="H290" s="290"/>
      <c r="I290" s="193"/>
    </row>
    <row r="291" spans="1:9" ht="12.75">
      <c r="A291" s="257"/>
      <c r="B291" s="282" t="s">
        <v>261</v>
      </c>
      <c r="C291" s="259">
        <f>SUM(C292)</f>
        <v>22000</v>
      </c>
      <c r="D291" s="260">
        <f>SUM(D292)</f>
        <v>22000</v>
      </c>
      <c r="E291" s="261"/>
      <c r="F291" s="262">
        <f>SUM(F292)</f>
        <v>22000</v>
      </c>
      <c r="G291" s="393"/>
      <c r="H291" s="394"/>
      <c r="I291" s="395"/>
    </row>
    <row r="292" spans="1:9" ht="11.25" customHeight="1">
      <c r="A292" s="257"/>
      <c r="B292" s="286" t="s">
        <v>273</v>
      </c>
      <c r="C292" s="267">
        <f>SUM(D292:E292)</f>
        <v>22000</v>
      </c>
      <c r="D292" s="268">
        <f>F292+H292</f>
        <v>22000</v>
      </c>
      <c r="E292" s="269"/>
      <c r="F292" s="287">
        <v>22000</v>
      </c>
      <c r="G292" s="263"/>
      <c r="H292" s="262"/>
      <c r="I292" s="264"/>
    </row>
    <row r="293" spans="1:9" ht="15.75" customHeight="1">
      <c r="A293" s="312">
        <v>75414</v>
      </c>
      <c r="B293" s="434" t="s">
        <v>316</v>
      </c>
      <c r="C293" s="288">
        <f>SUM(C294+C299)</f>
        <v>52500</v>
      </c>
      <c r="D293" s="455">
        <f>SUM(D294+D299)</f>
        <v>42500</v>
      </c>
      <c r="E293" s="289">
        <f>SUM(E294+E299)</f>
        <v>10000</v>
      </c>
      <c r="F293" s="512">
        <f>F294+F299</f>
        <v>42500</v>
      </c>
      <c r="G293" s="289">
        <f>G294+G299</f>
        <v>10000</v>
      </c>
      <c r="H293" s="290"/>
      <c r="I293" s="193"/>
    </row>
    <row r="294" spans="1:9" ht="12.75">
      <c r="A294" s="443"/>
      <c r="B294" s="444" t="s">
        <v>300</v>
      </c>
      <c r="C294" s="513">
        <f>SUM(C295:C297)</f>
        <v>52500</v>
      </c>
      <c r="D294" s="514">
        <f>F294+H294</f>
        <v>42500</v>
      </c>
      <c r="E294" s="446">
        <f>G294+I294</f>
        <v>10000</v>
      </c>
      <c r="F294" s="515">
        <f>SUM(F295:F297)</f>
        <v>42500</v>
      </c>
      <c r="G294" s="448">
        <f>SUM(G295:G297)</f>
        <v>10000</v>
      </c>
      <c r="H294" s="449"/>
      <c r="I294" s="483"/>
    </row>
    <row r="295" spans="1:9" s="273" customFormat="1" ht="12.75" hidden="1">
      <c r="A295" s="265" t="s">
        <v>317</v>
      </c>
      <c r="B295" s="266" t="s">
        <v>286</v>
      </c>
      <c r="C295" s="267">
        <f>D295+E295</f>
        <v>0</v>
      </c>
      <c r="D295" s="313">
        <f>F295+H295</f>
        <v>0</v>
      </c>
      <c r="E295" s="269">
        <f>G295+I295</f>
        <v>0</v>
      </c>
      <c r="F295" s="329"/>
      <c r="G295" s="271"/>
      <c r="H295" s="270"/>
      <c r="I295" s="272"/>
    </row>
    <row r="296" spans="1:9" s="273" customFormat="1" ht="12.75" hidden="1">
      <c r="A296" s="265"/>
      <c r="B296" s="266" t="s">
        <v>287</v>
      </c>
      <c r="C296" s="267"/>
      <c r="D296" s="313"/>
      <c r="E296" s="269"/>
      <c r="F296" s="329"/>
      <c r="G296" s="271"/>
      <c r="H296" s="270"/>
      <c r="I296" s="272"/>
    </row>
    <row r="297" spans="1:9" s="273" customFormat="1" ht="15" customHeight="1">
      <c r="A297" s="265"/>
      <c r="B297" s="266" t="s">
        <v>262</v>
      </c>
      <c r="C297" s="267">
        <f>D297+E297</f>
        <v>52500</v>
      </c>
      <c r="D297" s="313">
        <f>F297+H297</f>
        <v>42500</v>
      </c>
      <c r="E297" s="269">
        <f>G297+I297</f>
        <v>10000</v>
      </c>
      <c r="F297" s="314">
        <v>42500</v>
      </c>
      <c r="G297" s="269">
        <v>10000</v>
      </c>
      <c r="H297" s="270"/>
      <c r="I297" s="291"/>
    </row>
    <row r="298" spans="1:9" s="273" customFormat="1" ht="9.75" customHeight="1" hidden="1">
      <c r="A298" s="265"/>
      <c r="B298" s="286" t="s">
        <v>269</v>
      </c>
      <c r="C298" s="267">
        <f aca="true" t="shared" si="9" ref="C298:C305">D298+E298</f>
        <v>0</v>
      </c>
      <c r="D298" s="313">
        <f aca="true" t="shared" si="10" ref="D298:D305">F298+H298</f>
        <v>0</v>
      </c>
      <c r="E298" s="269">
        <f aca="true" t="shared" si="11" ref="E298:E305">G298+I298</f>
        <v>0</v>
      </c>
      <c r="F298" s="287"/>
      <c r="G298" s="269"/>
      <c r="H298" s="287"/>
      <c r="I298" s="291"/>
    </row>
    <row r="299" spans="1:9" ht="13.5" customHeight="1" hidden="1">
      <c r="A299" s="257"/>
      <c r="B299" s="258" t="s">
        <v>257</v>
      </c>
      <c r="C299" s="267">
        <f t="shared" si="9"/>
        <v>0</v>
      </c>
      <c r="D299" s="313">
        <f t="shared" si="10"/>
        <v>0</v>
      </c>
      <c r="E299" s="269">
        <f t="shared" si="11"/>
        <v>0</v>
      </c>
      <c r="F299" s="262">
        <f>F300+F301</f>
        <v>0</v>
      </c>
      <c r="G299" s="263"/>
      <c r="H299" s="391"/>
      <c r="I299" s="264">
        <f>SUM(I300:I301)</f>
        <v>0</v>
      </c>
    </row>
    <row r="300" spans="1:9" s="273" customFormat="1" ht="11.25" customHeight="1" hidden="1">
      <c r="A300" s="265"/>
      <c r="B300" s="266" t="s">
        <v>270</v>
      </c>
      <c r="C300" s="267">
        <f t="shared" si="9"/>
        <v>0</v>
      </c>
      <c r="D300" s="313">
        <f t="shared" si="10"/>
        <v>0</v>
      </c>
      <c r="E300" s="269">
        <f t="shared" si="11"/>
        <v>0</v>
      </c>
      <c r="F300" s="287"/>
      <c r="G300" s="269"/>
      <c r="H300" s="287"/>
      <c r="I300" s="291"/>
    </row>
    <row r="301" spans="1:9" ht="14.25" customHeight="1" hidden="1">
      <c r="A301" s="381"/>
      <c r="B301" s="315" t="s">
        <v>258</v>
      </c>
      <c r="C301" s="267">
        <f t="shared" si="9"/>
        <v>0</v>
      </c>
      <c r="D301" s="313">
        <f t="shared" si="10"/>
        <v>0</v>
      </c>
      <c r="E301" s="269">
        <f t="shared" si="11"/>
        <v>0</v>
      </c>
      <c r="F301" s="385"/>
      <c r="G301" s="453"/>
      <c r="H301" s="454"/>
      <c r="I301" s="392">
        <v>0</v>
      </c>
    </row>
    <row r="302" spans="1:9" ht="14.25" customHeight="1" hidden="1">
      <c r="A302" s="360">
        <v>75421</v>
      </c>
      <c r="B302" s="428" t="s">
        <v>318</v>
      </c>
      <c r="C302" s="267">
        <f t="shared" si="9"/>
        <v>0</v>
      </c>
      <c r="D302" s="313">
        <f t="shared" si="10"/>
        <v>0</v>
      </c>
      <c r="E302" s="269">
        <f t="shared" si="11"/>
        <v>0</v>
      </c>
      <c r="F302" s="432">
        <f>SUM(F304)</f>
        <v>0</v>
      </c>
      <c r="G302" s="431"/>
      <c r="H302" s="432"/>
      <c r="I302" s="433"/>
    </row>
    <row r="303" spans="1:9" ht="12.75" hidden="1">
      <c r="A303" s="257"/>
      <c r="B303" s="282" t="s">
        <v>261</v>
      </c>
      <c r="C303" s="267">
        <f t="shared" si="9"/>
        <v>0</v>
      </c>
      <c r="D303" s="313">
        <f t="shared" si="10"/>
        <v>0</v>
      </c>
      <c r="E303" s="269">
        <f t="shared" si="11"/>
        <v>0</v>
      </c>
      <c r="F303" s="262">
        <f>SUM(F304)</f>
        <v>0</v>
      </c>
      <c r="G303" s="393"/>
      <c r="H303" s="394"/>
      <c r="I303" s="395"/>
    </row>
    <row r="304" spans="1:9" ht="11.25" customHeight="1" hidden="1">
      <c r="A304" s="257"/>
      <c r="B304" s="286" t="s">
        <v>262</v>
      </c>
      <c r="C304" s="267">
        <f t="shared" si="9"/>
        <v>0</v>
      </c>
      <c r="D304" s="313">
        <f t="shared" si="10"/>
        <v>0</v>
      </c>
      <c r="E304" s="269">
        <f t="shared" si="11"/>
        <v>0</v>
      </c>
      <c r="F304" s="287"/>
      <c r="G304" s="263"/>
      <c r="H304" s="262"/>
      <c r="I304" s="264"/>
    </row>
    <row r="305" spans="1:9" ht="11.25" customHeight="1">
      <c r="A305" s="257"/>
      <c r="B305" s="266" t="s">
        <v>289</v>
      </c>
      <c r="C305" s="267">
        <f t="shared" si="9"/>
        <v>12500</v>
      </c>
      <c r="D305" s="313">
        <f t="shared" si="10"/>
        <v>10000</v>
      </c>
      <c r="E305" s="269">
        <f t="shared" si="11"/>
        <v>2500</v>
      </c>
      <c r="F305" s="287">
        <v>10000</v>
      </c>
      <c r="G305" s="263">
        <v>2500</v>
      </c>
      <c r="H305" s="262"/>
      <c r="I305" s="264"/>
    </row>
    <row r="306" spans="1:9" ht="15.75" customHeight="1">
      <c r="A306" s="312">
        <v>75495</v>
      </c>
      <c r="B306" s="434" t="s">
        <v>268</v>
      </c>
      <c r="C306" s="288">
        <f>C307+C313</f>
        <v>166136</v>
      </c>
      <c r="D306" s="191">
        <f>SUM(D311+D313)</f>
        <v>115000</v>
      </c>
      <c r="E306" s="289">
        <f>E307+E313</f>
        <v>51136</v>
      </c>
      <c r="F306" s="290">
        <f>SUM(F311+F313)</f>
        <v>115000</v>
      </c>
      <c r="G306" s="289"/>
      <c r="H306" s="290"/>
      <c r="I306" s="193">
        <f>I307</f>
        <v>51136</v>
      </c>
    </row>
    <row r="307" spans="1:9" ht="11.25" customHeight="1">
      <c r="A307" s="257"/>
      <c r="B307" s="282" t="s">
        <v>261</v>
      </c>
      <c r="C307" s="259">
        <f>C311+C308</f>
        <v>66136</v>
      </c>
      <c r="D307" s="260">
        <f>SUM(D311)</f>
        <v>15000</v>
      </c>
      <c r="E307" s="261">
        <f>E311+E308</f>
        <v>51136</v>
      </c>
      <c r="F307" s="262">
        <f>SUM(F311)</f>
        <v>15000</v>
      </c>
      <c r="G307" s="393"/>
      <c r="H307" s="394"/>
      <c r="I307" s="395">
        <f>I311+I308</f>
        <v>51136</v>
      </c>
    </row>
    <row r="308" spans="1:9" ht="11.25" customHeight="1">
      <c r="A308" s="257"/>
      <c r="B308" s="266" t="s">
        <v>286</v>
      </c>
      <c r="C308" s="267">
        <f>SUM(D308:E308)</f>
        <v>18210</v>
      </c>
      <c r="D308" s="260"/>
      <c r="E308" s="261">
        <f>G308+I308</f>
        <v>18210</v>
      </c>
      <c r="F308" s="262"/>
      <c r="G308" s="393"/>
      <c r="H308" s="394"/>
      <c r="I308" s="395">
        <v>18210</v>
      </c>
    </row>
    <row r="309" spans="1:9" ht="11.25" customHeight="1">
      <c r="A309" s="257"/>
      <c r="B309" s="266" t="s">
        <v>287</v>
      </c>
      <c r="C309" s="267"/>
      <c r="D309" s="260"/>
      <c r="E309" s="261"/>
      <c r="F309" s="262"/>
      <c r="G309" s="393"/>
      <c r="H309" s="394"/>
      <c r="I309" s="395"/>
    </row>
    <row r="310" spans="1:9" ht="11.25" customHeight="1">
      <c r="A310" s="257"/>
      <c r="B310" s="460" t="s">
        <v>299</v>
      </c>
      <c r="C310" s="344">
        <f>SUM(D310:E310)</f>
        <v>18210</v>
      </c>
      <c r="D310" s="345"/>
      <c r="E310" s="346">
        <f>G310+I310</f>
        <v>18210</v>
      </c>
      <c r="F310" s="347"/>
      <c r="G310" s="1973"/>
      <c r="H310" s="1835"/>
      <c r="I310" s="1837">
        <v>18210</v>
      </c>
    </row>
    <row r="311" spans="1:9" ht="12.75" customHeight="1">
      <c r="A311" s="257"/>
      <c r="B311" s="266" t="s">
        <v>262</v>
      </c>
      <c r="C311" s="267">
        <f>SUM(D311:E311)</f>
        <v>47926</v>
      </c>
      <c r="D311" s="268">
        <f>F311+H311</f>
        <v>15000</v>
      </c>
      <c r="E311" s="261">
        <f>G311+I311</f>
        <v>32926</v>
      </c>
      <c r="F311" s="287">
        <v>15000</v>
      </c>
      <c r="G311" s="263"/>
      <c r="H311" s="262"/>
      <c r="I311" s="264">
        <v>32926</v>
      </c>
    </row>
    <row r="312" spans="1:9" ht="12.75" customHeight="1">
      <c r="A312" s="257"/>
      <c r="B312" s="460" t="s">
        <v>299</v>
      </c>
      <c r="C312" s="344">
        <f>SUM(D312:E312)</f>
        <v>32926</v>
      </c>
      <c r="D312" s="345"/>
      <c r="E312" s="346">
        <f>G312+I312</f>
        <v>32926</v>
      </c>
      <c r="F312" s="347"/>
      <c r="G312" s="346"/>
      <c r="H312" s="347"/>
      <c r="I312" s="461">
        <v>32926</v>
      </c>
    </row>
    <row r="313" spans="1:9" ht="13.5" customHeight="1">
      <c r="A313" s="257"/>
      <c r="B313" s="258" t="s">
        <v>257</v>
      </c>
      <c r="C313" s="259">
        <f>SUM(C314)</f>
        <v>100000</v>
      </c>
      <c r="D313" s="260">
        <f>F313+H313</f>
        <v>100000</v>
      </c>
      <c r="E313" s="261"/>
      <c r="F313" s="283">
        <f>SUM(F314)</f>
        <v>100000</v>
      </c>
      <c r="G313" s="261"/>
      <c r="H313" s="283"/>
      <c r="I313" s="284"/>
    </row>
    <row r="314" spans="1:9" ht="17.25" customHeight="1" thickBot="1">
      <c r="A314" s="257"/>
      <c r="B314" s="266" t="s">
        <v>270</v>
      </c>
      <c r="C314" s="267">
        <f>SUM(D314:E314)</f>
        <v>100000</v>
      </c>
      <c r="D314" s="268">
        <f>F314+H314</f>
        <v>100000</v>
      </c>
      <c r="E314" s="269"/>
      <c r="F314" s="268">
        <v>100000</v>
      </c>
      <c r="G314" s="261"/>
      <c r="H314" s="287"/>
      <c r="I314" s="291"/>
    </row>
    <row r="315" spans="1:9" s="256" customFormat="1" ht="118.5" customHeight="1" thickBot="1" thickTop="1">
      <c r="A315" s="311">
        <v>756</v>
      </c>
      <c r="B315" s="518" t="s">
        <v>150</v>
      </c>
      <c r="C315" s="252">
        <f aca="true" t="shared" si="12" ref="C315:F316">SUM(C316)</f>
        <v>674700</v>
      </c>
      <c r="D315" s="253">
        <f t="shared" si="12"/>
        <v>674700</v>
      </c>
      <c r="E315" s="254"/>
      <c r="F315" s="255">
        <f t="shared" si="12"/>
        <v>674700</v>
      </c>
      <c r="G315" s="254"/>
      <c r="H315" s="255"/>
      <c r="I315" s="200"/>
    </row>
    <row r="316" spans="1:9" ht="39" customHeight="1" thickTop="1">
      <c r="A316" s="360">
        <v>75647</v>
      </c>
      <c r="B316" s="428" t="s">
        <v>319</v>
      </c>
      <c r="C316" s="429">
        <f t="shared" si="12"/>
        <v>674700</v>
      </c>
      <c r="D316" s="430">
        <f t="shared" si="12"/>
        <v>674700</v>
      </c>
      <c r="E316" s="431"/>
      <c r="F316" s="432">
        <f t="shared" si="12"/>
        <v>674700</v>
      </c>
      <c r="G316" s="431"/>
      <c r="H316" s="432"/>
      <c r="I316" s="433"/>
    </row>
    <row r="317" spans="1:9" s="281" customFormat="1" ht="15" customHeight="1">
      <c r="A317" s="443"/>
      <c r="B317" s="506" t="s">
        <v>261</v>
      </c>
      <c r="C317" s="411">
        <f>SUM(C318:C320)</f>
        <v>674700</v>
      </c>
      <c r="D317" s="445">
        <f>SUM(D318:D320)</f>
        <v>674700</v>
      </c>
      <c r="E317" s="446"/>
      <c r="F317" s="507">
        <f>SUM(F318:F320)</f>
        <v>674700</v>
      </c>
      <c r="G317" s="519"/>
      <c r="H317" s="507"/>
      <c r="I317" s="178"/>
    </row>
    <row r="318" spans="1:9" s="273" customFormat="1" ht="15" customHeight="1">
      <c r="A318" s="265"/>
      <c r="B318" s="266" t="s">
        <v>286</v>
      </c>
      <c r="C318" s="267">
        <f>SUM(D318:E318)</f>
        <v>248400</v>
      </c>
      <c r="D318" s="268">
        <f>F318+H318</f>
        <v>248400</v>
      </c>
      <c r="E318" s="269"/>
      <c r="F318" s="287">
        <v>248400</v>
      </c>
      <c r="G318" s="269"/>
      <c r="H318" s="270"/>
      <c r="I318" s="291"/>
    </row>
    <row r="319" spans="1:9" s="273" customFormat="1" ht="10.5" customHeight="1">
      <c r="A319" s="265"/>
      <c r="B319" s="266" t="s">
        <v>287</v>
      </c>
      <c r="C319" s="267"/>
      <c r="D319" s="268"/>
      <c r="E319" s="269"/>
      <c r="F319" s="287"/>
      <c r="G319" s="269"/>
      <c r="H319" s="270"/>
      <c r="I319" s="291"/>
    </row>
    <row r="320" spans="1:9" s="273" customFormat="1" ht="12" customHeight="1">
      <c r="A320" s="396"/>
      <c r="B320" s="315" t="s">
        <v>262</v>
      </c>
      <c r="C320" s="382">
        <f>SUM(D320:E320)</f>
        <v>426300</v>
      </c>
      <c r="D320" s="383">
        <f>F320+H320</f>
        <v>426300</v>
      </c>
      <c r="E320" s="384"/>
      <c r="F320" s="385">
        <v>426300</v>
      </c>
      <c r="G320" s="384"/>
      <c r="H320" s="399"/>
      <c r="I320" s="392"/>
    </row>
    <row r="321" spans="1:9" s="256" customFormat="1" ht="26.25" customHeight="1" thickBot="1">
      <c r="A321" s="520">
        <v>757</v>
      </c>
      <c r="B321" s="521" t="s">
        <v>152</v>
      </c>
      <c r="C321" s="487">
        <f aca="true" t="shared" si="13" ref="C321:F322">SUM(C322)</f>
        <v>4250000</v>
      </c>
      <c r="D321" s="488">
        <f t="shared" si="13"/>
        <v>4250000</v>
      </c>
      <c r="E321" s="489"/>
      <c r="F321" s="490">
        <f t="shared" si="13"/>
        <v>4250000</v>
      </c>
      <c r="G321" s="489"/>
      <c r="H321" s="490"/>
      <c r="I321" s="491"/>
    </row>
    <row r="322" spans="1:9" ht="45" customHeight="1" thickTop="1">
      <c r="A322" s="312">
        <v>75702</v>
      </c>
      <c r="B322" s="434" t="s">
        <v>320</v>
      </c>
      <c r="C322" s="288">
        <f t="shared" si="13"/>
        <v>4250000</v>
      </c>
      <c r="D322" s="191">
        <f t="shared" si="13"/>
        <v>4250000</v>
      </c>
      <c r="E322" s="289"/>
      <c r="F322" s="290">
        <f t="shared" si="13"/>
        <v>4250000</v>
      </c>
      <c r="G322" s="289"/>
      <c r="H322" s="290"/>
      <c r="I322" s="193"/>
    </row>
    <row r="323" spans="1:9" ht="14.25" customHeight="1">
      <c r="A323" s="257"/>
      <c r="B323" s="282" t="s">
        <v>261</v>
      </c>
      <c r="C323" s="259">
        <f>SUM(C324)</f>
        <v>4250000</v>
      </c>
      <c r="D323" s="260">
        <f>SUM(D324)</f>
        <v>4250000</v>
      </c>
      <c r="E323" s="261"/>
      <c r="F323" s="262">
        <f>SUM(F324)</f>
        <v>4250000</v>
      </c>
      <c r="G323" s="393"/>
      <c r="H323" s="394"/>
      <c r="I323" s="395"/>
    </row>
    <row r="324" spans="1:9" ht="12.75" customHeight="1" thickBot="1">
      <c r="A324" s="257"/>
      <c r="B324" s="286" t="s">
        <v>321</v>
      </c>
      <c r="C324" s="267">
        <f>SUM(D324:E324)</f>
        <v>4250000</v>
      </c>
      <c r="D324" s="268">
        <f>F324+H324</f>
        <v>4250000</v>
      </c>
      <c r="E324" s="269"/>
      <c r="F324" s="287">
        <v>4250000</v>
      </c>
      <c r="G324" s="263"/>
      <c r="H324" s="262"/>
      <c r="I324" s="264"/>
    </row>
    <row r="325" spans="1:9" s="435" customFormat="1" ht="24" customHeight="1" thickBot="1" thickTop="1">
      <c r="A325" s="311">
        <v>758</v>
      </c>
      <c r="B325" s="251" t="s">
        <v>154</v>
      </c>
      <c r="C325" s="252">
        <f>C326+C329+C334</f>
        <v>6518729</v>
      </c>
      <c r="D325" s="253">
        <f>D326+D329+D334</f>
        <v>6518729</v>
      </c>
      <c r="E325" s="254"/>
      <c r="F325" s="255">
        <f>F326+F329+F334</f>
        <v>2120283</v>
      </c>
      <c r="G325" s="254"/>
      <c r="H325" s="255">
        <f>H326+H329+H334</f>
        <v>4398446</v>
      </c>
      <c r="I325" s="200"/>
    </row>
    <row r="326" spans="1:9" ht="24.75" thickTop="1">
      <c r="A326" s="312">
        <v>75814</v>
      </c>
      <c r="B326" s="434" t="s">
        <v>703</v>
      </c>
      <c r="C326" s="288">
        <f>C327</f>
        <v>14000</v>
      </c>
      <c r="D326" s="191">
        <f>D327</f>
        <v>14000</v>
      </c>
      <c r="E326" s="289"/>
      <c r="F326" s="290">
        <f>F327</f>
        <v>14000</v>
      </c>
      <c r="G326" s="289"/>
      <c r="H326" s="290"/>
      <c r="I326" s="193"/>
    </row>
    <row r="327" spans="1:9" ht="12.75" customHeight="1">
      <c r="A327" s="257"/>
      <c r="B327" s="282" t="s">
        <v>261</v>
      </c>
      <c r="C327" s="259">
        <f>SUM(C328)</f>
        <v>14000</v>
      </c>
      <c r="D327" s="260">
        <f>SUM(D328)</f>
        <v>14000</v>
      </c>
      <c r="E327" s="261"/>
      <c r="F327" s="262">
        <f>SUM(F328)</f>
        <v>14000</v>
      </c>
      <c r="G327" s="393"/>
      <c r="H327" s="262"/>
      <c r="I327" s="395"/>
    </row>
    <row r="328" spans="1:9" ht="12.75">
      <c r="A328" s="257"/>
      <c r="B328" s="286" t="s">
        <v>262</v>
      </c>
      <c r="C328" s="267">
        <f>SUM(D328:E328)</f>
        <v>14000</v>
      </c>
      <c r="D328" s="268">
        <f>F328+H328</f>
        <v>14000</v>
      </c>
      <c r="E328" s="269"/>
      <c r="F328" s="287">
        <v>14000</v>
      </c>
      <c r="G328" s="263"/>
      <c r="H328" s="287"/>
      <c r="I328" s="264"/>
    </row>
    <row r="329" spans="1:9" ht="12.75" customHeight="1">
      <c r="A329" s="312">
        <v>75818</v>
      </c>
      <c r="B329" s="434" t="s">
        <v>322</v>
      </c>
      <c r="C329" s="288">
        <f>SUM(C331+C332)</f>
        <v>2106283</v>
      </c>
      <c r="D329" s="191">
        <f>SUM(D331+D332)</f>
        <v>2106283</v>
      </c>
      <c r="E329" s="289"/>
      <c r="F329" s="290">
        <f>SUM(F331+F332)</f>
        <v>2106283</v>
      </c>
      <c r="G329" s="289"/>
      <c r="H329" s="290"/>
      <c r="I329" s="193"/>
    </row>
    <row r="330" spans="1:9" ht="10.5" customHeight="1">
      <c r="A330" s="257"/>
      <c r="B330" s="282" t="s">
        <v>261</v>
      </c>
      <c r="C330" s="259">
        <f>SUM(C331)</f>
        <v>1991458</v>
      </c>
      <c r="D330" s="260">
        <f>SUM(D331)</f>
        <v>1991458</v>
      </c>
      <c r="E330" s="261"/>
      <c r="F330" s="262">
        <f>SUM(F331)</f>
        <v>1991458</v>
      </c>
      <c r="G330" s="393"/>
      <c r="H330" s="262"/>
      <c r="I330" s="395"/>
    </row>
    <row r="331" spans="1:9" ht="9.75" customHeight="1">
      <c r="A331" s="257"/>
      <c r="B331" s="286" t="s">
        <v>262</v>
      </c>
      <c r="C331" s="267">
        <f>SUM(D331:E331)</f>
        <v>1991458</v>
      </c>
      <c r="D331" s="268">
        <f>F331+H331</f>
        <v>1991458</v>
      </c>
      <c r="E331" s="269"/>
      <c r="F331" s="287">
        <f>2817925-30000-796467</f>
        <v>1991458</v>
      </c>
      <c r="G331" s="263"/>
      <c r="H331" s="287"/>
      <c r="I331" s="264"/>
    </row>
    <row r="332" spans="1:9" ht="10.5" customHeight="1">
      <c r="A332" s="257"/>
      <c r="B332" s="258" t="s">
        <v>257</v>
      </c>
      <c r="C332" s="259">
        <f>SUM(C333)</f>
        <v>114825</v>
      </c>
      <c r="D332" s="260">
        <f>F332+H332</f>
        <v>114825</v>
      </c>
      <c r="E332" s="261"/>
      <c r="F332" s="283">
        <f>SUM(F333:F334)</f>
        <v>114825</v>
      </c>
      <c r="G332" s="261"/>
      <c r="H332" s="283"/>
      <c r="I332" s="284"/>
    </row>
    <row r="333" spans="1:9" ht="12" customHeight="1">
      <c r="A333" s="381"/>
      <c r="B333" s="315" t="s">
        <v>270</v>
      </c>
      <c r="C333" s="382">
        <f>SUM(D333:E333)</f>
        <v>114825</v>
      </c>
      <c r="D333" s="383">
        <f>F333+H333</f>
        <v>114825</v>
      </c>
      <c r="E333" s="384"/>
      <c r="F333" s="383">
        <f>118851-4026</f>
        <v>114825</v>
      </c>
      <c r="G333" s="453"/>
      <c r="H333" s="385"/>
      <c r="I333" s="392"/>
    </row>
    <row r="334" spans="1:9" ht="34.5" customHeight="1">
      <c r="A334" s="312">
        <v>75832</v>
      </c>
      <c r="B334" s="434" t="s">
        <v>323</v>
      </c>
      <c r="C334" s="288">
        <f>SUM(C336:C336)</f>
        <v>4398446</v>
      </c>
      <c r="D334" s="191">
        <f>SUM(D336:D336)</f>
        <v>4398446</v>
      </c>
      <c r="E334" s="289"/>
      <c r="F334" s="290"/>
      <c r="G334" s="289"/>
      <c r="H334" s="290">
        <f>SUM(H336:H336)</f>
        <v>4398446</v>
      </c>
      <c r="I334" s="193"/>
    </row>
    <row r="335" spans="1:9" ht="12.75">
      <c r="A335" s="257"/>
      <c r="B335" s="282" t="s">
        <v>261</v>
      </c>
      <c r="C335" s="259">
        <f>SUM(C336)</f>
        <v>4398446</v>
      </c>
      <c r="D335" s="260">
        <f>SUM(D336)</f>
        <v>4398446</v>
      </c>
      <c r="E335" s="261"/>
      <c r="F335" s="262"/>
      <c r="G335" s="393"/>
      <c r="H335" s="262">
        <f>SUM(H336)</f>
        <v>4398446</v>
      </c>
      <c r="I335" s="395"/>
    </row>
    <row r="336" spans="1:9" ht="14.25" customHeight="1" thickBot="1">
      <c r="A336" s="257"/>
      <c r="B336" s="286" t="s">
        <v>262</v>
      </c>
      <c r="C336" s="267">
        <f>SUM(D336:E336)</f>
        <v>4398446</v>
      </c>
      <c r="D336" s="268">
        <f>F336+H336</f>
        <v>4398446</v>
      </c>
      <c r="E336" s="269"/>
      <c r="F336" s="287"/>
      <c r="G336" s="263"/>
      <c r="H336" s="287">
        <v>4398446</v>
      </c>
      <c r="I336" s="264"/>
    </row>
    <row r="337" spans="1:9" s="256" customFormat="1" ht="25.5" customHeight="1" thickBot="1" thickTop="1">
      <c r="A337" s="311">
        <v>801</v>
      </c>
      <c r="B337" s="251" t="s">
        <v>156</v>
      </c>
      <c r="C337" s="252">
        <f aca="true" t="shared" si="14" ref="C337:H337">C350+C360+C372+C389+C399+C416+C432+C442+C448+C457+C465+C483+C454+C426+C474+C477+C383+C366+C405</f>
        <v>142199073</v>
      </c>
      <c r="D337" s="253">
        <f t="shared" si="14"/>
        <v>141916573</v>
      </c>
      <c r="E337" s="253">
        <f t="shared" si="14"/>
        <v>282500</v>
      </c>
      <c r="F337" s="316">
        <f t="shared" si="14"/>
        <v>82950448</v>
      </c>
      <c r="G337" s="254">
        <f t="shared" si="14"/>
        <v>282500</v>
      </c>
      <c r="H337" s="255">
        <f t="shared" si="14"/>
        <v>58966125</v>
      </c>
      <c r="I337" s="200"/>
    </row>
    <row r="338" spans="1:9" s="256" customFormat="1" ht="13.5" thickTop="1">
      <c r="A338" s="317"/>
      <c r="B338" s="318" t="s">
        <v>261</v>
      </c>
      <c r="C338" s="319">
        <f>D338+E338</f>
        <v>127335270</v>
      </c>
      <c r="D338" s="320">
        <f>F338+H338</f>
        <v>127052770</v>
      </c>
      <c r="E338" s="321">
        <f>G338+I338</f>
        <v>282500</v>
      </c>
      <c r="F338" s="322">
        <f>F351+F361+F367+F373+F384+F390+F400+F417+F427+F433+F449+F458+F466+F475+F478+F484+F406</f>
        <v>74561941</v>
      </c>
      <c r="G338" s="321">
        <f>G351+G361+G367+G373+G384+G390+G400+G417+G427+G433+G449+G458+G466+G475+G478+G484+G406</f>
        <v>282500</v>
      </c>
      <c r="H338" s="322">
        <f>H351+H361+H367+H373+H384+H390+H400+H417+H427+H433+H449+H458+H466+H475+H478+H484+H406</f>
        <v>52490829</v>
      </c>
      <c r="I338" s="325"/>
    </row>
    <row r="339" spans="1:9" s="415" customFormat="1" ht="12.75">
      <c r="A339" s="412"/>
      <c r="B339" s="266" t="s">
        <v>286</v>
      </c>
      <c r="C339" s="327">
        <f>D339+E339</f>
        <v>83796831</v>
      </c>
      <c r="D339" s="328">
        <f>F339+H339</f>
        <v>83796831</v>
      </c>
      <c r="E339" s="271"/>
      <c r="F339" s="329">
        <f>F352+F362+F368+F385+F391+F401+F418+F428+F434+F450+F459+F467+F479+F485+F407</f>
        <v>47229775</v>
      </c>
      <c r="G339" s="271"/>
      <c r="H339" s="329">
        <f>H352+H362+H368+H385+H391+H401+H418+H428+H434+H450+H459+H467+H479+H485+H407</f>
        <v>36567056</v>
      </c>
      <c r="I339" s="272"/>
    </row>
    <row r="340" spans="1:9" s="415" customFormat="1" ht="9.75" customHeight="1">
      <c r="A340" s="412"/>
      <c r="B340" s="266" t="s">
        <v>287</v>
      </c>
      <c r="C340" s="327"/>
      <c r="D340" s="328"/>
      <c r="E340" s="271"/>
      <c r="F340" s="329"/>
      <c r="G340" s="271"/>
      <c r="H340" s="329"/>
      <c r="I340" s="272"/>
    </row>
    <row r="341" spans="1:9" s="415" customFormat="1" ht="12.75">
      <c r="A341" s="412"/>
      <c r="B341" s="286" t="s">
        <v>273</v>
      </c>
      <c r="C341" s="327">
        <f>D341+E341</f>
        <v>23841175</v>
      </c>
      <c r="D341" s="328">
        <f>F341+H341</f>
        <v>23841175</v>
      </c>
      <c r="E341" s="271"/>
      <c r="F341" s="329">
        <f>F354+F370+F376+F393+F420+F436+F481+F487+F409</f>
        <v>16178926</v>
      </c>
      <c r="G341" s="271"/>
      <c r="H341" s="329">
        <f>H354+H370+H376+H393+H420+H436+H481+H487+H409</f>
        <v>7662249</v>
      </c>
      <c r="I341" s="272"/>
    </row>
    <row r="342" spans="1:9" s="415" customFormat="1" ht="12.75">
      <c r="A342" s="412"/>
      <c r="B342" s="286" t="s">
        <v>262</v>
      </c>
      <c r="C342" s="327">
        <f>D342+E342</f>
        <v>19697264</v>
      </c>
      <c r="D342" s="328">
        <f>F342+H342</f>
        <v>19414764</v>
      </c>
      <c r="E342" s="271">
        <f>G342+I342</f>
        <v>282500</v>
      </c>
      <c r="F342" s="329">
        <f>F355+F364+F371+F387+F394+F403+F421+F430+F437+F452+F461+F469+F476+F482+F488+F410</f>
        <v>11153240</v>
      </c>
      <c r="G342" s="271">
        <f>G355+G364+G371+G387+G394+G403+G421+G430+G437+G452+G461+G469+G476+G482+G488+G410</f>
        <v>282500</v>
      </c>
      <c r="H342" s="329">
        <f>H355+H364+H371+H387+H394+H403+H421+H430+H437+H452+H461+H469+H476+H482+H488+H410</f>
        <v>8261524</v>
      </c>
      <c r="I342" s="272"/>
    </row>
    <row r="343" spans="1:9" s="415" customFormat="1" ht="12.75">
      <c r="A343" s="412"/>
      <c r="B343" s="460" t="s">
        <v>299</v>
      </c>
      <c r="C343" s="344">
        <f>D343+E343</f>
        <v>282500</v>
      </c>
      <c r="D343" s="345"/>
      <c r="E343" s="346">
        <f>G343+I343</f>
        <v>282500</v>
      </c>
      <c r="F343" s="1974"/>
      <c r="G343" s="346">
        <f>G489</f>
        <v>282500</v>
      </c>
      <c r="H343" s="329"/>
      <c r="I343" s="272"/>
    </row>
    <row r="344" spans="1:9" s="281" customFormat="1" ht="12">
      <c r="A344" s="332"/>
      <c r="B344" s="258" t="s">
        <v>289</v>
      </c>
      <c r="C344" s="259">
        <f>D344+E344</f>
        <v>642100</v>
      </c>
      <c r="D344" s="260">
        <f>F344+H344</f>
        <v>642100</v>
      </c>
      <c r="E344" s="261"/>
      <c r="F344" s="335">
        <f>F356+F365+F388+F395+F404+F422+F431+F438+F462+F470+F490+F453+F411</f>
        <v>521400</v>
      </c>
      <c r="G344" s="261"/>
      <c r="H344" s="335">
        <f>H356+H365+H388+H395+H404+H422+H431+H438+H462+H470+H490+H453+H411</f>
        <v>120700</v>
      </c>
      <c r="I344" s="284"/>
    </row>
    <row r="345" spans="1:9" s="256" customFormat="1" ht="12.75">
      <c r="A345" s="317"/>
      <c r="B345" s="336" t="s">
        <v>324</v>
      </c>
      <c r="C345" s="319">
        <f>C357+C396+C491+C439+C471+C423+C412+C378</f>
        <v>14852803</v>
      </c>
      <c r="D345" s="201">
        <f>D357+D396+D491+D439+D471+D423+D412+D378</f>
        <v>14852803</v>
      </c>
      <c r="E345" s="321"/>
      <c r="F345" s="322">
        <f>F357+F396+F491+F439+F471+F423+F412+F378</f>
        <v>8388507</v>
      </c>
      <c r="G345" s="321"/>
      <c r="H345" s="322">
        <f>H357+H396+H491+H439+H471+H423+H412+H463</f>
        <v>6475296</v>
      </c>
      <c r="I345" s="338"/>
    </row>
    <row r="346" spans="1:9" s="415" customFormat="1" ht="12.75">
      <c r="A346" s="412"/>
      <c r="B346" s="522" t="s">
        <v>270</v>
      </c>
      <c r="C346" s="327">
        <f>C358+C397+C492+C440+C424+C472+C413+C379</f>
        <v>14522524</v>
      </c>
      <c r="D346" s="437">
        <f>D358+D397+D492+D440+D424+D472+D413+D379</f>
        <v>14522524</v>
      </c>
      <c r="E346" s="271"/>
      <c r="F346" s="329">
        <f>F358+F397+F492+F440+F424+F413+F472+F379</f>
        <v>8096469</v>
      </c>
      <c r="G346" s="271"/>
      <c r="H346" s="2457">
        <f>H358+H397+H492+H440+H424+H413+H472</f>
        <v>6426055</v>
      </c>
      <c r="I346" s="272"/>
    </row>
    <row r="347" spans="1:9" s="415" customFormat="1" ht="11.25" customHeight="1">
      <c r="A347" s="412"/>
      <c r="B347" s="258" t="s">
        <v>274</v>
      </c>
      <c r="C347" s="327">
        <f>C380</f>
        <v>360000</v>
      </c>
      <c r="D347" s="437">
        <f>D380</f>
        <v>360000</v>
      </c>
      <c r="E347" s="271"/>
      <c r="F347" s="329">
        <f>F380</f>
        <v>360000</v>
      </c>
      <c r="G347" s="271"/>
      <c r="H347" s="329"/>
      <c r="I347" s="272"/>
    </row>
    <row r="348" spans="1:9" s="415" customFormat="1" ht="12.75">
      <c r="A348" s="412"/>
      <c r="B348" s="266" t="s">
        <v>258</v>
      </c>
      <c r="C348" s="327">
        <f>C493+C359+C398+C425+C441+C473+C464+C381</f>
        <v>341279</v>
      </c>
      <c r="D348" s="437">
        <f>D493+D359+D398+D425+D441+D473+D464+D381</f>
        <v>341279</v>
      </c>
      <c r="E348" s="271"/>
      <c r="F348" s="329">
        <f>F493+F359+F398+F425+F441+F473+F414+F381</f>
        <v>292038</v>
      </c>
      <c r="G348" s="271"/>
      <c r="H348" s="329">
        <f>H493+H359+H398+H425+H441+H473+H414+H464</f>
        <v>49241</v>
      </c>
      <c r="I348" s="272"/>
    </row>
    <row r="349" spans="1:9" s="415" customFormat="1" ht="13.5" thickBot="1">
      <c r="A349" s="523"/>
      <c r="B349" s="502" t="s">
        <v>274</v>
      </c>
      <c r="C349" s="422">
        <f>C382</f>
        <v>25300</v>
      </c>
      <c r="D349" s="524">
        <f>D382</f>
        <v>25300</v>
      </c>
      <c r="E349" s="440"/>
      <c r="F349" s="525">
        <f>F382</f>
        <v>25300</v>
      </c>
      <c r="G349" s="440"/>
      <c r="H349" s="525"/>
      <c r="I349" s="359"/>
    </row>
    <row r="350" spans="1:9" ht="13.5" customHeight="1" thickTop="1">
      <c r="A350" s="360">
        <v>80101</v>
      </c>
      <c r="B350" s="428" t="s">
        <v>325</v>
      </c>
      <c r="C350" s="429">
        <f>C351+C357</f>
        <v>36602848</v>
      </c>
      <c r="D350" s="430">
        <f>D351+D357</f>
        <v>36602848</v>
      </c>
      <c r="E350" s="431"/>
      <c r="F350" s="432">
        <f>F351+F357</f>
        <v>36602848</v>
      </c>
      <c r="G350" s="431"/>
      <c r="H350" s="432"/>
      <c r="I350" s="433"/>
    </row>
    <row r="351" spans="1:9" ht="11.25" customHeight="1">
      <c r="A351" s="257"/>
      <c r="B351" s="282" t="s">
        <v>261</v>
      </c>
      <c r="C351" s="259">
        <f>SUM(C352:C355)</f>
        <v>32313730</v>
      </c>
      <c r="D351" s="260">
        <f>SUM(D352:D355)</f>
        <v>32313730</v>
      </c>
      <c r="E351" s="261"/>
      <c r="F351" s="262">
        <f>SUM(F352:F355)</f>
        <v>32313730</v>
      </c>
      <c r="G351" s="393"/>
      <c r="H351" s="262"/>
      <c r="I351" s="395"/>
    </row>
    <row r="352" spans="1:9" ht="12" customHeight="1">
      <c r="A352" s="257"/>
      <c r="B352" s="266" t="s">
        <v>286</v>
      </c>
      <c r="C352" s="267">
        <f>SUM(D352:E352)</f>
        <v>26374744</v>
      </c>
      <c r="D352" s="268">
        <f>F352+H352</f>
        <v>26374744</v>
      </c>
      <c r="E352" s="269"/>
      <c r="F352" s="287">
        <v>26374744</v>
      </c>
      <c r="G352" s="263"/>
      <c r="H352" s="270"/>
      <c r="I352" s="264"/>
    </row>
    <row r="353" spans="1:9" ht="12" customHeight="1">
      <c r="A353" s="257"/>
      <c r="B353" s="266" t="s">
        <v>287</v>
      </c>
      <c r="C353" s="267"/>
      <c r="D353" s="268"/>
      <c r="E353" s="269"/>
      <c r="F353" s="287"/>
      <c r="G353" s="263"/>
      <c r="H353" s="270"/>
      <c r="I353" s="264"/>
    </row>
    <row r="354" spans="1:9" ht="10.5" customHeight="1">
      <c r="A354" s="257"/>
      <c r="B354" s="286" t="s">
        <v>273</v>
      </c>
      <c r="C354" s="267">
        <f>SUM(D354:E354)</f>
        <v>811839</v>
      </c>
      <c r="D354" s="268">
        <f aca="true" t="shared" si="15" ref="D354:D359">F354+H354</f>
        <v>811839</v>
      </c>
      <c r="E354" s="269"/>
      <c r="F354" s="287">
        <v>811839</v>
      </c>
      <c r="G354" s="263"/>
      <c r="H354" s="270"/>
      <c r="I354" s="264"/>
    </row>
    <row r="355" spans="1:9" ht="11.25" customHeight="1">
      <c r="A355" s="257"/>
      <c r="B355" s="286" t="s">
        <v>262</v>
      </c>
      <c r="C355" s="267">
        <f>SUM(D355:E355)</f>
        <v>5127147</v>
      </c>
      <c r="D355" s="268">
        <f t="shared" si="15"/>
        <v>5127147</v>
      </c>
      <c r="E355" s="269"/>
      <c r="F355" s="287">
        <v>5127147</v>
      </c>
      <c r="G355" s="263"/>
      <c r="H355" s="270"/>
      <c r="I355" s="264"/>
    </row>
    <row r="356" spans="1:9" ht="11.25" customHeight="1">
      <c r="A356" s="257"/>
      <c r="B356" s="266" t="s">
        <v>289</v>
      </c>
      <c r="C356" s="267">
        <f>SUM(D356:E356)</f>
        <v>141440</v>
      </c>
      <c r="D356" s="268">
        <f t="shared" si="15"/>
        <v>141440</v>
      </c>
      <c r="E356" s="269"/>
      <c r="F356" s="287">
        <v>141440</v>
      </c>
      <c r="G356" s="263"/>
      <c r="H356" s="270"/>
      <c r="I356" s="264"/>
    </row>
    <row r="357" spans="1:9" ht="12.75" customHeight="1">
      <c r="A357" s="257"/>
      <c r="B357" s="258" t="s">
        <v>324</v>
      </c>
      <c r="C357" s="259">
        <f>SUM(C358:C359)</f>
        <v>4289118</v>
      </c>
      <c r="D357" s="260">
        <f t="shared" si="15"/>
        <v>4289118</v>
      </c>
      <c r="E357" s="261"/>
      <c r="F357" s="262">
        <f>SUM(F358:F359)</f>
        <v>4289118</v>
      </c>
      <c r="G357" s="263"/>
      <c r="H357" s="262"/>
      <c r="I357" s="264"/>
    </row>
    <row r="358" spans="1:9" s="273" customFormat="1" ht="12" customHeight="1">
      <c r="A358" s="265"/>
      <c r="B358" s="266" t="s">
        <v>270</v>
      </c>
      <c r="C358" s="267">
        <f>SUM(D358:E358)</f>
        <v>4272380</v>
      </c>
      <c r="D358" s="268">
        <f t="shared" si="15"/>
        <v>4272380</v>
      </c>
      <c r="E358" s="269"/>
      <c r="F358" s="287">
        <v>4272380</v>
      </c>
      <c r="G358" s="271"/>
      <c r="H358" s="287"/>
      <c r="I358" s="272"/>
    </row>
    <row r="359" spans="1:9" s="415" customFormat="1" ht="12">
      <c r="A359" s="526"/>
      <c r="B359" s="315" t="s">
        <v>258</v>
      </c>
      <c r="C359" s="382">
        <f>D359+E359</f>
        <v>16738</v>
      </c>
      <c r="D359" s="383">
        <f t="shared" si="15"/>
        <v>16738</v>
      </c>
      <c r="E359" s="384"/>
      <c r="F359" s="385">
        <v>16738</v>
      </c>
      <c r="G359" s="384"/>
      <c r="H359" s="385"/>
      <c r="I359" s="392"/>
    </row>
    <row r="360" spans="1:9" s="281" customFormat="1" ht="23.25" customHeight="1">
      <c r="A360" s="360">
        <v>80102</v>
      </c>
      <c r="B360" s="428" t="s">
        <v>326</v>
      </c>
      <c r="C360" s="527">
        <f>SUM(C361)</f>
        <v>2683138</v>
      </c>
      <c r="D360" s="528">
        <f>SUM(D361)</f>
        <v>2683138</v>
      </c>
      <c r="E360" s="529"/>
      <c r="F360" s="530"/>
      <c r="G360" s="529"/>
      <c r="H360" s="530">
        <f>SUM(H361)</f>
        <v>2683138</v>
      </c>
      <c r="I360" s="531"/>
    </row>
    <row r="361" spans="1:9" ht="13.5" customHeight="1">
      <c r="A361" s="257"/>
      <c r="B361" s="282" t="s">
        <v>261</v>
      </c>
      <c r="C361" s="259">
        <f>SUM(C362:C364)</f>
        <v>2683138</v>
      </c>
      <c r="D361" s="260">
        <f>SUM(D362:D364)</f>
        <v>2683138</v>
      </c>
      <c r="E361" s="261"/>
      <c r="F361" s="262"/>
      <c r="G361" s="393"/>
      <c r="H361" s="262">
        <f>SUM(H362:H364)</f>
        <v>2683138</v>
      </c>
      <c r="I361" s="395"/>
    </row>
    <row r="362" spans="1:9" ht="10.5" customHeight="1">
      <c r="A362" s="257"/>
      <c r="B362" s="266" t="s">
        <v>286</v>
      </c>
      <c r="C362" s="267">
        <f>SUM(D362:E362)</f>
        <v>2322920</v>
      </c>
      <c r="D362" s="268">
        <f>F362+H362</f>
        <v>2322920</v>
      </c>
      <c r="E362" s="269"/>
      <c r="F362" s="287"/>
      <c r="G362" s="261"/>
      <c r="H362" s="287">
        <v>2322920</v>
      </c>
      <c r="I362" s="284"/>
    </row>
    <row r="363" spans="1:9" ht="12">
      <c r="A363" s="257"/>
      <c r="B363" s="266" t="s">
        <v>287</v>
      </c>
      <c r="C363" s="267"/>
      <c r="D363" s="268"/>
      <c r="E363" s="269"/>
      <c r="F363" s="287"/>
      <c r="G363" s="261"/>
      <c r="H363" s="287"/>
      <c r="I363" s="284"/>
    </row>
    <row r="364" spans="1:9" ht="12">
      <c r="A364" s="257"/>
      <c r="B364" s="286" t="s">
        <v>262</v>
      </c>
      <c r="C364" s="267">
        <f>SUM(D364:E364)</f>
        <v>360218</v>
      </c>
      <c r="D364" s="268">
        <f>F364+H364</f>
        <v>360218</v>
      </c>
      <c r="E364" s="269"/>
      <c r="F364" s="287"/>
      <c r="G364" s="261"/>
      <c r="H364" s="287">
        <v>360218</v>
      </c>
      <c r="I364" s="284"/>
    </row>
    <row r="365" spans="1:9" ht="12.75" customHeight="1">
      <c r="A365" s="381"/>
      <c r="B365" s="315" t="s">
        <v>289</v>
      </c>
      <c r="C365" s="382">
        <f>SUM(D365:E365)</f>
        <v>3800</v>
      </c>
      <c r="D365" s="383">
        <f>F365+H365</f>
        <v>3800</v>
      </c>
      <c r="E365" s="384"/>
      <c r="F365" s="385"/>
      <c r="G365" s="453"/>
      <c r="H365" s="385">
        <v>3800</v>
      </c>
      <c r="I365" s="532"/>
    </row>
    <row r="366" spans="1:9" s="281" customFormat="1" ht="30.75" customHeight="1">
      <c r="A366" s="312">
        <v>80103</v>
      </c>
      <c r="B366" s="434" t="s">
        <v>327</v>
      </c>
      <c r="C366" s="533">
        <f>SUM(C367)</f>
        <v>982197</v>
      </c>
      <c r="D366" s="534">
        <f>SUM(D367)</f>
        <v>982197</v>
      </c>
      <c r="E366" s="535"/>
      <c r="F366" s="536">
        <f>SUM(F367)</f>
        <v>982197</v>
      </c>
      <c r="G366" s="535"/>
      <c r="H366" s="536"/>
      <c r="I366" s="537"/>
    </row>
    <row r="367" spans="1:9" ht="12.75">
      <c r="A367" s="257"/>
      <c r="B367" s="282" t="s">
        <v>261</v>
      </c>
      <c r="C367" s="259">
        <f>SUM(C368:C371)</f>
        <v>982197</v>
      </c>
      <c r="D367" s="260">
        <f>SUM(D368:D371)</f>
        <v>982197</v>
      </c>
      <c r="E367" s="261"/>
      <c r="F367" s="262">
        <f>SUM(F368:F371)</f>
        <v>982197</v>
      </c>
      <c r="G367" s="393"/>
      <c r="H367" s="262"/>
      <c r="I367" s="395"/>
    </row>
    <row r="368" spans="1:9" ht="12">
      <c r="A368" s="257"/>
      <c r="B368" s="266" t="s">
        <v>286</v>
      </c>
      <c r="C368" s="267">
        <f>SUM(D368:E368)</f>
        <v>799220</v>
      </c>
      <c r="D368" s="268">
        <f>F368+H368</f>
        <v>799220</v>
      </c>
      <c r="E368" s="269"/>
      <c r="F368" s="287">
        <v>799220</v>
      </c>
      <c r="G368" s="261"/>
      <c r="H368" s="287"/>
      <c r="I368" s="284"/>
    </row>
    <row r="369" spans="1:9" ht="12">
      <c r="A369" s="257"/>
      <c r="B369" s="266" t="s">
        <v>287</v>
      </c>
      <c r="C369" s="267"/>
      <c r="D369" s="268"/>
      <c r="E369" s="269"/>
      <c r="F369" s="287"/>
      <c r="G369" s="261"/>
      <c r="H369" s="287"/>
      <c r="I369" s="284"/>
    </row>
    <row r="370" spans="1:9" ht="11.25" customHeight="1">
      <c r="A370" s="257"/>
      <c r="B370" s="286" t="s">
        <v>273</v>
      </c>
      <c r="C370" s="267">
        <f>SUM(D370:E370)</f>
        <v>114103</v>
      </c>
      <c r="D370" s="268">
        <f>F370+H370</f>
        <v>114103</v>
      </c>
      <c r="E370" s="269"/>
      <c r="F370" s="287">
        <v>114103</v>
      </c>
      <c r="G370" s="261"/>
      <c r="H370" s="287"/>
      <c r="I370" s="284"/>
    </row>
    <row r="371" spans="1:9" ht="13.5" customHeight="1">
      <c r="A371" s="381"/>
      <c r="B371" s="397" t="s">
        <v>262</v>
      </c>
      <c r="C371" s="382">
        <f>SUM(D371:E371)</f>
        <v>68874</v>
      </c>
      <c r="D371" s="383">
        <f>F371+H371</f>
        <v>68874</v>
      </c>
      <c r="E371" s="384"/>
      <c r="F371" s="385">
        <v>68874</v>
      </c>
      <c r="G371" s="453"/>
      <c r="H371" s="385"/>
      <c r="I371" s="532"/>
    </row>
    <row r="372" spans="1:9" ht="12" customHeight="1">
      <c r="A372" s="538">
        <v>80104</v>
      </c>
      <c r="B372" s="434" t="s">
        <v>328</v>
      </c>
      <c r="C372" s="288">
        <f>C373+C378</f>
        <v>15012170</v>
      </c>
      <c r="D372" s="191">
        <f>D373+D378</f>
        <v>15012170</v>
      </c>
      <c r="E372" s="289"/>
      <c r="F372" s="290">
        <f>F373+F378</f>
        <v>15012170</v>
      </c>
      <c r="G372" s="289"/>
      <c r="H372" s="290"/>
      <c r="I372" s="193"/>
    </row>
    <row r="373" spans="1:9" ht="11.25" customHeight="1">
      <c r="A373" s="443"/>
      <c r="B373" s="282" t="s">
        <v>261</v>
      </c>
      <c r="C373" s="259">
        <f>SUM(C374:C377)</f>
        <v>14626870</v>
      </c>
      <c r="D373" s="260">
        <f>SUM(D374:D377)</f>
        <v>14626870</v>
      </c>
      <c r="E373" s="261"/>
      <c r="F373" s="262">
        <f>SUM(F374:F377)</f>
        <v>14626870</v>
      </c>
      <c r="G373" s="393"/>
      <c r="H373" s="262"/>
      <c r="I373" s="395"/>
    </row>
    <row r="374" spans="1:9" ht="12" hidden="1">
      <c r="A374" s="257"/>
      <c r="B374" s="266" t="s">
        <v>286</v>
      </c>
      <c r="C374" s="267">
        <f>SUM(D374:E374)</f>
        <v>0</v>
      </c>
      <c r="D374" s="268">
        <f>F374+H374</f>
        <v>0</v>
      </c>
      <c r="E374" s="269"/>
      <c r="F374" s="287"/>
      <c r="G374" s="261"/>
      <c r="H374" s="287"/>
      <c r="I374" s="284"/>
    </row>
    <row r="375" spans="1:9" ht="10.5" customHeight="1" hidden="1">
      <c r="A375" s="257"/>
      <c r="B375" s="266" t="s">
        <v>287</v>
      </c>
      <c r="C375" s="267"/>
      <c r="D375" s="268"/>
      <c r="E375" s="269"/>
      <c r="F375" s="287"/>
      <c r="G375" s="261"/>
      <c r="H375" s="287"/>
      <c r="I375" s="284"/>
    </row>
    <row r="376" spans="1:9" ht="12">
      <c r="A376" s="257"/>
      <c r="B376" s="539" t="s">
        <v>273</v>
      </c>
      <c r="C376" s="267">
        <f>SUM(D376:E376)</f>
        <v>14626870</v>
      </c>
      <c r="D376" s="268">
        <f>F376+H376</f>
        <v>14626870</v>
      </c>
      <c r="E376" s="269"/>
      <c r="F376" s="268">
        <v>14626870</v>
      </c>
      <c r="G376" s="261"/>
      <c r="H376" s="268"/>
      <c r="I376" s="284"/>
    </row>
    <row r="377" spans="1:9" ht="12" customHeight="1" hidden="1">
      <c r="A377" s="381"/>
      <c r="B377" s="397" t="s">
        <v>262</v>
      </c>
      <c r="C377" s="382">
        <f>SUM(D377:E377)</f>
        <v>0</v>
      </c>
      <c r="D377" s="383">
        <f>F377+H377</f>
        <v>0</v>
      </c>
      <c r="E377" s="384"/>
      <c r="F377" s="385"/>
      <c r="G377" s="453"/>
      <c r="H377" s="385"/>
      <c r="I377" s="532"/>
    </row>
    <row r="378" spans="1:9" ht="12.75" customHeight="1">
      <c r="A378" s="443"/>
      <c r="B378" s="506" t="s">
        <v>257</v>
      </c>
      <c r="C378" s="411">
        <f>C379+C381</f>
        <v>385300</v>
      </c>
      <c r="D378" s="445">
        <f>D379+D381</f>
        <v>385300</v>
      </c>
      <c r="E378" s="540"/>
      <c r="F378" s="507">
        <f>F379+F381</f>
        <v>385300</v>
      </c>
      <c r="G378" s="446"/>
      <c r="H378" s="541"/>
      <c r="I378" s="178"/>
    </row>
    <row r="379" spans="1:9" ht="12.75" customHeight="1">
      <c r="A379" s="257"/>
      <c r="B379" s="266" t="s">
        <v>270</v>
      </c>
      <c r="C379" s="267">
        <f>SUM(D379:E379)</f>
        <v>360000</v>
      </c>
      <c r="D379" s="268">
        <f>F379+H379</f>
        <v>360000</v>
      </c>
      <c r="E379" s="269"/>
      <c r="F379" s="287">
        <v>360000</v>
      </c>
      <c r="G379" s="261"/>
      <c r="H379" s="287"/>
      <c r="I379" s="284"/>
    </row>
    <row r="380" spans="1:9" ht="12.75" customHeight="1">
      <c r="A380" s="257"/>
      <c r="B380" s="258" t="s">
        <v>274</v>
      </c>
      <c r="C380" s="267">
        <f>SUM(D380:E380)</f>
        <v>360000</v>
      </c>
      <c r="D380" s="268">
        <f>F380+H380</f>
        <v>360000</v>
      </c>
      <c r="E380" s="269"/>
      <c r="F380" s="287">
        <v>360000</v>
      </c>
      <c r="G380" s="261"/>
      <c r="H380" s="287"/>
      <c r="I380" s="284"/>
    </row>
    <row r="381" spans="1:9" ht="12.75" customHeight="1">
      <c r="A381" s="257"/>
      <c r="B381" s="266" t="s">
        <v>258</v>
      </c>
      <c r="C381" s="267">
        <f>SUM(D381:E381)</f>
        <v>25300</v>
      </c>
      <c r="D381" s="268">
        <f>F381+H381</f>
        <v>25300</v>
      </c>
      <c r="E381" s="269"/>
      <c r="F381" s="287">
        <v>25300</v>
      </c>
      <c r="G381" s="261"/>
      <c r="H381" s="287"/>
      <c r="I381" s="284"/>
    </row>
    <row r="382" spans="1:9" ht="12.75" customHeight="1">
      <c r="A382" s="381"/>
      <c r="B382" s="258" t="s">
        <v>274</v>
      </c>
      <c r="C382" s="267">
        <f>SUM(D382:E382)</f>
        <v>25300</v>
      </c>
      <c r="D382" s="268">
        <f>F382+H382</f>
        <v>25300</v>
      </c>
      <c r="E382" s="384"/>
      <c r="F382" s="385">
        <v>25300</v>
      </c>
      <c r="G382" s="453"/>
      <c r="H382" s="385"/>
      <c r="I382" s="532"/>
    </row>
    <row r="383" spans="1:9" s="281" customFormat="1" ht="12.75">
      <c r="A383" s="312">
        <v>80105</v>
      </c>
      <c r="B383" s="434" t="s">
        <v>329</v>
      </c>
      <c r="C383" s="533">
        <f>SUM(C384)</f>
        <v>652024</v>
      </c>
      <c r="D383" s="534">
        <f>SUM(D384)</f>
        <v>652024</v>
      </c>
      <c r="E383" s="535"/>
      <c r="F383" s="536"/>
      <c r="G383" s="535"/>
      <c r="H383" s="536">
        <f>SUM(H384)</f>
        <v>652024</v>
      </c>
      <c r="I383" s="537"/>
    </row>
    <row r="384" spans="1:9" ht="11.25" customHeight="1">
      <c r="A384" s="257"/>
      <c r="B384" s="282" t="s">
        <v>261</v>
      </c>
      <c r="C384" s="259">
        <f>SUM(C385:C387)</f>
        <v>652024</v>
      </c>
      <c r="D384" s="260">
        <f>SUM(D385:D387)</f>
        <v>652024</v>
      </c>
      <c r="E384" s="261"/>
      <c r="F384" s="262"/>
      <c r="G384" s="393"/>
      <c r="H384" s="262">
        <f>SUM(H385:H387)</f>
        <v>652024</v>
      </c>
      <c r="I384" s="395"/>
    </row>
    <row r="385" spans="1:9" ht="12">
      <c r="A385" s="257"/>
      <c r="B385" s="266" t="s">
        <v>286</v>
      </c>
      <c r="C385" s="267">
        <f>SUM(D385:E385)</f>
        <v>592700</v>
      </c>
      <c r="D385" s="268">
        <f>F385+H385</f>
        <v>592700</v>
      </c>
      <c r="E385" s="269"/>
      <c r="F385" s="287"/>
      <c r="G385" s="261"/>
      <c r="H385" s="287">
        <v>592700</v>
      </c>
      <c r="I385" s="284"/>
    </row>
    <row r="386" spans="1:9" ht="12">
      <c r="A386" s="257"/>
      <c r="B386" s="266" t="s">
        <v>287</v>
      </c>
      <c r="C386" s="267"/>
      <c r="D386" s="268"/>
      <c r="E386" s="269"/>
      <c r="F386" s="287"/>
      <c r="G386" s="261"/>
      <c r="H386" s="287"/>
      <c r="I386" s="284"/>
    </row>
    <row r="387" spans="1:9" ht="14.25" customHeight="1">
      <c r="A387" s="257"/>
      <c r="B387" s="286" t="s">
        <v>262</v>
      </c>
      <c r="C387" s="267">
        <f>SUM(D387:E387)</f>
        <v>59324</v>
      </c>
      <c r="D387" s="268">
        <f>F387+H387</f>
        <v>59324</v>
      </c>
      <c r="E387" s="269"/>
      <c r="F387" s="287"/>
      <c r="G387" s="261"/>
      <c r="H387" s="287">
        <v>59324</v>
      </c>
      <c r="I387" s="284"/>
    </row>
    <row r="388" spans="1:9" ht="12">
      <c r="A388" s="381"/>
      <c r="B388" s="315" t="s">
        <v>289</v>
      </c>
      <c r="C388" s="382">
        <f>SUM(D388:E388)</f>
        <v>2000</v>
      </c>
      <c r="D388" s="383">
        <f>F388+H388</f>
        <v>2000</v>
      </c>
      <c r="E388" s="384"/>
      <c r="F388" s="385"/>
      <c r="G388" s="453"/>
      <c r="H388" s="385">
        <v>2000</v>
      </c>
      <c r="I388" s="532"/>
    </row>
    <row r="389" spans="1:9" ht="14.25" customHeight="1">
      <c r="A389" s="312">
        <v>80110</v>
      </c>
      <c r="B389" s="434" t="s">
        <v>330</v>
      </c>
      <c r="C389" s="288">
        <f>SUM(C390)+C396</f>
        <v>22897714</v>
      </c>
      <c r="D389" s="191">
        <f>SUM(D390)+D396</f>
        <v>22897714</v>
      </c>
      <c r="E389" s="289"/>
      <c r="F389" s="290">
        <f>SUM(F390)+F396</f>
        <v>22897714</v>
      </c>
      <c r="G389" s="289"/>
      <c r="H389" s="191"/>
      <c r="I389" s="193"/>
    </row>
    <row r="390" spans="1:9" ht="12" customHeight="1">
      <c r="A390" s="257"/>
      <c r="B390" s="282" t="s">
        <v>261</v>
      </c>
      <c r="C390" s="259">
        <f>SUM(C391:C394)</f>
        <v>22210677</v>
      </c>
      <c r="D390" s="260">
        <f>SUM(D391:D394)</f>
        <v>22210677</v>
      </c>
      <c r="E390" s="261"/>
      <c r="F390" s="262">
        <f>SUM(F391:F394)</f>
        <v>22210677</v>
      </c>
      <c r="G390" s="393"/>
      <c r="H390" s="260"/>
      <c r="I390" s="395"/>
    </row>
    <row r="391" spans="1:9" ht="12">
      <c r="A391" s="257"/>
      <c r="B391" s="266" t="s">
        <v>286</v>
      </c>
      <c r="C391" s="267">
        <f>SUM(D391:E391)</f>
        <v>18513405</v>
      </c>
      <c r="D391" s="268">
        <f>F391+H391</f>
        <v>18513405</v>
      </c>
      <c r="E391" s="269"/>
      <c r="F391" s="287">
        <v>18513405</v>
      </c>
      <c r="G391" s="261"/>
      <c r="H391" s="287"/>
      <c r="I391" s="284"/>
    </row>
    <row r="392" spans="1:9" ht="11.25" customHeight="1">
      <c r="A392" s="257"/>
      <c r="B392" s="266" t="s">
        <v>287</v>
      </c>
      <c r="C392" s="267"/>
      <c r="D392" s="268"/>
      <c r="E392" s="269"/>
      <c r="F392" s="287"/>
      <c r="G392" s="261"/>
      <c r="H392" s="287"/>
      <c r="I392" s="284"/>
    </row>
    <row r="393" spans="1:9" ht="14.25" customHeight="1">
      <c r="A393" s="257"/>
      <c r="B393" s="286" t="s">
        <v>273</v>
      </c>
      <c r="C393" s="267">
        <f>SUM(D393:E393)</f>
        <v>564114</v>
      </c>
      <c r="D393" s="268">
        <f aca="true" t="shared" si="16" ref="D393:D398">F393+H393</f>
        <v>564114</v>
      </c>
      <c r="E393" s="269"/>
      <c r="F393" s="287">
        <v>564114</v>
      </c>
      <c r="G393" s="261"/>
      <c r="H393" s="287"/>
      <c r="I393" s="284"/>
    </row>
    <row r="394" spans="1:9" ht="11.25" customHeight="1">
      <c r="A394" s="257"/>
      <c r="B394" s="286" t="s">
        <v>262</v>
      </c>
      <c r="C394" s="267">
        <f>SUM(D394:E394)</f>
        <v>3133158</v>
      </c>
      <c r="D394" s="268">
        <f t="shared" si="16"/>
        <v>3133158</v>
      </c>
      <c r="E394" s="269"/>
      <c r="F394" s="287">
        <v>3133158</v>
      </c>
      <c r="G394" s="261"/>
      <c r="H394" s="287"/>
      <c r="I394" s="284"/>
    </row>
    <row r="395" spans="1:9" ht="12">
      <c r="A395" s="257"/>
      <c r="B395" s="266" t="s">
        <v>289</v>
      </c>
      <c r="C395" s="267">
        <f>SUM(D395:E395)</f>
        <v>73960</v>
      </c>
      <c r="D395" s="268">
        <f t="shared" si="16"/>
        <v>73960</v>
      </c>
      <c r="E395" s="269"/>
      <c r="F395" s="287">
        <v>73960</v>
      </c>
      <c r="G395" s="261"/>
      <c r="H395" s="287"/>
      <c r="I395" s="284"/>
    </row>
    <row r="396" spans="1:9" ht="13.5" customHeight="1">
      <c r="A396" s="257"/>
      <c r="B396" s="258" t="s">
        <v>257</v>
      </c>
      <c r="C396" s="259">
        <f>SUM(C397:C398)</f>
        <v>687037</v>
      </c>
      <c r="D396" s="260">
        <f t="shared" si="16"/>
        <v>687037</v>
      </c>
      <c r="E396" s="261"/>
      <c r="F396" s="283">
        <f>SUM(F397:F398)</f>
        <v>687037</v>
      </c>
      <c r="G396" s="261"/>
      <c r="H396" s="283"/>
      <c r="I396" s="284"/>
    </row>
    <row r="397" spans="1:9" ht="13.5" customHeight="1">
      <c r="A397" s="257"/>
      <c r="B397" s="266" t="s">
        <v>270</v>
      </c>
      <c r="C397" s="267">
        <f>SUM(D397:E397)</f>
        <v>687037</v>
      </c>
      <c r="D397" s="268">
        <f t="shared" si="16"/>
        <v>687037</v>
      </c>
      <c r="E397" s="269"/>
      <c r="F397" s="268">
        <v>687037</v>
      </c>
      <c r="G397" s="261"/>
      <c r="H397" s="287"/>
      <c r="I397" s="291"/>
    </row>
    <row r="398" spans="1:9" s="415" customFormat="1" ht="12.75" customHeight="1" hidden="1">
      <c r="A398" s="526"/>
      <c r="B398" s="315" t="s">
        <v>258</v>
      </c>
      <c r="C398" s="382">
        <f>D398+E398</f>
        <v>0</v>
      </c>
      <c r="D398" s="383">
        <f t="shared" si="16"/>
        <v>0</v>
      </c>
      <c r="E398" s="384"/>
      <c r="F398" s="385">
        <v>0</v>
      </c>
      <c r="G398" s="384"/>
      <c r="H398" s="517"/>
      <c r="I398" s="392"/>
    </row>
    <row r="399" spans="1:9" s="273" customFormat="1" ht="12">
      <c r="A399" s="312">
        <v>80111</v>
      </c>
      <c r="B399" s="434" t="s">
        <v>331</v>
      </c>
      <c r="C399" s="288">
        <f>SUM(C400)</f>
        <v>2713805</v>
      </c>
      <c r="D399" s="191">
        <f>SUM(D400)</f>
        <v>2713805</v>
      </c>
      <c r="E399" s="289"/>
      <c r="F399" s="475"/>
      <c r="G399" s="476"/>
      <c r="H399" s="290">
        <f>SUM(H400)</f>
        <v>2713805</v>
      </c>
      <c r="I399" s="193"/>
    </row>
    <row r="400" spans="1:9" ht="12.75">
      <c r="A400" s="257"/>
      <c r="B400" s="282" t="s">
        <v>261</v>
      </c>
      <c r="C400" s="259">
        <f>SUM(C401:C403)</f>
        <v>2713805</v>
      </c>
      <c r="D400" s="260">
        <f>SUM(D401:D403)</f>
        <v>2713805</v>
      </c>
      <c r="E400" s="261"/>
      <c r="F400" s="262"/>
      <c r="G400" s="393"/>
      <c r="H400" s="262">
        <f>SUM(H401:H403)</f>
        <v>2713805</v>
      </c>
      <c r="I400" s="395"/>
    </row>
    <row r="401" spans="1:9" ht="10.5" customHeight="1">
      <c r="A401" s="257"/>
      <c r="B401" s="266" t="s">
        <v>286</v>
      </c>
      <c r="C401" s="267">
        <f>SUM(D401:E401)</f>
        <v>2388080</v>
      </c>
      <c r="D401" s="268">
        <f>F401+H401</f>
        <v>2388080</v>
      </c>
      <c r="E401" s="269"/>
      <c r="F401" s="287"/>
      <c r="G401" s="261"/>
      <c r="H401" s="287">
        <v>2388080</v>
      </c>
      <c r="I401" s="284"/>
    </row>
    <row r="402" spans="1:9" ht="10.5" customHeight="1">
      <c r="A402" s="257"/>
      <c r="B402" s="266" t="s">
        <v>287</v>
      </c>
      <c r="C402" s="267"/>
      <c r="D402" s="268"/>
      <c r="E402" s="269"/>
      <c r="F402" s="287"/>
      <c r="G402" s="261"/>
      <c r="H402" s="287"/>
      <c r="I402" s="284"/>
    </row>
    <row r="403" spans="1:9" ht="10.5" customHeight="1">
      <c r="A403" s="257"/>
      <c r="B403" s="286" t="s">
        <v>262</v>
      </c>
      <c r="C403" s="267">
        <f>SUM(D403:E403)</f>
        <v>325725</v>
      </c>
      <c r="D403" s="268">
        <f>F403+H403</f>
        <v>325725</v>
      </c>
      <c r="E403" s="269"/>
      <c r="F403" s="287"/>
      <c r="G403" s="261"/>
      <c r="H403" s="287">
        <v>325725</v>
      </c>
      <c r="I403" s="284"/>
    </row>
    <row r="404" spans="1:9" ht="10.5" customHeight="1">
      <c r="A404" s="257"/>
      <c r="B404" s="266" t="s">
        <v>289</v>
      </c>
      <c r="C404" s="267">
        <f>SUM(D404:E404)</f>
        <v>4200</v>
      </c>
      <c r="D404" s="268">
        <f>F404+H404</f>
        <v>4200</v>
      </c>
      <c r="E404" s="269"/>
      <c r="F404" s="287"/>
      <c r="G404" s="261"/>
      <c r="H404" s="287">
        <v>4200</v>
      </c>
      <c r="I404" s="284"/>
    </row>
    <row r="405" spans="1:9" ht="39" customHeight="1">
      <c r="A405" s="312">
        <v>80114</v>
      </c>
      <c r="B405" s="434" t="s">
        <v>332</v>
      </c>
      <c r="C405" s="288">
        <f>SUM(C406)+C412</f>
        <v>1676264</v>
      </c>
      <c r="D405" s="191">
        <f>SUM(D406)+D412</f>
        <v>1676264</v>
      </c>
      <c r="E405" s="289"/>
      <c r="F405" s="290">
        <f>SUM(F406)+F412</f>
        <v>1676264</v>
      </c>
      <c r="G405" s="289"/>
      <c r="H405" s="191"/>
      <c r="I405" s="193"/>
    </row>
    <row r="406" spans="1:9" ht="12" customHeight="1">
      <c r="A406" s="257"/>
      <c r="B406" s="282" t="s">
        <v>261</v>
      </c>
      <c r="C406" s="259">
        <f>SUM(C407:C410)</f>
        <v>1291264</v>
      </c>
      <c r="D406" s="260">
        <f>SUM(D407:D410)</f>
        <v>1291264</v>
      </c>
      <c r="E406" s="261"/>
      <c r="F406" s="262">
        <f>SUM(F407:F410)</f>
        <v>1291264</v>
      </c>
      <c r="G406" s="393"/>
      <c r="H406" s="260"/>
      <c r="I406" s="395"/>
    </row>
    <row r="407" spans="1:9" ht="11.25" customHeight="1">
      <c r="A407" s="257"/>
      <c r="B407" s="266" t="s">
        <v>286</v>
      </c>
      <c r="C407" s="267">
        <f>SUM(D407:E407)</f>
        <v>853750</v>
      </c>
      <c r="D407" s="268">
        <f>F407+H407</f>
        <v>853750</v>
      </c>
      <c r="E407" s="269"/>
      <c r="F407" s="287">
        <v>853750</v>
      </c>
      <c r="G407" s="261"/>
      <c r="H407" s="287"/>
      <c r="I407" s="284"/>
    </row>
    <row r="408" spans="1:9" ht="11.25" customHeight="1">
      <c r="A408" s="257"/>
      <c r="B408" s="266" t="s">
        <v>287</v>
      </c>
      <c r="C408" s="267"/>
      <c r="D408" s="268"/>
      <c r="E408" s="269"/>
      <c r="F408" s="287"/>
      <c r="G408" s="261"/>
      <c r="H408" s="287"/>
      <c r="I408" s="284"/>
    </row>
    <row r="409" spans="1:9" ht="11.25" customHeight="1" hidden="1">
      <c r="A409" s="257"/>
      <c r="B409" s="286" t="s">
        <v>273</v>
      </c>
      <c r="C409" s="267">
        <f>SUM(D409:E409)</f>
        <v>0</v>
      </c>
      <c r="D409" s="268">
        <f aca="true" t="shared" si="17" ref="D409:D414">F409+H409</f>
        <v>0</v>
      </c>
      <c r="E409" s="269"/>
      <c r="F409" s="287"/>
      <c r="G409" s="261"/>
      <c r="H409" s="287"/>
      <c r="I409" s="284"/>
    </row>
    <row r="410" spans="1:9" ht="11.25" customHeight="1">
      <c r="A410" s="257"/>
      <c r="B410" s="286" t="s">
        <v>262</v>
      </c>
      <c r="C410" s="267">
        <f>SUM(D410:E410)</f>
        <v>437514</v>
      </c>
      <c r="D410" s="268">
        <f t="shared" si="17"/>
        <v>437514</v>
      </c>
      <c r="E410" s="269"/>
      <c r="F410" s="287">
        <v>437514</v>
      </c>
      <c r="G410" s="261"/>
      <c r="H410" s="287"/>
      <c r="I410" s="284"/>
    </row>
    <row r="411" spans="1:9" ht="12">
      <c r="A411" s="257"/>
      <c r="B411" s="266" t="s">
        <v>289</v>
      </c>
      <c r="C411" s="267">
        <f>SUM(D411:E411)</f>
        <v>280000</v>
      </c>
      <c r="D411" s="268">
        <f t="shared" si="17"/>
        <v>280000</v>
      </c>
      <c r="E411" s="269"/>
      <c r="F411" s="287">
        <v>280000</v>
      </c>
      <c r="G411" s="261"/>
      <c r="H411" s="287"/>
      <c r="I411" s="284"/>
    </row>
    <row r="412" spans="1:9" ht="13.5" customHeight="1">
      <c r="A412" s="257"/>
      <c r="B412" s="258" t="s">
        <v>257</v>
      </c>
      <c r="C412" s="259">
        <f>SUM(C413:C414)</f>
        <v>385000</v>
      </c>
      <c r="D412" s="260">
        <f t="shared" si="17"/>
        <v>385000</v>
      </c>
      <c r="E412" s="261"/>
      <c r="F412" s="283">
        <f>SUM(F413:F414)</f>
        <v>385000</v>
      </c>
      <c r="G412" s="261"/>
      <c r="H412" s="283"/>
      <c r="I412" s="284"/>
    </row>
    <row r="413" spans="1:9" ht="13.5" customHeight="1">
      <c r="A413" s="257"/>
      <c r="B413" s="266" t="s">
        <v>270</v>
      </c>
      <c r="C413" s="267">
        <f>SUM(D413:E413)</f>
        <v>385000</v>
      </c>
      <c r="D413" s="268">
        <f t="shared" si="17"/>
        <v>385000</v>
      </c>
      <c r="E413" s="269"/>
      <c r="F413" s="268">
        <v>385000</v>
      </c>
      <c r="G413" s="261"/>
      <c r="H413" s="287"/>
      <c r="I413" s="291"/>
    </row>
    <row r="414" spans="1:9" s="415" customFormat="1" ht="12" hidden="1">
      <c r="A414" s="526"/>
      <c r="B414" s="315" t="s">
        <v>258</v>
      </c>
      <c r="C414" s="382">
        <f>D414+E414</f>
        <v>0</v>
      </c>
      <c r="D414" s="383">
        <f t="shared" si="17"/>
        <v>0</v>
      </c>
      <c r="E414" s="384"/>
      <c r="F414" s="385"/>
      <c r="G414" s="384"/>
      <c r="H414" s="517"/>
      <c r="I414" s="392"/>
    </row>
    <row r="415" spans="1:9" ht="10.5" customHeight="1" hidden="1">
      <c r="A415" s="257"/>
      <c r="B415" s="266"/>
      <c r="C415" s="267"/>
      <c r="D415" s="268"/>
      <c r="E415" s="269"/>
      <c r="F415" s="287"/>
      <c r="G415" s="261"/>
      <c r="H415" s="287"/>
      <c r="I415" s="284"/>
    </row>
    <row r="416" spans="1:9" s="273" customFormat="1" ht="14.25" customHeight="1">
      <c r="A416" s="312">
        <v>80120</v>
      </c>
      <c r="B416" s="434" t="s">
        <v>333</v>
      </c>
      <c r="C416" s="288">
        <f>C417+C423</f>
        <v>17715911</v>
      </c>
      <c r="D416" s="191">
        <f>D417+D423</f>
        <v>17715911</v>
      </c>
      <c r="E416" s="289"/>
      <c r="F416" s="475"/>
      <c r="G416" s="476"/>
      <c r="H416" s="290">
        <f>H417+H423</f>
        <v>17715911</v>
      </c>
      <c r="I416" s="193"/>
    </row>
    <row r="417" spans="1:9" ht="12.75">
      <c r="A417" s="257"/>
      <c r="B417" s="282" t="s">
        <v>261</v>
      </c>
      <c r="C417" s="259">
        <f>SUM(C418:C421)</f>
        <v>16004611</v>
      </c>
      <c r="D417" s="260">
        <f>SUM(D418:D421)</f>
        <v>16004611</v>
      </c>
      <c r="E417" s="261"/>
      <c r="F417" s="262"/>
      <c r="G417" s="393"/>
      <c r="H417" s="262">
        <f>SUM(H418:H421)</f>
        <v>16004611</v>
      </c>
      <c r="I417" s="395"/>
    </row>
    <row r="418" spans="1:9" ht="10.5" customHeight="1">
      <c r="A418" s="257"/>
      <c r="B418" s="266" t="s">
        <v>286</v>
      </c>
      <c r="C418" s="267">
        <f>SUM(D418:E418)</f>
        <v>11695566</v>
      </c>
      <c r="D418" s="268">
        <f>F418+H418</f>
        <v>11695566</v>
      </c>
      <c r="E418" s="269"/>
      <c r="F418" s="287"/>
      <c r="G418" s="261"/>
      <c r="H418" s="287">
        <v>11695566</v>
      </c>
      <c r="I418" s="284"/>
    </row>
    <row r="419" spans="1:9" ht="11.25" customHeight="1">
      <c r="A419" s="257"/>
      <c r="B419" s="266" t="s">
        <v>287</v>
      </c>
      <c r="C419" s="267"/>
      <c r="D419" s="268"/>
      <c r="E419" s="269"/>
      <c r="F419" s="287"/>
      <c r="G419" s="261"/>
      <c r="H419" s="287"/>
      <c r="I419" s="284"/>
    </row>
    <row r="420" spans="1:9" ht="11.25" customHeight="1">
      <c r="A420" s="257"/>
      <c r="B420" s="286" t="s">
        <v>273</v>
      </c>
      <c r="C420" s="267">
        <f>SUM(D420:E420)</f>
        <v>2320705</v>
      </c>
      <c r="D420" s="268">
        <f aca="true" t="shared" si="18" ref="D420:D425">F420+H420</f>
        <v>2320705</v>
      </c>
      <c r="E420" s="269"/>
      <c r="F420" s="287"/>
      <c r="G420" s="261"/>
      <c r="H420" s="287">
        <v>2320705</v>
      </c>
      <c r="I420" s="284"/>
    </row>
    <row r="421" spans="1:9" ht="14.25" customHeight="1">
      <c r="A421" s="257"/>
      <c r="B421" s="286" t="s">
        <v>262</v>
      </c>
      <c r="C421" s="267">
        <f>SUM(D421:E421)</f>
        <v>1988340</v>
      </c>
      <c r="D421" s="268">
        <f t="shared" si="18"/>
        <v>1988340</v>
      </c>
      <c r="E421" s="269"/>
      <c r="F421" s="287"/>
      <c r="G421" s="261"/>
      <c r="H421" s="287">
        <v>1988340</v>
      </c>
      <c r="I421" s="284"/>
    </row>
    <row r="422" spans="1:9" ht="12">
      <c r="A422" s="257"/>
      <c r="B422" s="266" t="s">
        <v>289</v>
      </c>
      <c r="C422" s="267">
        <f>SUM(D422:E422)</f>
        <v>40200</v>
      </c>
      <c r="D422" s="268">
        <f t="shared" si="18"/>
        <v>40200</v>
      </c>
      <c r="E422" s="269"/>
      <c r="F422" s="287"/>
      <c r="G422" s="261"/>
      <c r="H422" s="287">
        <v>40200</v>
      </c>
      <c r="I422" s="284"/>
    </row>
    <row r="423" spans="1:9" ht="12.75">
      <c r="A423" s="257"/>
      <c r="B423" s="258" t="s">
        <v>324</v>
      </c>
      <c r="C423" s="259">
        <f>SUM(C424:C425)</f>
        <v>1711300</v>
      </c>
      <c r="D423" s="260">
        <f t="shared" si="18"/>
        <v>1711300</v>
      </c>
      <c r="E423" s="261"/>
      <c r="F423" s="262"/>
      <c r="G423" s="263"/>
      <c r="H423" s="262">
        <f>SUM(H424:H425)</f>
        <v>1711300</v>
      </c>
      <c r="I423" s="264"/>
    </row>
    <row r="424" spans="1:9" s="273" customFormat="1" ht="12">
      <c r="A424" s="265"/>
      <c r="B424" s="266" t="s">
        <v>270</v>
      </c>
      <c r="C424" s="267">
        <f>SUM(D424:E424)</f>
        <v>1697300</v>
      </c>
      <c r="D424" s="268">
        <f t="shared" si="18"/>
        <v>1697300</v>
      </c>
      <c r="E424" s="269"/>
      <c r="F424" s="287"/>
      <c r="G424" s="269"/>
      <c r="H424" s="287">
        <v>1697300</v>
      </c>
      <c r="I424" s="291"/>
    </row>
    <row r="425" spans="1:9" s="415" customFormat="1" ht="12" customHeight="1">
      <c r="A425" s="526"/>
      <c r="B425" s="315" t="s">
        <v>258</v>
      </c>
      <c r="C425" s="382">
        <f>D425+E425</f>
        <v>14000</v>
      </c>
      <c r="D425" s="383">
        <f t="shared" si="18"/>
        <v>14000</v>
      </c>
      <c r="E425" s="384"/>
      <c r="F425" s="385"/>
      <c r="G425" s="384"/>
      <c r="H425" s="517">
        <v>14000</v>
      </c>
      <c r="I425" s="392"/>
    </row>
    <row r="426" spans="1:9" s="273" customFormat="1" ht="15" customHeight="1">
      <c r="A426" s="312">
        <v>80123</v>
      </c>
      <c r="B426" s="434" t="s">
        <v>334</v>
      </c>
      <c r="C426" s="288">
        <f>SUM(C427)</f>
        <v>2136760</v>
      </c>
      <c r="D426" s="191">
        <f>SUM(D427)</f>
        <v>2136760</v>
      </c>
      <c r="E426" s="289"/>
      <c r="F426" s="475"/>
      <c r="G426" s="476"/>
      <c r="H426" s="290">
        <f>SUM(H427)</f>
        <v>2136760</v>
      </c>
      <c r="I426" s="193"/>
    </row>
    <row r="427" spans="1:9" ht="13.5" customHeight="1">
      <c r="A427" s="257"/>
      <c r="B427" s="282" t="s">
        <v>261</v>
      </c>
      <c r="C427" s="259">
        <f>SUM(C428:C430)</f>
        <v>2136760</v>
      </c>
      <c r="D427" s="260">
        <f>SUM(D428:D430)</f>
        <v>2136760</v>
      </c>
      <c r="E427" s="261"/>
      <c r="F427" s="262"/>
      <c r="G427" s="393"/>
      <c r="H427" s="262">
        <f>SUM(H428:H430)</f>
        <v>2136760</v>
      </c>
      <c r="I427" s="395"/>
    </row>
    <row r="428" spans="1:9" ht="11.25" customHeight="1">
      <c r="A428" s="257"/>
      <c r="B428" s="266" t="s">
        <v>286</v>
      </c>
      <c r="C428" s="267">
        <f>SUM(D428:E428)</f>
        <v>1865535</v>
      </c>
      <c r="D428" s="268">
        <f>F428+H428</f>
        <v>1865535</v>
      </c>
      <c r="E428" s="269"/>
      <c r="F428" s="287"/>
      <c r="G428" s="261"/>
      <c r="H428" s="287">
        <v>1865535</v>
      </c>
      <c r="I428" s="284"/>
    </row>
    <row r="429" spans="1:9" ht="12" customHeight="1">
      <c r="A429" s="257"/>
      <c r="B429" s="266" t="s">
        <v>287</v>
      </c>
      <c r="C429" s="267"/>
      <c r="D429" s="268"/>
      <c r="E429" s="269"/>
      <c r="F429" s="287"/>
      <c r="G429" s="261"/>
      <c r="H429" s="287"/>
      <c r="I429" s="284"/>
    </row>
    <row r="430" spans="1:9" ht="10.5" customHeight="1">
      <c r="A430" s="257"/>
      <c r="B430" s="286" t="s">
        <v>262</v>
      </c>
      <c r="C430" s="267">
        <f>SUM(D430:E430)</f>
        <v>271225</v>
      </c>
      <c r="D430" s="268">
        <f>F430+H430</f>
        <v>271225</v>
      </c>
      <c r="E430" s="269"/>
      <c r="F430" s="287"/>
      <c r="G430" s="261"/>
      <c r="H430" s="287">
        <v>271225</v>
      </c>
      <c r="I430" s="284"/>
    </row>
    <row r="431" spans="1:9" ht="12.75" customHeight="1">
      <c r="A431" s="257"/>
      <c r="B431" s="266" t="s">
        <v>289</v>
      </c>
      <c r="C431" s="267">
        <f>SUM(D431:E431)</f>
        <v>4500</v>
      </c>
      <c r="D431" s="268">
        <f>F431+H431</f>
        <v>4500</v>
      </c>
      <c r="E431" s="269"/>
      <c r="F431" s="287"/>
      <c r="G431" s="261"/>
      <c r="H431" s="287">
        <v>4500</v>
      </c>
      <c r="I431" s="284"/>
    </row>
    <row r="432" spans="1:9" s="273" customFormat="1" ht="13.5" customHeight="1">
      <c r="A432" s="312">
        <v>80130</v>
      </c>
      <c r="B432" s="434" t="s">
        <v>335</v>
      </c>
      <c r="C432" s="288">
        <f>SUM(C433+C439)</f>
        <v>22188303</v>
      </c>
      <c r="D432" s="191">
        <f>SUM(D433+D439)</f>
        <v>22188303</v>
      </c>
      <c r="E432" s="289"/>
      <c r="F432" s="475"/>
      <c r="G432" s="476"/>
      <c r="H432" s="290">
        <f>SUM(H433+H439)</f>
        <v>22188303</v>
      </c>
      <c r="I432" s="193"/>
    </row>
    <row r="433" spans="1:9" ht="10.5" customHeight="1">
      <c r="A433" s="542"/>
      <c r="B433" s="543" t="s">
        <v>261</v>
      </c>
      <c r="C433" s="544">
        <f>SUM(C434:C437)</f>
        <v>21994897</v>
      </c>
      <c r="D433" s="545">
        <f>SUM(D434:D437)</f>
        <v>21994897</v>
      </c>
      <c r="E433" s="476"/>
      <c r="F433" s="546"/>
      <c r="G433" s="547"/>
      <c r="H433" s="546">
        <f>SUM(H434:H437)</f>
        <v>21994897</v>
      </c>
      <c r="I433" s="548"/>
    </row>
    <row r="434" spans="1:9" ht="12">
      <c r="A434" s="257"/>
      <c r="B434" s="266" t="s">
        <v>286</v>
      </c>
      <c r="C434" s="267">
        <f>SUM(D434:E434)</f>
        <v>13782443</v>
      </c>
      <c r="D434" s="268">
        <f>F434+H434</f>
        <v>13782443</v>
      </c>
      <c r="E434" s="269"/>
      <c r="F434" s="287"/>
      <c r="G434" s="261"/>
      <c r="H434" s="287">
        <v>13782443</v>
      </c>
      <c r="I434" s="284"/>
    </row>
    <row r="435" spans="1:9" ht="10.5" customHeight="1">
      <c r="A435" s="257"/>
      <c r="B435" s="266" t="s">
        <v>287</v>
      </c>
      <c r="C435" s="267"/>
      <c r="D435" s="268"/>
      <c r="E435" s="269"/>
      <c r="F435" s="287"/>
      <c r="G435" s="261"/>
      <c r="H435" s="287"/>
      <c r="I435" s="284"/>
    </row>
    <row r="436" spans="1:9" ht="11.25" customHeight="1">
      <c r="A436" s="257"/>
      <c r="B436" s="286" t="s">
        <v>273</v>
      </c>
      <c r="C436" s="267">
        <f>SUM(D436:E436)</f>
        <v>5341544</v>
      </c>
      <c r="D436" s="268">
        <f aca="true" t="shared" si="19" ref="D436:D441">F436+H436</f>
        <v>5341544</v>
      </c>
      <c r="E436" s="269"/>
      <c r="F436" s="287"/>
      <c r="G436" s="261"/>
      <c r="H436" s="287">
        <v>5341544</v>
      </c>
      <c r="I436" s="284"/>
    </row>
    <row r="437" spans="1:9" ht="12">
      <c r="A437" s="257"/>
      <c r="B437" s="286" t="s">
        <v>262</v>
      </c>
      <c r="C437" s="267">
        <f>SUM(D437:E437)</f>
        <v>2870910</v>
      </c>
      <c r="D437" s="268">
        <f t="shared" si="19"/>
        <v>2870910</v>
      </c>
      <c r="E437" s="269"/>
      <c r="F437" s="287"/>
      <c r="G437" s="261"/>
      <c r="H437" s="287">
        <v>2870910</v>
      </c>
      <c r="I437" s="284"/>
    </row>
    <row r="438" spans="1:9" ht="12" customHeight="1">
      <c r="A438" s="257"/>
      <c r="B438" s="266" t="s">
        <v>289</v>
      </c>
      <c r="C438" s="267">
        <f>SUM(D438:E438)</f>
        <v>48600</v>
      </c>
      <c r="D438" s="268">
        <f t="shared" si="19"/>
        <v>48600</v>
      </c>
      <c r="E438" s="269"/>
      <c r="F438" s="287"/>
      <c r="G438" s="261"/>
      <c r="H438" s="287">
        <v>48600</v>
      </c>
      <c r="I438" s="284"/>
    </row>
    <row r="439" spans="1:9" ht="12.75">
      <c r="A439" s="257"/>
      <c r="B439" s="258" t="s">
        <v>324</v>
      </c>
      <c r="C439" s="259">
        <f>SUM(C440:C441)</f>
        <v>193406</v>
      </c>
      <c r="D439" s="260">
        <f t="shared" si="19"/>
        <v>193406</v>
      </c>
      <c r="E439" s="261"/>
      <c r="F439" s="262"/>
      <c r="G439" s="263"/>
      <c r="H439" s="262">
        <f>SUM(H440:H441)</f>
        <v>193406</v>
      </c>
      <c r="I439" s="264"/>
    </row>
    <row r="440" spans="1:9" s="273" customFormat="1" ht="13.5" customHeight="1">
      <c r="A440" s="265"/>
      <c r="B440" s="266" t="s">
        <v>270</v>
      </c>
      <c r="C440" s="267">
        <f>SUM(D440:E440)</f>
        <v>169165</v>
      </c>
      <c r="D440" s="268">
        <f t="shared" si="19"/>
        <v>169165</v>
      </c>
      <c r="E440" s="269"/>
      <c r="F440" s="287"/>
      <c r="G440" s="269"/>
      <c r="H440" s="287">
        <v>169165</v>
      </c>
      <c r="I440" s="291"/>
    </row>
    <row r="441" spans="1:9" s="415" customFormat="1" ht="14.25" customHeight="1">
      <c r="A441" s="526"/>
      <c r="B441" s="315" t="s">
        <v>258</v>
      </c>
      <c r="C441" s="382">
        <f>D441+E441</f>
        <v>24241</v>
      </c>
      <c r="D441" s="383">
        <f t="shared" si="19"/>
        <v>24241</v>
      </c>
      <c r="E441" s="384"/>
      <c r="F441" s="385"/>
      <c r="G441" s="384"/>
      <c r="H441" s="517">
        <v>24241</v>
      </c>
      <c r="I441" s="392"/>
    </row>
    <row r="442" spans="1:9" s="273" customFormat="1" ht="11.25" customHeight="1" hidden="1">
      <c r="A442" s="312">
        <v>80131</v>
      </c>
      <c r="B442" s="434" t="s">
        <v>336</v>
      </c>
      <c r="C442" s="288">
        <f>SUM(C443)</f>
        <v>0</v>
      </c>
      <c r="D442" s="191">
        <f>SUM(D443)</f>
        <v>0</v>
      </c>
      <c r="E442" s="289"/>
      <c r="F442" s="475"/>
      <c r="G442" s="476"/>
      <c r="H442" s="290"/>
      <c r="I442" s="193"/>
    </row>
    <row r="443" spans="1:9" ht="13.5" customHeight="1" hidden="1">
      <c r="A443" s="257"/>
      <c r="B443" s="282" t="s">
        <v>261</v>
      </c>
      <c r="C443" s="259">
        <f>SUM(C444:C447)</f>
        <v>0</v>
      </c>
      <c r="D443" s="260">
        <f>SUM(D444:D447)</f>
        <v>0</v>
      </c>
      <c r="E443" s="261"/>
      <c r="F443" s="262"/>
      <c r="G443" s="393"/>
      <c r="H443" s="262"/>
      <c r="I443" s="395"/>
    </row>
    <row r="444" spans="1:9" ht="13.5" customHeight="1" hidden="1">
      <c r="A444" s="257"/>
      <c r="B444" s="266" t="s">
        <v>286</v>
      </c>
      <c r="C444" s="267">
        <f>SUM(D444:E444)</f>
        <v>0</v>
      </c>
      <c r="D444" s="268">
        <f>F444+H444</f>
        <v>0</v>
      </c>
      <c r="E444" s="269"/>
      <c r="F444" s="270"/>
      <c r="G444" s="263"/>
      <c r="H444" s="270"/>
      <c r="I444" s="264"/>
    </row>
    <row r="445" spans="1:9" ht="13.5" customHeight="1" hidden="1">
      <c r="A445" s="257"/>
      <c r="B445" s="266" t="s">
        <v>287</v>
      </c>
      <c r="C445" s="267"/>
      <c r="D445" s="268"/>
      <c r="E445" s="269"/>
      <c r="F445" s="270"/>
      <c r="G445" s="263"/>
      <c r="H445" s="270"/>
      <c r="I445" s="264"/>
    </row>
    <row r="446" spans="1:9" ht="14.25" customHeight="1" hidden="1">
      <c r="A446" s="257"/>
      <c r="B446" s="286" t="s">
        <v>273</v>
      </c>
      <c r="C446" s="267">
        <f>SUM(D446:E446)</f>
        <v>0</v>
      </c>
      <c r="D446" s="268">
        <f>F446+H446</f>
        <v>0</v>
      </c>
      <c r="E446" s="269"/>
      <c r="F446" s="270"/>
      <c r="G446" s="263"/>
      <c r="H446" s="270"/>
      <c r="I446" s="264"/>
    </row>
    <row r="447" spans="1:9" ht="16.5" customHeight="1" hidden="1">
      <c r="A447" s="381"/>
      <c r="B447" s="397" t="s">
        <v>262</v>
      </c>
      <c r="C447" s="382">
        <f>SUM(D447:E447)</f>
        <v>0</v>
      </c>
      <c r="D447" s="383">
        <f>F447+H447</f>
        <v>0</v>
      </c>
      <c r="E447" s="384"/>
      <c r="F447" s="399"/>
      <c r="G447" s="386"/>
      <c r="H447" s="399"/>
      <c r="I447" s="388"/>
    </row>
    <row r="448" spans="1:9" s="273" customFormat="1" ht="12.75" customHeight="1" hidden="1">
      <c r="A448" s="312">
        <v>80132</v>
      </c>
      <c r="B448" s="434" t="s">
        <v>337</v>
      </c>
      <c r="C448" s="288">
        <f>SUM(C449)</f>
        <v>0</v>
      </c>
      <c r="D448" s="191">
        <f>SUM(D449)</f>
        <v>0</v>
      </c>
      <c r="E448" s="289"/>
      <c r="F448" s="475"/>
      <c r="G448" s="476"/>
      <c r="H448" s="290">
        <f>SUM(H449)</f>
        <v>0</v>
      </c>
      <c r="I448" s="193"/>
    </row>
    <row r="449" spans="1:9" ht="12.75" customHeight="1" hidden="1">
      <c r="A449" s="257"/>
      <c r="B449" s="282" t="s">
        <v>261</v>
      </c>
      <c r="C449" s="259">
        <f>SUM(C450:C452)</f>
        <v>0</v>
      </c>
      <c r="D449" s="260">
        <f>SUM(D450:D452)</f>
        <v>0</v>
      </c>
      <c r="E449" s="261"/>
      <c r="F449" s="262"/>
      <c r="G449" s="393"/>
      <c r="H449" s="262">
        <f>SUM(H450:H452)</f>
        <v>0</v>
      </c>
      <c r="I449" s="395"/>
    </row>
    <row r="450" spans="1:9" ht="15" customHeight="1" hidden="1">
      <c r="A450" s="257"/>
      <c r="B450" s="266" t="s">
        <v>286</v>
      </c>
      <c r="C450" s="267">
        <f>SUM(D450:E450)</f>
        <v>0</v>
      </c>
      <c r="D450" s="268">
        <f>F450+H450</f>
        <v>0</v>
      </c>
      <c r="E450" s="269"/>
      <c r="F450" s="287"/>
      <c r="G450" s="261"/>
      <c r="H450" s="287"/>
      <c r="I450" s="284"/>
    </row>
    <row r="451" spans="1:9" ht="12" customHeight="1" hidden="1">
      <c r="A451" s="381"/>
      <c r="B451" s="315" t="s">
        <v>287</v>
      </c>
      <c r="C451" s="382"/>
      <c r="D451" s="383"/>
      <c r="E451" s="384"/>
      <c r="F451" s="385"/>
      <c r="G451" s="453"/>
      <c r="H451" s="385"/>
      <c r="I451" s="532"/>
    </row>
    <row r="452" spans="1:9" ht="12" customHeight="1" hidden="1">
      <c r="A452" s="257"/>
      <c r="B452" s="286" t="s">
        <v>262</v>
      </c>
      <c r="C452" s="267">
        <f>SUM(D452:E452)</f>
        <v>0</v>
      </c>
      <c r="D452" s="268">
        <f>F452+H452</f>
        <v>0</v>
      </c>
      <c r="E452" s="269"/>
      <c r="F452" s="287"/>
      <c r="G452" s="261"/>
      <c r="H452" s="287"/>
      <c r="I452" s="284"/>
    </row>
    <row r="453" spans="1:9" ht="12.75" customHeight="1" hidden="1">
      <c r="A453" s="257"/>
      <c r="B453" s="266" t="s">
        <v>289</v>
      </c>
      <c r="C453" s="267">
        <f>SUM(D453:E453)</f>
        <v>0</v>
      </c>
      <c r="D453" s="268">
        <f>F453+H453</f>
        <v>0</v>
      </c>
      <c r="E453" s="269"/>
      <c r="F453" s="287"/>
      <c r="G453" s="261"/>
      <c r="H453" s="287"/>
      <c r="I453" s="284"/>
    </row>
    <row r="454" spans="1:9" s="273" customFormat="1" ht="11.25" customHeight="1" hidden="1">
      <c r="A454" s="312">
        <v>80133</v>
      </c>
      <c r="B454" s="434" t="s">
        <v>338</v>
      </c>
      <c r="C454" s="288">
        <f>SUM(C455)</f>
        <v>0</v>
      </c>
      <c r="D454" s="191">
        <f>SUM(D455)</f>
        <v>0</v>
      </c>
      <c r="E454" s="289"/>
      <c r="F454" s="475"/>
      <c r="G454" s="476"/>
      <c r="H454" s="290">
        <f>SUM(H455)</f>
        <v>0</v>
      </c>
      <c r="I454" s="193"/>
    </row>
    <row r="455" spans="1:9" ht="11.25" customHeight="1" hidden="1">
      <c r="A455" s="443"/>
      <c r="B455" s="444" t="s">
        <v>261</v>
      </c>
      <c r="C455" s="411">
        <f>SUM(C456)</f>
        <v>0</v>
      </c>
      <c r="D455" s="445">
        <f>SUM(D456)</f>
        <v>0</v>
      </c>
      <c r="E455" s="446"/>
      <c r="F455" s="447"/>
      <c r="G455" s="448"/>
      <c r="H455" s="447">
        <f>SUM(H456)</f>
        <v>0</v>
      </c>
      <c r="I455" s="483"/>
    </row>
    <row r="456" spans="1:9" ht="9.75" customHeight="1" hidden="1">
      <c r="A456" s="381"/>
      <c r="B456" s="397" t="s">
        <v>273</v>
      </c>
      <c r="C456" s="382">
        <f>SUM(D456:E456)</f>
        <v>0</v>
      </c>
      <c r="D456" s="383">
        <f>F456+H456</f>
        <v>0</v>
      </c>
      <c r="E456" s="384"/>
      <c r="F456" s="399"/>
      <c r="G456" s="386"/>
      <c r="H456" s="399"/>
      <c r="I456" s="388"/>
    </row>
    <row r="457" spans="1:9" s="273" customFormat="1" ht="24">
      <c r="A457" s="312">
        <v>80134</v>
      </c>
      <c r="B457" s="434" t="s">
        <v>339</v>
      </c>
      <c r="C457" s="288">
        <f>C458+C463</f>
        <v>1620802</v>
      </c>
      <c r="D457" s="191">
        <f>D458+D463</f>
        <v>1620802</v>
      </c>
      <c r="E457" s="289"/>
      <c r="F457" s="475"/>
      <c r="G457" s="476"/>
      <c r="H457" s="290">
        <f>H458+H463</f>
        <v>1620802</v>
      </c>
      <c r="I457" s="193"/>
    </row>
    <row r="458" spans="1:9" ht="12.75">
      <c r="A458" s="443"/>
      <c r="B458" s="444" t="s">
        <v>261</v>
      </c>
      <c r="C458" s="411">
        <f>SUM(C459:C461)</f>
        <v>1609802</v>
      </c>
      <c r="D458" s="445">
        <f>SUM(D459:D461)</f>
        <v>1609802</v>
      </c>
      <c r="E458" s="446"/>
      <c r="F458" s="447"/>
      <c r="G458" s="448"/>
      <c r="H458" s="447">
        <f>SUM(H459:H461)</f>
        <v>1609802</v>
      </c>
      <c r="I458" s="483"/>
    </row>
    <row r="459" spans="1:9" ht="12">
      <c r="A459" s="257"/>
      <c r="B459" s="266" t="s">
        <v>286</v>
      </c>
      <c r="C459" s="267">
        <f>SUM(D459:E459)</f>
        <v>1434810</v>
      </c>
      <c r="D459" s="268">
        <f>F459+H459</f>
        <v>1434810</v>
      </c>
      <c r="E459" s="269"/>
      <c r="F459" s="287"/>
      <c r="G459" s="261"/>
      <c r="H459" s="287">
        <v>1434810</v>
      </c>
      <c r="I459" s="284"/>
    </row>
    <row r="460" spans="1:9" ht="12">
      <c r="A460" s="257"/>
      <c r="B460" s="266" t="s">
        <v>287</v>
      </c>
      <c r="C460" s="267"/>
      <c r="D460" s="268"/>
      <c r="E460" s="269"/>
      <c r="F460" s="287"/>
      <c r="G460" s="261"/>
      <c r="H460" s="287"/>
      <c r="I460" s="284"/>
    </row>
    <row r="461" spans="1:9" ht="12">
      <c r="A461" s="257"/>
      <c r="B461" s="286" t="s">
        <v>262</v>
      </c>
      <c r="C461" s="267">
        <f>SUM(D461:E461)</f>
        <v>174992</v>
      </c>
      <c r="D461" s="268">
        <f>F461+H461</f>
        <v>174992</v>
      </c>
      <c r="E461" s="269"/>
      <c r="F461" s="287"/>
      <c r="G461" s="261"/>
      <c r="H461" s="287">
        <v>174992</v>
      </c>
      <c r="I461" s="284"/>
    </row>
    <row r="462" spans="1:9" ht="12" customHeight="1">
      <c r="A462" s="257"/>
      <c r="B462" s="266" t="s">
        <v>289</v>
      </c>
      <c r="C462" s="267">
        <f>SUM(D462:E462)</f>
        <v>1400</v>
      </c>
      <c r="D462" s="268">
        <f>F462+H462</f>
        <v>1400</v>
      </c>
      <c r="E462" s="269"/>
      <c r="F462" s="287"/>
      <c r="G462" s="261"/>
      <c r="H462" s="287">
        <v>1400</v>
      </c>
      <c r="I462" s="284"/>
    </row>
    <row r="463" spans="1:9" ht="12.75">
      <c r="A463" s="257"/>
      <c r="B463" s="258" t="s">
        <v>324</v>
      </c>
      <c r="C463" s="259">
        <f>C464</f>
        <v>11000</v>
      </c>
      <c r="D463" s="260">
        <f>F463+H463</f>
        <v>11000</v>
      </c>
      <c r="E463" s="261"/>
      <c r="F463" s="262"/>
      <c r="G463" s="263"/>
      <c r="H463" s="262">
        <f>H464</f>
        <v>11000</v>
      </c>
      <c r="I463" s="264"/>
    </row>
    <row r="464" spans="1:9" s="415" customFormat="1" ht="14.25" customHeight="1">
      <c r="A464" s="526"/>
      <c r="B464" s="315" t="s">
        <v>258</v>
      </c>
      <c r="C464" s="382">
        <f>D464+E464</f>
        <v>11000</v>
      </c>
      <c r="D464" s="383">
        <f>F464+H464</f>
        <v>11000</v>
      </c>
      <c r="E464" s="384"/>
      <c r="F464" s="385"/>
      <c r="G464" s="384"/>
      <c r="H464" s="517">
        <v>11000</v>
      </c>
      <c r="I464" s="392"/>
    </row>
    <row r="465" spans="1:9" s="273" customFormat="1" ht="63" customHeight="1">
      <c r="A465" s="312">
        <v>80140</v>
      </c>
      <c r="B465" s="434" t="s">
        <v>340</v>
      </c>
      <c r="C465" s="288">
        <f>SUM(C466+C471)</f>
        <v>2442072</v>
      </c>
      <c r="D465" s="191">
        <f>SUM(D466+D471)</f>
        <v>2442072</v>
      </c>
      <c r="E465" s="289"/>
      <c r="F465" s="475"/>
      <c r="G465" s="476"/>
      <c r="H465" s="290">
        <f>SUM(H466+H471)</f>
        <v>2442072</v>
      </c>
      <c r="I465" s="193"/>
    </row>
    <row r="466" spans="1:9" ht="12" customHeight="1">
      <c r="A466" s="257"/>
      <c r="B466" s="282" t="s">
        <v>261</v>
      </c>
      <c r="C466" s="259">
        <f>SUM(C467:C469)</f>
        <v>2410072</v>
      </c>
      <c r="D466" s="260">
        <f>SUM(D467:D469)</f>
        <v>2410072</v>
      </c>
      <c r="E466" s="261"/>
      <c r="F466" s="262"/>
      <c r="G466" s="393"/>
      <c r="H466" s="262">
        <f>SUM(H467:H469)</f>
        <v>2410072</v>
      </c>
      <c r="I466" s="395"/>
    </row>
    <row r="467" spans="1:9" ht="12.75" customHeight="1">
      <c r="A467" s="257"/>
      <c r="B467" s="266" t="s">
        <v>286</v>
      </c>
      <c r="C467" s="267">
        <f>SUM(D467:E467)</f>
        <v>1998650</v>
      </c>
      <c r="D467" s="268">
        <f>F467+H467</f>
        <v>1998650</v>
      </c>
      <c r="E467" s="269"/>
      <c r="F467" s="287"/>
      <c r="G467" s="261"/>
      <c r="H467" s="287">
        <v>1998650</v>
      </c>
      <c r="I467" s="284"/>
    </row>
    <row r="468" spans="1:9" ht="12.75" customHeight="1">
      <c r="A468" s="257"/>
      <c r="B468" s="266" t="s">
        <v>287</v>
      </c>
      <c r="C468" s="267"/>
      <c r="D468" s="268"/>
      <c r="E468" s="269"/>
      <c r="F468" s="287"/>
      <c r="G468" s="261"/>
      <c r="H468" s="287"/>
      <c r="I468" s="284"/>
    </row>
    <row r="469" spans="1:9" ht="12.75" customHeight="1">
      <c r="A469" s="257"/>
      <c r="B469" s="286" t="s">
        <v>262</v>
      </c>
      <c r="C469" s="267">
        <f>SUM(D469:E469)</f>
        <v>411422</v>
      </c>
      <c r="D469" s="268">
        <f>F469+H469</f>
        <v>411422</v>
      </c>
      <c r="E469" s="269"/>
      <c r="F469" s="287"/>
      <c r="G469" s="261"/>
      <c r="H469" s="287">
        <v>411422</v>
      </c>
      <c r="I469" s="284"/>
    </row>
    <row r="470" spans="1:9" ht="14.25" customHeight="1">
      <c r="A470" s="257"/>
      <c r="B470" s="266" t="s">
        <v>289</v>
      </c>
      <c r="C470" s="267">
        <f>SUM(D470:E470)</f>
        <v>12000</v>
      </c>
      <c r="D470" s="268">
        <f>F470+H470</f>
        <v>12000</v>
      </c>
      <c r="E470" s="269"/>
      <c r="F470" s="287"/>
      <c r="G470" s="261"/>
      <c r="H470" s="287">
        <v>12000</v>
      </c>
      <c r="I470" s="284"/>
    </row>
    <row r="471" spans="1:9" ht="12" customHeight="1">
      <c r="A471" s="257"/>
      <c r="B471" s="258" t="s">
        <v>257</v>
      </c>
      <c r="C471" s="259">
        <f>SUM(C472:C473)</f>
        <v>32000</v>
      </c>
      <c r="D471" s="260">
        <f>SUM(D472:D473)</f>
        <v>32000</v>
      </c>
      <c r="E471" s="261"/>
      <c r="F471" s="283"/>
      <c r="G471" s="261"/>
      <c r="H471" s="283">
        <f>SUM(H472:H473)</f>
        <v>32000</v>
      </c>
      <c r="I471" s="284"/>
    </row>
    <row r="472" spans="1:9" s="273" customFormat="1" ht="13.5" customHeight="1">
      <c r="A472" s="265"/>
      <c r="B472" s="266" t="s">
        <v>270</v>
      </c>
      <c r="C472" s="267">
        <f>SUM(D472:E472)</f>
        <v>32000</v>
      </c>
      <c r="D472" s="268">
        <f>F472+H472</f>
        <v>32000</v>
      </c>
      <c r="E472" s="269"/>
      <c r="F472" s="287"/>
      <c r="G472" s="269"/>
      <c r="H472" s="287">
        <v>32000</v>
      </c>
      <c r="I472" s="291"/>
    </row>
    <row r="473" spans="1:9" s="273" customFormat="1" ht="12" customHeight="1" hidden="1">
      <c r="A473" s="396"/>
      <c r="B473" s="315" t="s">
        <v>258</v>
      </c>
      <c r="C473" s="382">
        <f>SUM(D473:E473)</f>
        <v>0</v>
      </c>
      <c r="D473" s="383">
        <f>F473+H473</f>
        <v>0</v>
      </c>
      <c r="E473" s="384"/>
      <c r="F473" s="385"/>
      <c r="G473" s="384"/>
      <c r="H473" s="385"/>
      <c r="I473" s="392"/>
    </row>
    <row r="474" spans="1:9" ht="13.5" customHeight="1" hidden="1">
      <c r="A474" s="312">
        <v>80145</v>
      </c>
      <c r="B474" s="434" t="s">
        <v>341</v>
      </c>
      <c r="C474" s="288">
        <f>SUM(C475)</f>
        <v>0</v>
      </c>
      <c r="D474" s="191">
        <f>SUM(D475)</f>
        <v>0</v>
      </c>
      <c r="E474" s="289"/>
      <c r="F474" s="290">
        <f>SUM(F475)</f>
        <v>0</v>
      </c>
      <c r="G474" s="289"/>
      <c r="H474" s="290">
        <f>SUM(H475)</f>
        <v>0</v>
      </c>
      <c r="I474" s="193"/>
    </row>
    <row r="475" spans="1:9" ht="12.75" hidden="1">
      <c r="A475" s="443"/>
      <c r="B475" s="444" t="s">
        <v>261</v>
      </c>
      <c r="C475" s="411">
        <f>SUM(C476)</f>
        <v>0</v>
      </c>
      <c r="D475" s="445">
        <f>SUM(D476)</f>
        <v>0</v>
      </c>
      <c r="E475" s="549"/>
      <c r="F475" s="447">
        <f>SUM(F476)</f>
        <v>0</v>
      </c>
      <c r="G475" s="448"/>
      <c r="H475" s="447">
        <f>SUM(H476)</f>
        <v>0</v>
      </c>
      <c r="I475" s="483"/>
    </row>
    <row r="476" spans="1:9" ht="12" hidden="1">
      <c r="A476" s="257"/>
      <c r="B476" s="286" t="s">
        <v>262</v>
      </c>
      <c r="C476" s="267">
        <f>SUM(D476:E476)</f>
        <v>0</v>
      </c>
      <c r="D476" s="268">
        <f>F476+H476</f>
        <v>0</v>
      </c>
      <c r="E476" s="269"/>
      <c r="F476" s="287">
        <v>0</v>
      </c>
      <c r="G476" s="261"/>
      <c r="H476" s="287">
        <v>0</v>
      </c>
      <c r="I476" s="284"/>
    </row>
    <row r="477" spans="1:9" ht="36" customHeight="1">
      <c r="A477" s="312">
        <v>80146</v>
      </c>
      <c r="B477" s="434" t="s">
        <v>342</v>
      </c>
      <c r="C477" s="288">
        <f>SUM(C478)</f>
        <v>594239</v>
      </c>
      <c r="D477" s="191">
        <f>SUM(D478)</f>
        <v>594239</v>
      </c>
      <c r="E477" s="289"/>
      <c r="F477" s="290">
        <f>SUM(F478)</f>
        <v>303644</v>
      </c>
      <c r="G477" s="289"/>
      <c r="H477" s="290">
        <f>SUM(H478)</f>
        <v>290595</v>
      </c>
      <c r="I477" s="193"/>
    </row>
    <row r="478" spans="1:9" ht="12.75">
      <c r="A478" s="443"/>
      <c r="B478" s="444" t="s">
        <v>261</v>
      </c>
      <c r="C478" s="411">
        <f>SUM(C479:C482)</f>
        <v>594239</v>
      </c>
      <c r="D478" s="445">
        <f>SUM(D479:D482)</f>
        <v>594239</v>
      </c>
      <c r="E478" s="446"/>
      <c r="F478" s="447">
        <f>SUM(F479:F482)</f>
        <v>303644</v>
      </c>
      <c r="G478" s="448"/>
      <c r="H478" s="447">
        <f>SUM(H479:H482)</f>
        <v>290595</v>
      </c>
      <c r="I478" s="483"/>
    </row>
    <row r="479" spans="1:9" ht="12">
      <c r="A479" s="257"/>
      <c r="B479" s="266" t="s">
        <v>286</v>
      </c>
      <c r="C479" s="267">
        <f>SUM(D479:E479)</f>
        <v>177651</v>
      </c>
      <c r="D479" s="268">
        <f>F479+H479</f>
        <v>177651</v>
      </c>
      <c r="E479" s="269"/>
      <c r="F479" s="287">
        <v>69690</v>
      </c>
      <c r="G479" s="261"/>
      <c r="H479" s="287">
        <v>107961</v>
      </c>
      <c r="I479" s="284"/>
    </row>
    <row r="480" spans="1:9" ht="12">
      <c r="A480" s="257"/>
      <c r="B480" s="266" t="s">
        <v>287</v>
      </c>
      <c r="C480" s="267"/>
      <c r="D480" s="268"/>
      <c r="E480" s="269"/>
      <c r="F480" s="287"/>
      <c r="G480" s="261"/>
      <c r="H480" s="287"/>
      <c r="I480" s="284"/>
    </row>
    <row r="481" spans="1:9" ht="12" hidden="1">
      <c r="A481" s="257"/>
      <c r="B481" s="550" t="s">
        <v>273</v>
      </c>
      <c r="C481" s="267">
        <f>SUM(D481:E481)</f>
        <v>0</v>
      </c>
      <c r="D481" s="268">
        <f>F481+H481</f>
        <v>0</v>
      </c>
      <c r="E481" s="269"/>
      <c r="F481" s="287"/>
      <c r="G481" s="261"/>
      <c r="H481" s="287"/>
      <c r="I481" s="284"/>
    </row>
    <row r="482" spans="1:9" ht="12">
      <c r="A482" s="257"/>
      <c r="B482" s="286" t="s">
        <v>262</v>
      </c>
      <c r="C482" s="267">
        <f>SUM(D482:E482)</f>
        <v>416588</v>
      </c>
      <c r="D482" s="268">
        <f>F482+H482</f>
        <v>416588</v>
      </c>
      <c r="E482" s="269"/>
      <c r="F482" s="287">
        <v>233954</v>
      </c>
      <c r="G482" s="261"/>
      <c r="H482" s="287">
        <v>182634</v>
      </c>
      <c r="I482" s="284"/>
    </row>
    <row r="483" spans="1:9" ht="15" customHeight="1">
      <c r="A483" s="312">
        <v>80195</v>
      </c>
      <c r="B483" s="434" t="s">
        <v>268</v>
      </c>
      <c r="C483" s="288">
        <f aca="true" t="shared" si="20" ref="C483:H483">SUM(C484)+C491</f>
        <v>12280826</v>
      </c>
      <c r="D483" s="191">
        <f t="shared" si="20"/>
        <v>11998326</v>
      </c>
      <c r="E483" s="191">
        <f t="shared" si="20"/>
        <v>282500</v>
      </c>
      <c r="F483" s="512">
        <f t="shared" si="20"/>
        <v>5475611</v>
      </c>
      <c r="G483" s="289">
        <f t="shared" si="20"/>
        <v>282500</v>
      </c>
      <c r="H483" s="290">
        <f t="shared" si="20"/>
        <v>6522715</v>
      </c>
      <c r="I483" s="193"/>
    </row>
    <row r="484" spans="1:9" ht="12">
      <c r="A484" s="443"/>
      <c r="B484" s="444" t="s">
        <v>261</v>
      </c>
      <c r="C484" s="411">
        <f aca="true" t="shared" si="21" ref="C484:H484">SUM(C485:C488)</f>
        <v>5111184</v>
      </c>
      <c r="D484" s="445">
        <f t="shared" si="21"/>
        <v>4828684</v>
      </c>
      <c r="E484" s="445">
        <f t="shared" si="21"/>
        <v>282500</v>
      </c>
      <c r="F484" s="551">
        <f t="shared" si="21"/>
        <v>2833559</v>
      </c>
      <c r="G484" s="446">
        <f t="shared" si="21"/>
        <v>282500</v>
      </c>
      <c r="H484" s="507">
        <f t="shared" si="21"/>
        <v>1995125</v>
      </c>
      <c r="I484" s="552"/>
    </row>
    <row r="485" spans="1:9" ht="12">
      <c r="A485" s="257"/>
      <c r="B485" s="266" t="s">
        <v>286</v>
      </c>
      <c r="C485" s="267">
        <f>SUM(D485:E485)</f>
        <v>997357</v>
      </c>
      <c r="D485" s="268">
        <f>F485+H485</f>
        <v>997357</v>
      </c>
      <c r="E485" s="269"/>
      <c r="F485" s="287">
        <v>618966</v>
      </c>
      <c r="G485" s="261"/>
      <c r="H485" s="287">
        <v>378391</v>
      </c>
      <c r="I485" s="284"/>
    </row>
    <row r="486" spans="1:9" ht="10.5" customHeight="1">
      <c r="A486" s="257"/>
      <c r="B486" s="266" t="s">
        <v>287</v>
      </c>
      <c r="C486" s="267"/>
      <c r="D486" s="268"/>
      <c r="E486" s="269"/>
      <c r="F486" s="287"/>
      <c r="G486" s="261"/>
      <c r="H486" s="287"/>
      <c r="I486" s="284"/>
    </row>
    <row r="487" spans="1:9" ht="12">
      <c r="A487" s="257"/>
      <c r="B487" s="286" t="s">
        <v>273</v>
      </c>
      <c r="C487" s="267">
        <f>SUM(D487:E487)</f>
        <v>62000</v>
      </c>
      <c r="D487" s="268">
        <f>F487+H487</f>
        <v>62000</v>
      </c>
      <c r="E487" s="269"/>
      <c r="F487" s="287">
        <v>62000</v>
      </c>
      <c r="G487" s="269"/>
      <c r="H487" s="287"/>
      <c r="I487" s="284"/>
    </row>
    <row r="488" spans="1:9" ht="12.75" customHeight="1">
      <c r="A488" s="257"/>
      <c r="B488" s="286" t="s">
        <v>262</v>
      </c>
      <c r="C488" s="267">
        <f>SUM(D488:E488)</f>
        <v>4051827</v>
      </c>
      <c r="D488" s="268">
        <f>F488+H488</f>
        <v>3769327</v>
      </c>
      <c r="E488" s="269">
        <f>G488+I488</f>
        <v>282500</v>
      </c>
      <c r="F488" s="287">
        <v>2152593</v>
      </c>
      <c r="G488" s="269">
        <f>2500+280000</f>
        <v>282500</v>
      </c>
      <c r="H488" s="287">
        <v>1616734</v>
      </c>
      <c r="I488" s="284"/>
    </row>
    <row r="489" spans="1:9" ht="12.75" customHeight="1">
      <c r="A489" s="257"/>
      <c r="B489" s="460" t="s">
        <v>299</v>
      </c>
      <c r="C489" s="344">
        <f>SUM(D489:E489)</f>
        <v>282500</v>
      </c>
      <c r="D489" s="345"/>
      <c r="E489" s="346">
        <f>G489+I489</f>
        <v>282500</v>
      </c>
      <c r="F489" s="287"/>
      <c r="G489" s="346">
        <f>2500+280000</f>
        <v>282500</v>
      </c>
      <c r="H489" s="287"/>
      <c r="I489" s="284"/>
    </row>
    <row r="490" spans="1:9" ht="12" customHeight="1">
      <c r="A490" s="257"/>
      <c r="B490" s="286" t="s">
        <v>289</v>
      </c>
      <c r="C490" s="267">
        <f>SUM(D490:E490)</f>
        <v>30000</v>
      </c>
      <c r="D490" s="268">
        <f>F490+H490</f>
        <v>30000</v>
      </c>
      <c r="E490" s="269"/>
      <c r="F490" s="287">
        <v>26000</v>
      </c>
      <c r="G490" s="261"/>
      <c r="H490" s="287">
        <v>4000</v>
      </c>
      <c r="I490" s="284"/>
    </row>
    <row r="491" spans="1:9" ht="14.25" customHeight="1">
      <c r="A491" s="257"/>
      <c r="B491" s="258" t="s">
        <v>257</v>
      </c>
      <c r="C491" s="259">
        <f>SUM(C492:C493)</f>
        <v>7169642</v>
      </c>
      <c r="D491" s="260">
        <f>SUM(D492:D493)</f>
        <v>7169642</v>
      </c>
      <c r="E491" s="261"/>
      <c r="F491" s="283">
        <f>SUM(F492:F493)</f>
        <v>2642052</v>
      </c>
      <c r="G491" s="261"/>
      <c r="H491" s="283">
        <f>SUM(H492:H493)</f>
        <v>4527590</v>
      </c>
      <c r="I491" s="284"/>
    </row>
    <row r="492" spans="1:9" s="273" customFormat="1" ht="13.5" customHeight="1">
      <c r="A492" s="265"/>
      <c r="B492" s="266" t="s">
        <v>270</v>
      </c>
      <c r="C492" s="267">
        <f>SUM(D492:E492)</f>
        <v>6919642</v>
      </c>
      <c r="D492" s="268">
        <f>F492+H492</f>
        <v>6919642</v>
      </c>
      <c r="E492" s="269"/>
      <c r="F492" s="287">
        <v>2392052</v>
      </c>
      <c r="G492" s="269"/>
      <c r="H492" s="287">
        <v>4527590</v>
      </c>
      <c r="I492" s="291"/>
    </row>
    <row r="493" spans="1:9" ht="12" customHeight="1" thickBot="1">
      <c r="A493" s="257"/>
      <c r="B493" s="266" t="s">
        <v>258</v>
      </c>
      <c r="C493" s="267">
        <f>SUM(D493:E493)</f>
        <v>250000</v>
      </c>
      <c r="D493" s="268">
        <f>F493+H493</f>
        <v>250000</v>
      </c>
      <c r="E493" s="269"/>
      <c r="F493" s="287">
        <v>250000</v>
      </c>
      <c r="G493" s="261"/>
      <c r="H493" s="287"/>
      <c r="I493" s="284"/>
    </row>
    <row r="494" spans="1:9" ht="26.25" customHeight="1" thickBot="1" thickTop="1">
      <c r="A494" s="478">
        <v>803</v>
      </c>
      <c r="B494" s="518" t="s">
        <v>343</v>
      </c>
      <c r="C494" s="553">
        <f>SUM(C495+C499)</f>
        <v>730000</v>
      </c>
      <c r="D494" s="554">
        <f>SUM(D495+D499)</f>
        <v>730000</v>
      </c>
      <c r="E494" s="555"/>
      <c r="F494" s="255">
        <f>SUM(F495+F499)</f>
        <v>730000</v>
      </c>
      <c r="G494" s="254"/>
      <c r="H494" s="255"/>
      <c r="I494" s="200"/>
    </row>
    <row r="495" spans="1:9" ht="25.5" customHeight="1" thickTop="1">
      <c r="A495" s="312">
        <v>80309</v>
      </c>
      <c r="B495" s="434" t="s">
        <v>344</v>
      </c>
      <c r="C495" s="288">
        <f>SUM(C496)</f>
        <v>18000</v>
      </c>
      <c r="D495" s="191">
        <f>SUM(D496)</f>
        <v>18000</v>
      </c>
      <c r="E495" s="289"/>
      <c r="F495" s="290">
        <f>SUM(F496)</f>
        <v>18000</v>
      </c>
      <c r="G495" s="289"/>
      <c r="H495" s="290"/>
      <c r="I495" s="193"/>
    </row>
    <row r="496" spans="1:9" ht="12.75">
      <c r="A496" s="257"/>
      <c r="B496" s="282" t="s">
        <v>261</v>
      </c>
      <c r="C496" s="259">
        <f>SUM(C497:C498)</f>
        <v>18000</v>
      </c>
      <c r="D496" s="260">
        <f>F496+H496</f>
        <v>18000</v>
      </c>
      <c r="E496" s="261"/>
      <c r="F496" s="262">
        <f>SUM(F497:F498)</f>
        <v>18000</v>
      </c>
      <c r="G496" s="263"/>
      <c r="H496" s="262"/>
      <c r="I496" s="264"/>
    </row>
    <row r="497" spans="1:9" ht="12" customHeight="1">
      <c r="A497" s="257"/>
      <c r="B497" s="286" t="s">
        <v>273</v>
      </c>
      <c r="C497" s="267">
        <f>SUM(D497:E497)</f>
        <v>18000</v>
      </c>
      <c r="D497" s="268">
        <f>F497+H497</f>
        <v>18000</v>
      </c>
      <c r="E497" s="269"/>
      <c r="F497" s="287">
        <v>18000</v>
      </c>
      <c r="G497" s="263"/>
      <c r="H497" s="262"/>
      <c r="I497" s="264"/>
    </row>
    <row r="498" spans="1:9" ht="13.5" customHeight="1" hidden="1">
      <c r="A498" s="381"/>
      <c r="B498" s="397" t="s">
        <v>262</v>
      </c>
      <c r="C498" s="382">
        <f>SUM(D498:E498)</f>
        <v>0</v>
      </c>
      <c r="D498" s="383">
        <f>F498+H498</f>
        <v>0</v>
      </c>
      <c r="E498" s="384"/>
      <c r="F498" s="385">
        <v>0</v>
      </c>
      <c r="G498" s="453"/>
      <c r="H498" s="385"/>
      <c r="I498" s="532"/>
    </row>
    <row r="499" spans="1:9" ht="12">
      <c r="A499" s="312">
        <v>80395</v>
      </c>
      <c r="B499" s="434" t="s">
        <v>268</v>
      </c>
      <c r="C499" s="288">
        <f>SUM(D499:E499)</f>
        <v>712000</v>
      </c>
      <c r="D499" s="191">
        <f>D500+D503</f>
        <v>712000</v>
      </c>
      <c r="E499" s="289"/>
      <c r="F499" s="290">
        <f>F500+F503</f>
        <v>712000</v>
      </c>
      <c r="G499" s="289"/>
      <c r="H499" s="290"/>
      <c r="I499" s="193"/>
    </row>
    <row r="500" spans="1:9" ht="12.75">
      <c r="A500" s="257"/>
      <c r="B500" s="282" t="s">
        <v>261</v>
      </c>
      <c r="C500" s="259">
        <f>SUM(C501:C502)</f>
        <v>212000</v>
      </c>
      <c r="D500" s="260">
        <f>F500+H500</f>
        <v>212000</v>
      </c>
      <c r="E500" s="261"/>
      <c r="F500" s="262">
        <f>SUM(F501:F502)</f>
        <v>212000</v>
      </c>
      <c r="G500" s="263"/>
      <c r="H500" s="262"/>
      <c r="I500" s="264"/>
    </row>
    <row r="501" spans="1:9" ht="12" customHeight="1">
      <c r="A501" s="257"/>
      <c r="B501" s="286" t="s">
        <v>273</v>
      </c>
      <c r="C501" s="267">
        <f>SUM(D501:E501)</f>
        <v>200000</v>
      </c>
      <c r="D501" s="268">
        <f>F501+H501</f>
        <v>200000</v>
      </c>
      <c r="E501" s="269"/>
      <c r="F501" s="287">
        <v>200000</v>
      </c>
      <c r="G501" s="261"/>
      <c r="H501" s="287"/>
      <c r="I501" s="284"/>
    </row>
    <row r="502" spans="1:9" ht="12" customHeight="1">
      <c r="A502" s="381"/>
      <c r="B502" s="397" t="s">
        <v>262</v>
      </c>
      <c r="C502" s="382">
        <f>SUM(D502:E502)</f>
        <v>12000</v>
      </c>
      <c r="D502" s="383">
        <f>F502+H502</f>
        <v>12000</v>
      </c>
      <c r="E502" s="384"/>
      <c r="F502" s="385">
        <v>12000</v>
      </c>
      <c r="G502" s="453"/>
      <c r="H502" s="385"/>
      <c r="I502" s="532"/>
    </row>
    <row r="503" spans="1:9" s="372" customFormat="1" ht="10.5" customHeight="1">
      <c r="A503" s="300"/>
      <c r="B503" s="556" t="s">
        <v>257</v>
      </c>
      <c r="C503" s="509">
        <f>C504+C506</f>
        <v>500000</v>
      </c>
      <c r="D503" s="557">
        <f>D504+D506</f>
        <v>500000</v>
      </c>
      <c r="E503" s="558"/>
      <c r="F503" s="306">
        <f>F504+F506</f>
        <v>500000</v>
      </c>
      <c r="G503" s="559"/>
      <c r="H503" s="560"/>
      <c r="I503" s="307"/>
    </row>
    <row r="504" spans="1:9" ht="12" customHeight="1" hidden="1">
      <c r="A504" s="257"/>
      <c r="B504" s="266" t="s">
        <v>270</v>
      </c>
      <c r="C504" s="267">
        <f>SUM(D504:E504)</f>
        <v>0</v>
      </c>
      <c r="D504" s="313">
        <f>F504</f>
        <v>0</v>
      </c>
      <c r="E504" s="269"/>
      <c r="F504" s="287">
        <v>0</v>
      </c>
      <c r="G504" s="561"/>
      <c r="H504" s="314"/>
      <c r="I504" s="284"/>
    </row>
    <row r="505" spans="1:9" s="372" customFormat="1" ht="12" customHeight="1" hidden="1">
      <c r="A505" s="300"/>
      <c r="B505" s="562" t="s">
        <v>274</v>
      </c>
      <c r="C505" s="509">
        <f>SUM(D505:E505)</f>
        <v>0</v>
      </c>
      <c r="D505" s="557">
        <f>F505</f>
        <v>0</v>
      </c>
      <c r="E505" s="558"/>
      <c r="F505" s="306">
        <v>0</v>
      </c>
      <c r="G505" s="559"/>
      <c r="H505" s="560"/>
      <c r="I505" s="307"/>
    </row>
    <row r="506" spans="1:9" s="372" customFormat="1" ht="12" customHeight="1">
      <c r="A506" s="300"/>
      <c r="B506" s="315" t="s">
        <v>275</v>
      </c>
      <c r="C506" s="267">
        <f>SUM(D506:E506)</f>
        <v>500000</v>
      </c>
      <c r="D506" s="313">
        <f>F506</f>
        <v>500000</v>
      </c>
      <c r="E506" s="269"/>
      <c r="F506" s="287">
        <v>500000</v>
      </c>
      <c r="G506" s="559"/>
      <c r="H506" s="560"/>
      <c r="I506" s="307"/>
    </row>
    <row r="507" spans="1:9" s="256" customFormat="1" ht="17.25" customHeight="1" thickBot="1">
      <c r="A507" s="494">
        <v>851</v>
      </c>
      <c r="B507" s="563" t="s">
        <v>160</v>
      </c>
      <c r="C507" s="495">
        <f>SUM(C533+C539+C561+C522+C555+C517)</f>
        <v>4200531</v>
      </c>
      <c r="D507" s="564">
        <f>SUM(D533+D539+D561+D522+D517)</f>
        <v>4190631</v>
      </c>
      <c r="E507" s="497">
        <f>SUM(E533+E539+E561+E522+E555+E517)</f>
        <v>9900</v>
      </c>
      <c r="F507" s="499">
        <f>SUM(F533+F539+F561+F522+F517)</f>
        <v>4190631</v>
      </c>
      <c r="G507" s="565"/>
      <c r="H507" s="498"/>
      <c r="I507" s="500">
        <f>SUM(I533+I539+I548+I561+I555+I522+I526+I552)</f>
        <v>9900</v>
      </c>
    </row>
    <row r="508" spans="1:9" s="256" customFormat="1" ht="13.5" thickTop="1">
      <c r="A508" s="317"/>
      <c r="B508" s="318" t="s">
        <v>261</v>
      </c>
      <c r="C508" s="319">
        <f>D508+E508</f>
        <v>3916121</v>
      </c>
      <c r="D508" s="201">
        <f>F508+H508</f>
        <v>3906221</v>
      </c>
      <c r="E508" s="321">
        <f>G508+I508</f>
        <v>9900</v>
      </c>
      <c r="F508" s="322">
        <f>F518+F523+F534+F540+F556+F562</f>
        <v>3906221</v>
      </c>
      <c r="G508" s="468"/>
      <c r="H508" s="324"/>
      <c r="I508" s="325">
        <f>I518+I523+I534+I540+I556+I562</f>
        <v>9900</v>
      </c>
    </row>
    <row r="509" spans="1:9" ht="12.75">
      <c r="A509" s="257"/>
      <c r="B509" s="266" t="s">
        <v>286</v>
      </c>
      <c r="C509" s="327">
        <f>SUM(D509:E509)</f>
        <v>60000</v>
      </c>
      <c r="D509" s="328">
        <f>F509+H509</f>
        <v>60000</v>
      </c>
      <c r="E509" s="271"/>
      <c r="F509" s="270">
        <f>F541</f>
        <v>60000</v>
      </c>
      <c r="G509" s="261"/>
      <c r="H509" s="287"/>
      <c r="I509" s="284"/>
    </row>
    <row r="510" spans="1:9" ht="10.5" customHeight="1">
      <c r="A510" s="257"/>
      <c r="B510" s="266" t="s">
        <v>287</v>
      </c>
      <c r="C510" s="327"/>
      <c r="D510" s="328"/>
      <c r="E510" s="271"/>
      <c r="F510" s="270"/>
      <c r="G510" s="261"/>
      <c r="H510" s="287"/>
      <c r="I510" s="284"/>
    </row>
    <row r="511" spans="1:9" s="415" customFormat="1" ht="12.75">
      <c r="A511" s="412"/>
      <c r="B511" s="286" t="s">
        <v>273</v>
      </c>
      <c r="C511" s="416">
        <f aca="true" t="shared" si="22" ref="C511:C521">D511+E511</f>
        <v>1044000</v>
      </c>
      <c r="D511" s="437">
        <f aca="true" t="shared" si="23" ref="D511:D521">F511+H511</f>
        <v>1044000</v>
      </c>
      <c r="E511" s="271"/>
      <c r="F511" s="329">
        <f>F519+F524+F535+F543+F563</f>
        <v>1044000</v>
      </c>
      <c r="G511" s="566"/>
      <c r="H511" s="287"/>
      <c r="I511" s="291"/>
    </row>
    <row r="512" spans="1:9" s="415" customFormat="1" ht="10.5" customHeight="1">
      <c r="A512" s="412"/>
      <c r="B512" s="539" t="s">
        <v>262</v>
      </c>
      <c r="C512" s="416">
        <f t="shared" si="22"/>
        <v>2812121</v>
      </c>
      <c r="D512" s="437">
        <f t="shared" si="23"/>
        <v>2802221</v>
      </c>
      <c r="E512" s="271">
        <f>G512+I512</f>
        <v>9900</v>
      </c>
      <c r="F512" s="329">
        <f>F525+F536+F544+F559+F564</f>
        <v>2802221</v>
      </c>
      <c r="G512" s="566"/>
      <c r="H512" s="287"/>
      <c r="I512" s="291">
        <f>I525+I536+I544+I559+I564</f>
        <v>9900</v>
      </c>
    </row>
    <row r="513" spans="1:9" s="415" customFormat="1" ht="10.5" customHeight="1">
      <c r="A513" s="412"/>
      <c r="B513" s="522" t="s">
        <v>289</v>
      </c>
      <c r="C513" s="416">
        <f t="shared" si="22"/>
        <v>400838</v>
      </c>
      <c r="D513" s="437">
        <f t="shared" si="23"/>
        <v>400838</v>
      </c>
      <c r="E513" s="271"/>
      <c r="F513" s="329">
        <f>F545+F565</f>
        <v>400838</v>
      </c>
      <c r="G513" s="566"/>
      <c r="H513" s="287"/>
      <c r="I513" s="291"/>
    </row>
    <row r="514" spans="1:9" s="256" customFormat="1" ht="12.75" customHeight="1">
      <c r="A514" s="317"/>
      <c r="B514" s="567" t="s">
        <v>257</v>
      </c>
      <c r="C514" s="319">
        <f t="shared" si="22"/>
        <v>284410</v>
      </c>
      <c r="D514" s="201">
        <f t="shared" si="23"/>
        <v>284410</v>
      </c>
      <c r="E514" s="321"/>
      <c r="F514" s="322">
        <f>F552+F566+F546+F537</f>
        <v>284410</v>
      </c>
      <c r="G514" s="472"/>
      <c r="H514" s="337"/>
      <c r="I514" s="338"/>
    </row>
    <row r="515" spans="1:9" s="415" customFormat="1" ht="12.75" customHeight="1">
      <c r="A515" s="412"/>
      <c r="B515" s="286" t="s">
        <v>270</v>
      </c>
      <c r="C515" s="327">
        <f t="shared" si="22"/>
        <v>159590</v>
      </c>
      <c r="D515" s="437">
        <f t="shared" si="23"/>
        <v>159590</v>
      </c>
      <c r="E515" s="271"/>
      <c r="F515" s="270">
        <f>F553+F567+F547</f>
        <v>159590</v>
      </c>
      <c r="G515" s="566"/>
      <c r="H515" s="287"/>
      <c r="I515" s="291"/>
    </row>
    <row r="516" spans="1:9" s="415" customFormat="1" ht="16.5" customHeight="1" hidden="1">
      <c r="A516" s="526"/>
      <c r="B516" s="315" t="s">
        <v>258</v>
      </c>
      <c r="C516" s="327">
        <f t="shared" si="22"/>
        <v>0</v>
      </c>
      <c r="D516" s="437">
        <f t="shared" si="23"/>
        <v>0</v>
      </c>
      <c r="E516" s="398"/>
      <c r="F516" s="399">
        <f>F538</f>
        <v>0</v>
      </c>
      <c r="G516" s="569"/>
      <c r="H516" s="385"/>
      <c r="I516" s="392"/>
    </row>
    <row r="517" spans="1:9" ht="10.5" customHeight="1" hidden="1">
      <c r="A517" s="360">
        <v>85111</v>
      </c>
      <c r="B517" s="428" t="s">
        <v>345</v>
      </c>
      <c r="C517" s="327">
        <f t="shared" si="22"/>
        <v>0</v>
      </c>
      <c r="D517" s="437">
        <f t="shared" si="23"/>
        <v>0</v>
      </c>
      <c r="E517" s="431"/>
      <c r="F517" s="432">
        <f>SUM(F518)</f>
        <v>0</v>
      </c>
      <c r="G517" s="431"/>
      <c r="H517" s="432"/>
      <c r="I517" s="433"/>
    </row>
    <row r="518" spans="1:9" ht="13.5" customHeight="1" hidden="1">
      <c r="A518" s="257"/>
      <c r="B518" s="282" t="s">
        <v>261</v>
      </c>
      <c r="C518" s="327">
        <f t="shared" si="22"/>
        <v>0</v>
      </c>
      <c r="D518" s="437">
        <f t="shared" si="23"/>
        <v>0</v>
      </c>
      <c r="E518" s="261"/>
      <c r="F518" s="262">
        <f>SUM(F519)</f>
        <v>0</v>
      </c>
      <c r="G518" s="263"/>
      <c r="H518" s="262"/>
      <c r="I518" s="264"/>
    </row>
    <row r="519" spans="1:9" ht="11.25" customHeight="1" hidden="1" thickBot="1">
      <c r="A519" s="257"/>
      <c r="B519" s="286" t="s">
        <v>273</v>
      </c>
      <c r="C519" s="327">
        <f t="shared" si="22"/>
        <v>0</v>
      </c>
      <c r="D519" s="437">
        <f t="shared" si="23"/>
        <v>0</v>
      </c>
      <c r="E519" s="269"/>
      <c r="F519" s="287">
        <v>0</v>
      </c>
      <c r="G519" s="261"/>
      <c r="H519" s="287"/>
      <c r="I519" s="284"/>
    </row>
    <row r="520" spans="1:9" ht="11.25" customHeight="1">
      <c r="A520" s="257"/>
      <c r="B520" s="258" t="s">
        <v>274</v>
      </c>
      <c r="C520" s="327">
        <f t="shared" si="22"/>
        <v>36000</v>
      </c>
      <c r="D520" s="437">
        <f t="shared" si="23"/>
        <v>36000</v>
      </c>
      <c r="E520" s="269"/>
      <c r="F520" s="287">
        <f>F568</f>
        <v>36000</v>
      </c>
      <c r="G520" s="261"/>
      <c r="H520" s="287"/>
      <c r="I520" s="284"/>
    </row>
    <row r="521" spans="1:9" ht="11.25" customHeight="1" thickBot="1">
      <c r="A521" s="257"/>
      <c r="B521" s="315" t="s">
        <v>258</v>
      </c>
      <c r="C521" s="327">
        <f t="shared" si="22"/>
        <v>124820</v>
      </c>
      <c r="D521" s="437">
        <f t="shared" si="23"/>
        <v>124820</v>
      </c>
      <c r="E521" s="269"/>
      <c r="F521" s="287">
        <f>F554+F569</f>
        <v>124820</v>
      </c>
      <c r="G521" s="261"/>
      <c r="H521" s="287"/>
      <c r="I521" s="284"/>
    </row>
    <row r="522" spans="1:9" s="281" customFormat="1" ht="25.5" customHeight="1" thickTop="1">
      <c r="A522" s="570">
        <v>85149</v>
      </c>
      <c r="B522" s="571" t="s">
        <v>346</v>
      </c>
      <c r="C522" s="572">
        <f>SUM(C523)</f>
        <v>652000</v>
      </c>
      <c r="D522" s="573">
        <f>SUM(D523)</f>
        <v>652000</v>
      </c>
      <c r="E522" s="574"/>
      <c r="F522" s="575">
        <f>SUM(F523)</f>
        <v>652000</v>
      </c>
      <c r="G522" s="574"/>
      <c r="H522" s="575"/>
      <c r="I522" s="576"/>
    </row>
    <row r="523" spans="1:9" ht="12" customHeight="1">
      <c r="A523" s="257"/>
      <c r="B523" s="282" t="s">
        <v>261</v>
      </c>
      <c r="C523" s="259">
        <f>SUM(C524:C525)</f>
        <v>652000</v>
      </c>
      <c r="D523" s="260">
        <f>SUM(D524:D525)</f>
        <v>652000</v>
      </c>
      <c r="E523" s="261"/>
      <c r="F523" s="262">
        <f>SUM(F524:F525)</f>
        <v>652000</v>
      </c>
      <c r="G523" s="263"/>
      <c r="H523" s="262"/>
      <c r="I523" s="264"/>
    </row>
    <row r="524" spans="1:9" ht="9.75" customHeight="1" hidden="1">
      <c r="A524" s="257"/>
      <c r="B524" s="286" t="s">
        <v>273</v>
      </c>
      <c r="C524" s="267">
        <f>SUM(D524:E524)</f>
        <v>0</v>
      </c>
      <c r="D524" s="268">
        <f>F524+H524</f>
        <v>0</v>
      </c>
      <c r="E524" s="269"/>
      <c r="F524" s="287"/>
      <c r="G524" s="261"/>
      <c r="H524" s="287"/>
      <c r="I524" s="284"/>
    </row>
    <row r="525" spans="1:9" ht="12" customHeight="1">
      <c r="A525" s="381"/>
      <c r="B525" s="397" t="s">
        <v>262</v>
      </c>
      <c r="C525" s="382">
        <f>SUM(D525:E525)</f>
        <v>652000</v>
      </c>
      <c r="D525" s="383">
        <f>F525+H525</f>
        <v>652000</v>
      </c>
      <c r="E525" s="384"/>
      <c r="F525" s="385">
        <v>652000</v>
      </c>
      <c r="G525" s="453"/>
      <c r="H525" s="385"/>
      <c r="I525" s="532"/>
    </row>
    <row r="526" spans="1:9" ht="12" hidden="1">
      <c r="A526" s="312">
        <v>85132</v>
      </c>
      <c r="B526" s="434" t="s">
        <v>347</v>
      </c>
      <c r="C526" s="288">
        <f>SUM(C527+C531)</f>
        <v>0</v>
      </c>
      <c r="D526" s="191"/>
      <c r="E526" s="289">
        <f>SUM(E527+E531)</f>
        <v>0</v>
      </c>
      <c r="F526" s="290"/>
      <c r="G526" s="289"/>
      <c r="H526" s="290"/>
      <c r="I526" s="193">
        <f>SUM(I527+I531)</f>
        <v>0</v>
      </c>
    </row>
    <row r="527" spans="1:9" ht="12.75" hidden="1">
      <c r="A527" s="257"/>
      <c r="B527" s="282" t="s">
        <v>261</v>
      </c>
      <c r="C527" s="416">
        <f>SUM(C528:C530)</f>
        <v>0</v>
      </c>
      <c r="D527" s="417"/>
      <c r="E527" s="263">
        <f>SUM(E528:E530)</f>
        <v>0</v>
      </c>
      <c r="F527" s="262"/>
      <c r="G527" s="263"/>
      <c r="H527" s="262"/>
      <c r="I527" s="264">
        <f>SUM(I528:I530)</f>
        <v>0</v>
      </c>
    </row>
    <row r="528" spans="1:9" s="273" customFormat="1" ht="12.75" hidden="1">
      <c r="A528" s="265"/>
      <c r="B528" s="266" t="s">
        <v>286</v>
      </c>
      <c r="C528" s="267">
        <f>SUM(D528:E528)</f>
        <v>0</v>
      </c>
      <c r="D528" s="268"/>
      <c r="E528" s="269">
        <f>G528+I528</f>
        <v>0</v>
      </c>
      <c r="F528" s="270"/>
      <c r="G528" s="271"/>
      <c r="H528" s="270"/>
      <c r="I528" s="272">
        <v>0</v>
      </c>
    </row>
    <row r="529" spans="1:9" s="273" customFormat="1" ht="12.75" hidden="1">
      <c r="A529" s="265"/>
      <c r="B529" s="266" t="s">
        <v>287</v>
      </c>
      <c r="C529" s="267"/>
      <c r="D529" s="268"/>
      <c r="E529" s="269"/>
      <c r="F529" s="270"/>
      <c r="G529" s="271"/>
      <c r="H529" s="270"/>
      <c r="I529" s="272"/>
    </row>
    <row r="530" spans="1:9" ht="12.75" hidden="1">
      <c r="A530" s="257"/>
      <c r="B530" s="286" t="s">
        <v>262</v>
      </c>
      <c r="C530" s="267">
        <f>SUM(D530:E530)</f>
        <v>0</v>
      </c>
      <c r="D530" s="268"/>
      <c r="E530" s="269">
        <f>G530+I530</f>
        <v>0</v>
      </c>
      <c r="F530" s="270"/>
      <c r="G530" s="263"/>
      <c r="H530" s="270"/>
      <c r="I530" s="272">
        <v>0</v>
      </c>
    </row>
    <row r="531" spans="1:9" ht="12.75" hidden="1">
      <c r="A531" s="257"/>
      <c r="B531" s="258" t="s">
        <v>324</v>
      </c>
      <c r="C531" s="259">
        <f>SUM(C532)</f>
        <v>0</v>
      </c>
      <c r="D531" s="260"/>
      <c r="E531" s="261">
        <f>G531+I531</f>
        <v>0</v>
      </c>
      <c r="F531" s="262"/>
      <c r="G531" s="263"/>
      <c r="H531" s="262"/>
      <c r="I531" s="264">
        <f>SUM(I532)</f>
        <v>0</v>
      </c>
    </row>
    <row r="532" spans="1:9" s="273" customFormat="1" ht="12.75" hidden="1">
      <c r="A532" s="265"/>
      <c r="B532" s="266" t="s">
        <v>270</v>
      </c>
      <c r="C532" s="267">
        <f>SUM(D532:E532)</f>
        <v>0</v>
      </c>
      <c r="D532" s="268"/>
      <c r="E532" s="269">
        <f>G532+I532</f>
        <v>0</v>
      </c>
      <c r="F532" s="270"/>
      <c r="G532" s="271"/>
      <c r="H532" s="270"/>
      <c r="I532" s="272">
        <v>0</v>
      </c>
    </row>
    <row r="533" spans="1:9" s="281" customFormat="1" ht="15" customHeight="1">
      <c r="A533" s="312">
        <v>85153</v>
      </c>
      <c r="B533" s="434" t="s">
        <v>348</v>
      </c>
      <c r="C533" s="288">
        <f>C534+C537</f>
        <v>150000</v>
      </c>
      <c r="D533" s="191">
        <f>D534+D537</f>
        <v>150000</v>
      </c>
      <c r="E533" s="289"/>
      <c r="F533" s="536">
        <f>F534+F537</f>
        <v>150000</v>
      </c>
      <c r="G533" s="535"/>
      <c r="H533" s="536"/>
      <c r="I533" s="537"/>
    </row>
    <row r="534" spans="1:9" ht="13.5" customHeight="1">
      <c r="A534" s="257"/>
      <c r="B534" s="282" t="s">
        <v>261</v>
      </c>
      <c r="C534" s="416">
        <f>SUM(C535:C536)</f>
        <v>150000</v>
      </c>
      <c r="D534" s="417">
        <f>SUM(D535:D536)</f>
        <v>150000</v>
      </c>
      <c r="E534" s="263"/>
      <c r="F534" s="262">
        <f>SUM(F535:F536)</f>
        <v>150000</v>
      </c>
      <c r="G534" s="263"/>
      <c r="H534" s="262"/>
      <c r="I534" s="264"/>
    </row>
    <row r="535" spans="1:9" s="273" customFormat="1" ht="14.25" customHeight="1">
      <c r="A535" s="265"/>
      <c r="B535" s="286" t="s">
        <v>273</v>
      </c>
      <c r="C535" s="267">
        <f>SUM(D535:E535)</f>
        <v>100000</v>
      </c>
      <c r="D535" s="268">
        <f>F535+H535</f>
        <v>100000</v>
      </c>
      <c r="E535" s="269"/>
      <c r="F535" s="287">
        <v>100000</v>
      </c>
      <c r="G535" s="269"/>
      <c r="H535" s="287"/>
      <c r="I535" s="291"/>
    </row>
    <row r="536" spans="1:9" ht="12.75" customHeight="1">
      <c r="A536" s="257"/>
      <c r="B536" s="286" t="s">
        <v>262</v>
      </c>
      <c r="C536" s="267">
        <f>SUM(D536:E536)</f>
        <v>50000</v>
      </c>
      <c r="D536" s="268">
        <f>F536+H536</f>
        <v>50000</v>
      </c>
      <c r="E536" s="269"/>
      <c r="F536" s="287">
        <v>50000</v>
      </c>
      <c r="G536" s="261"/>
      <c r="H536" s="287"/>
      <c r="I536" s="284"/>
    </row>
    <row r="537" spans="1:9" ht="12.75" customHeight="1" hidden="1">
      <c r="A537" s="257"/>
      <c r="B537" s="258" t="s">
        <v>257</v>
      </c>
      <c r="C537" s="259">
        <f>C538</f>
        <v>0</v>
      </c>
      <c r="D537" s="260">
        <f>D538</f>
        <v>0</v>
      </c>
      <c r="E537" s="261"/>
      <c r="F537" s="283">
        <f>F538</f>
        <v>0</v>
      </c>
      <c r="G537" s="261"/>
      <c r="H537" s="283"/>
      <c r="I537" s="284"/>
    </row>
    <row r="538" spans="1:9" ht="12.75" customHeight="1" hidden="1">
      <c r="A538" s="381"/>
      <c r="B538" s="266" t="s">
        <v>258</v>
      </c>
      <c r="C538" s="267">
        <f>SUM(D538:E538)</f>
        <v>0</v>
      </c>
      <c r="D538" s="268">
        <f>F538+H538</f>
        <v>0</v>
      </c>
      <c r="E538" s="384"/>
      <c r="F538" s="385"/>
      <c r="G538" s="453"/>
      <c r="H538" s="385"/>
      <c r="I538" s="532"/>
    </row>
    <row r="539" spans="1:9" ht="25.5" customHeight="1">
      <c r="A539" s="312">
        <v>85154</v>
      </c>
      <c r="B539" s="434" t="s">
        <v>349</v>
      </c>
      <c r="C539" s="288">
        <f>C540+C546</f>
        <v>2709731</v>
      </c>
      <c r="D539" s="191">
        <f>D540+D546</f>
        <v>2709731</v>
      </c>
      <c r="E539" s="289"/>
      <c r="F539" s="290">
        <f>F540+F546</f>
        <v>2709731</v>
      </c>
      <c r="G539" s="289"/>
      <c r="H539" s="290"/>
      <c r="I539" s="193"/>
    </row>
    <row r="540" spans="1:9" ht="12" customHeight="1">
      <c r="A540" s="257"/>
      <c r="B540" s="282" t="s">
        <v>261</v>
      </c>
      <c r="C540" s="416">
        <f>SUM(C541:C544)</f>
        <v>2471321</v>
      </c>
      <c r="D540" s="417">
        <f>SUM(D541:D544)</f>
        <v>2471321</v>
      </c>
      <c r="E540" s="263"/>
      <c r="F540" s="262">
        <f>F541+F543+F544</f>
        <v>2471321</v>
      </c>
      <c r="G540" s="263"/>
      <c r="H540" s="262"/>
      <c r="I540" s="264"/>
    </row>
    <row r="541" spans="1:9" ht="12">
      <c r="A541" s="257"/>
      <c r="B541" s="266" t="s">
        <v>286</v>
      </c>
      <c r="C541" s="267">
        <f>SUM(D541:E541)</f>
        <v>60000</v>
      </c>
      <c r="D541" s="268">
        <f>F541+H541</f>
        <v>60000</v>
      </c>
      <c r="E541" s="269"/>
      <c r="F541" s="287">
        <v>60000</v>
      </c>
      <c r="G541" s="261"/>
      <c r="H541" s="287"/>
      <c r="I541" s="284"/>
    </row>
    <row r="542" spans="1:9" ht="12" customHeight="1">
      <c r="A542" s="257"/>
      <c r="B542" s="266" t="s">
        <v>287</v>
      </c>
      <c r="C542" s="267"/>
      <c r="D542" s="268"/>
      <c r="E542" s="269"/>
      <c r="F542" s="287"/>
      <c r="G542" s="261"/>
      <c r="H542" s="287"/>
      <c r="I542" s="284"/>
    </row>
    <row r="543" spans="1:9" s="273" customFormat="1" ht="11.25" customHeight="1">
      <c r="A543" s="265"/>
      <c r="B543" s="286" t="s">
        <v>273</v>
      </c>
      <c r="C543" s="267">
        <f>SUM(D543:E543)</f>
        <v>800000</v>
      </c>
      <c r="D543" s="268">
        <f>F543+H543</f>
        <v>800000</v>
      </c>
      <c r="E543" s="269"/>
      <c r="F543" s="287">
        <v>800000</v>
      </c>
      <c r="G543" s="269"/>
      <c r="H543" s="287"/>
      <c r="I543" s="291"/>
    </row>
    <row r="544" spans="1:9" ht="14.25" customHeight="1">
      <c r="A544" s="257"/>
      <c r="B544" s="286" t="s">
        <v>262</v>
      </c>
      <c r="C544" s="267">
        <f>SUM(D544:E544)</f>
        <v>1611321</v>
      </c>
      <c r="D544" s="268">
        <f>F544+H544</f>
        <v>1611321</v>
      </c>
      <c r="E544" s="269"/>
      <c r="F544" s="287">
        <v>1611321</v>
      </c>
      <c r="G544" s="261"/>
      <c r="H544" s="287"/>
      <c r="I544" s="284"/>
    </row>
    <row r="545" spans="1:9" ht="12.75" customHeight="1">
      <c r="A545" s="257"/>
      <c r="B545" s="522" t="s">
        <v>289</v>
      </c>
      <c r="C545" s="267">
        <f>SUM(D545:E545)</f>
        <v>364838</v>
      </c>
      <c r="D545" s="268">
        <f>F545+H545</f>
        <v>364838</v>
      </c>
      <c r="E545" s="269"/>
      <c r="F545" s="287">
        <v>364838</v>
      </c>
      <c r="G545" s="261"/>
      <c r="H545" s="287"/>
      <c r="I545" s="284"/>
    </row>
    <row r="546" spans="1:9" ht="11.25" customHeight="1">
      <c r="A546" s="257"/>
      <c r="B546" s="577" t="s">
        <v>257</v>
      </c>
      <c r="C546" s="267">
        <f>SUM(C547:C554)</f>
        <v>238410</v>
      </c>
      <c r="D546" s="268">
        <f>SUM(D547:D554)</f>
        <v>238410</v>
      </c>
      <c r="E546" s="269"/>
      <c r="F546" s="287">
        <f>SUM(F547:F554)</f>
        <v>238410</v>
      </c>
      <c r="G546" s="261"/>
      <c r="H546" s="287"/>
      <c r="I546" s="284"/>
    </row>
    <row r="547" spans="1:9" ht="12" customHeight="1">
      <c r="A547" s="257"/>
      <c r="B547" s="2175" t="s">
        <v>270</v>
      </c>
      <c r="C547" s="267">
        <f>SUM(D547:E547)</f>
        <v>123590</v>
      </c>
      <c r="D547" s="268">
        <f>F547+H547</f>
        <v>123590</v>
      </c>
      <c r="E547" s="269"/>
      <c r="F547" s="287">
        <v>123590</v>
      </c>
      <c r="G547" s="261"/>
      <c r="H547" s="287"/>
      <c r="I547" s="284"/>
    </row>
    <row r="548" spans="1:9" ht="18" customHeight="1" hidden="1">
      <c r="A548" s="360">
        <v>85149</v>
      </c>
      <c r="B548" s="428" t="s">
        <v>346</v>
      </c>
      <c r="C548" s="267">
        <f aca="true" t="shared" si="24" ref="C548:C554">SUM(D548:E548)</f>
        <v>0</v>
      </c>
      <c r="D548" s="268">
        <f aca="true" t="shared" si="25" ref="D548:D554">F548+H548</f>
        <v>0</v>
      </c>
      <c r="E548" s="431"/>
      <c r="F548" s="432">
        <f>SUM(F549)</f>
        <v>0</v>
      </c>
      <c r="G548" s="364"/>
      <c r="H548" s="365"/>
      <c r="I548" s="366"/>
    </row>
    <row r="549" spans="1:9" ht="12.75" customHeight="1" hidden="1">
      <c r="A549" s="542"/>
      <c r="B549" s="543" t="s">
        <v>261</v>
      </c>
      <c r="C549" s="267">
        <f t="shared" si="24"/>
        <v>0</v>
      </c>
      <c r="D549" s="268">
        <f t="shared" si="25"/>
        <v>0</v>
      </c>
      <c r="E549" s="578"/>
      <c r="F549" s="546">
        <f>SUM(F550:F551)</f>
        <v>0</v>
      </c>
      <c r="G549" s="578"/>
      <c r="H549" s="546"/>
      <c r="I549" s="579"/>
    </row>
    <row r="550" spans="1:9" s="273" customFormat="1" ht="12.75" customHeight="1" hidden="1">
      <c r="A550" s="265"/>
      <c r="B550" s="286" t="s">
        <v>273</v>
      </c>
      <c r="C550" s="267">
        <f t="shared" si="24"/>
        <v>0</v>
      </c>
      <c r="D550" s="268">
        <f t="shared" si="25"/>
        <v>0</v>
      </c>
      <c r="E550" s="269"/>
      <c r="F550" s="270"/>
      <c r="G550" s="271"/>
      <c r="H550" s="270"/>
      <c r="I550" s="272"/>
    </row>
    <row r="551" spans="1:9" ht="13.5" customHeight="1" hidden="1">
      <c r="A551" s="257"/>
      <c r="B551" s="286" t="s">
        <v>262</v>
      </c>
      <c r="C551" s="267">
        <f t="shared" si="24"/>
        <v>0</v>
      </c>
      <c r="D551" s="268">
        <f t="shared" si="25"/>
        <v>0</v>
      </c>
      <c r="E551" s="269"/>
      <c r="F551" s="270"/>
      <c r="G551" s="263"/>
      <c r="H551" s="270"/>
      <c r="I551" s="264"/>
    </row>
    <row r="552" spans="1:9" s="281" customFormat="1" ht="12" customHeight="1" hidden="1">
      <c r="A552" s="257"/>
      <c r="B552" s="577" t="s">
        <v>257</v>
      </c>
      <c r="C552" s="267">
        <f t="shared" si="24"/>
        <v>0</v>
      </c>
      <c r="D552" s="268">
        <f t="shared" si="25"/>
        <v>0</v>
      </c>
      <c r="E552" s="261"/>
      <c r="F552" s="283">
        <f>F553</f>
        <v>0</v>
      </c>
      <c r="G552" s="261"/>
      <c r="H552" s="283"/>
      <c r="I552" s="284"/>
    </row>
    <row r="553" spans="1:9" ht="12" customHeight="1" hidden="1">
      <c r="A553" s="381"/>
      <c r="B553" s="397" t="s">
        <v>270</v>
      </c>
      <c r="C553" s="267">
        <f t="shared" si="24"/>
        <v>0</v>
      </c>
      <c r="D553" s="268">
        <f t="shared" si="25"/>
        <v>0</v>
      </c>
      <c r="E553" s="384"/>
      <c r="F553" s="385"/>
      <c r="G553" s="386"/>
      <c r="H553" s="399"/>
      <c r="I553" s="392"/>
    </row>
    <row r="554" spans="1:9" ht="12" customHeight="1">
      <c r="A554" s="381"/>
      <c r="B554" s="315" t="s">
        <v>258</v>
      </c>
      <c r="C554" s="267">
        <f t="shared" si="24"/>
        <v>114820</v>
      </c>
      <c r="D554" s="268">
        <f t="shared" si="25"/>
        <v>114820</v>
      </c>
      <c r="E554" s="384"/>
      <c r="F554" s="385">
        <v>114820</v>
      </c>
      <c r="G554" s="386"/>
      <c r="H554" s="399"/>
      <c r="I554" s="392"/>
    </row>
    <row r="555" spans="1:9" ht="96">
      <c r="A555" s="312">
        <v>85156</v>
      </c>
      <c r="B555" s="434" t="s">
        <v>350</v>
      </c>
      <c r="C555" s="288">
        <f>SUM(C556)</f>
        <v>9900</v>
      </c>
      <c r="D555" s="191"/>
      <c r="E555" s="289">
        <f>I555</f>
        <v>9900</v>
      </c>
      <c r="F555" s="290"/>
      <c r="G555" s="289"/>
      <c r="H555" s="290"/>
      <c r="I555" s="193">
        <f>I556</f>
        <v>9900</v>
      </c>
    </row>
    <row r="556" spans="1:9" ht="14.25" customHeight="1">
      <c r="A556" s="257"/>
      <c r="B556" s="282" t="s">
        <v>261</v>
      </c>
      <c r="C556" s="416">
        <f>SUM(C557:C559)</f>
        <v>9900</v>
      </c>
      <c r="D556" s="482"/>
      <c r="E556" s="417">
        <f>SUM(E557:E559)</f>
        <v>9900</v>
      </c>
      <c r="F556" s="262"/>
      <c r="G556" s="263"/>
      <c r="H556" s="262"/>
      <c r="I556" s="264">
        <f>I559+I558</f>
        <v>9900</v>
      </c>
    </row>
    <row r="557" spans="1:9" s="273" customFormat="1" ht="13.5" customHeight="1" hidden="1">
      <c r="A557" s="265"/>
      <c r="B557" s="266" t="s">
        <v>286</v>
      </c>
      <c r="C557" s="267"/>
      <c r="D557" s="268"/>
      <c r="E557" s="269"/>
      <c r="F557" s="287"/>
      <c r="G557" s="269"/>
      <c r="H557" s="287"/>
      <c r="I557" s="291"/>
    </row>
    <row r="558" spans="1:9" s="273" customFormat="1" ht="12" customHeight="1" hidden="1">
      <c r="A558" s="265"/>
      <c r="B558" s="266" t="s">
        <v>287</v>
      </c>
      <c r="C558" s="267"/>
      <c r="D558" s="268"/>
      <c r="E558" s="269"/>
      <c r="F558" s="287"/>
      <c r="G558" s="269"/>
      <c r="H558" s="287"/>
      <c r="I558" s="291"/>
    </row>
    <row r="559" spans="1:9" ht="12.75" customHeight="1">
      <c r="A559" s="381"/>
      <c r="B559" s="397" t="s">
        <v>262</v>
      </c>
      <c r="C559" s="382">
        <f>SUM(D559+E559)</f>
        <v>9900</v>
      </c>
      <c r="D559" s="383"/>
      <c r="E559" s="484">
        <f>I559+F559</f>
        <v>9900</v>
      </c>
      <c r="F559" s="385"/>
      <c r="G559" s="453"/>
      <c r="H559" s="385"/>
      <c r="I559" s="392">
        <v>9900</v>
      </c>
    </row>
    <row r="560" spans="1:9" ht="12.75" customHeight="1" hidden="1">
      <c r="A560" s="257"/>
      <c r="B560" s="286" t="s">
        <v>269</v>
      </c>
      <c r="C560" s="267">
        <f>SUM(D560:E560)</f>
        <v>0</v>
      </c>
      <c r="D560" s="268"/>
      <c r="E560" s="269"/>
      <c r="F560" s="287"/>
      <c r="G560" s="261"/>
      <c r="H560" s="287"/>
      <c r="I560" s="284"/>
    </row>
    <row r="561" spans="1:9" s="415" customFormat="1" ht="15" customHeight="1">
      <c r="A561" s="312">
        <v>85195</v>
      </c>
      <c r="B561" s="434" t="s">
        <v>268</v>
      </c>
      <c r="C561" s="288">
        <f>SUM(C562)+C566</f>
        <v>678900</v>
      </c>
      <c r="D561" s="191">
        <f>SUM(D562)+D566</f>
        <v>678900</v>
      </c>
      <c r="E561" s="289"/>
      <c r="F561" s="290">
        <f>SUM(F562)+F566</f>
        <v>678900</v>
      </c>
      <c r="G561" s="289"/>
      <c r="H561" s="290"/>
      <c r="I561" s="193"/>
    </row>
    <row r="562" spans="1:9" ht="13.5" customHeight="1">
      <c r="A562" s="257"/>
      <c r="B562" s="282" t="s">
        <v>261</v>
      </c>
      <c r="C562" s="416">
        <f>SUM(C563:C564)</f>
        <v>632900</v>
      </c>
      <c r="D562" s="417">
        <f>SUM(D563:D564)</f>
        <v>632900</v>
      </c>
      <c r="E562" s="263"/>
      <c r="F562" s="262">
        <f>SUM(F563:F564)</f>
        <v>632900</v>
      </c>
      <c r="G562" s="263"/>
      <c r="H562" s="262"/>
      <c r="I562" s="264"/>
    </row>
    <row r="563" spans="1:9" s="273" customFormat="1" ht="12" customHeight="1">
      <c r="A563" s="265"/>
      <c r="B563" s="286" t="s">
        <v>273</v>
      </c>
      <c r="C563" s="267">
        <f>SUM(D563:E563)</f>
        <v>144000</v>
      </c>
      <c r="D563" s="268">
        <f>F563+H563</f>
        <v>144000</v>
      </c>
      <c r="E563" s="269"/>
      <c r="F563" s="287">
        <v>144000</v>
      </c>
      <c r="G563" s="269"/>
      <c r="H563" s="287"/>
      <c r="I563" s="291"/>
    </row>
    <row r="564" spans="1:9" ht="12" customHeight="1">
      <c r="A564" s="257"/>
      <c r="B564" s="286" t="s">
        <v>262</v>
      </c>
      <c r="C564" s="267">
        <f>SUM(D564:E564)</f>
        <v>488900</v>
      </c>
      <c r="D564" s="268">
        <f>F564+H564</f>
        <v>488900</v>
      </c>
      <c r="E564" s="269"/>
      <c r="F564" s="287">
        <v>488900</v>
      </c>
      <c r="G564" s="261"/>
      <c r="H564" s="287"/>
      <c r="I564" s="284"/>
    </row>
    <row r="565" spans="1:9" ht="12" customHeight="1">
      <c r="A565" s="257"/>
      <c r="B565" s="522" t="s">
        <v>289</v>
      </c>
      <c r="C565" s="267">
        <f>SUM(D565:E565)</f>
        <v>36000</v>
      </c>
      <c r="D565" s="268">
        <f>F565+H565</f>
        <v>36000</v>
      </c>
      <c r="E565" s="269"/>
      <c r="F565" s="287">
        <v>36000</v>
      </c>
      <c r="G565" s="261"/>
      <c r="H565" s="287"/>
      <c r="I565" s="284"/>
    </row>
    <row r="566" spans="1:9" s="281" customFormat="1" ht="10.5" customHeight="1">
      <c r="A566" s="257"/>
      <c r="B566" s="577" t="s">
        <v>257</v>
      </c>
      <c r="C566" s="259">
        <f>C567+C569</f>
        <v>46000</v>
      </c>
      <c r="D566" s="260">
        <f>D567+D569</f>
        <v>46000</v>
      </c>
      <c r="E566" s="261"/>
      <c r="F566" s="283">
        <f>F567+F569</f>
        <v>46000</v>
      </c>
      <c r="G566" s="261"/>
      <c r="H566" s="283">
        <f>H567</f>
        <v>0</v>
      </c>
      <c r="I566" s="284"/>
    </row>
    <row r="567" spans="1:9" ht="11.25" customHeight="1">
      <c r="A567" s="257"/>
      <c r="B567" s="286" t="s">
        <v>270</v>
      </c>
      <c r="C567" s="259">
        <f>SUM(D567:E567)</f>
        <v>36000</v>
      </c>
      <c r="D567" s="260">
        <f>F567+H567</f>
        <v>36000</v>
      </c>
      <c r="E567" s="261"/>
      <c r="F567" s="283">
        <v>36000</v>
      </c>
      <c r="G567" s="263"/>
      <c r="H567" s="270"/>
      <c r="I567" s="291"/>
    </row>
    <row r="568" spans="1:9" ht="13.5" customHeight="1">
      <c r="A568" s="257"/>
      <c r="B568" s="258" t="s">
        <v>274</v>
      </c>
      <c r="C568" s="267">
        <f>SUM(D568:E568)</f>
        <v>36000</v>
      </c>
      <c r="D568" s="268">
        <f>F568+H568</f>
        <v>36000</v>
      </c>
      <c r="E568" s="313"/>
      <c r="F568" s="287">
        <v>36000</v>
      </c>
      <c r="G568" s="591"/>
      <c r="H568" s="328"/>
      <c r="I568" s="291"/>
    </row>
    <row r="569" spans="1:9" ht="13.5" customHeight="1" thickBot="1">
      <c r="A569" s="257"/>
      <c r="B569" s="315" t="s">
        <v>258</v>
      </c>
      <c r="C569" s="267">
        <f>SUM(D569:E569)</f>
        <v>10000</v>
      </c>
      <c r="D569" s="268">
        <f>F569+H569</f>
        <v>10000</v>
      </c>
      <c r="E569" s="313"/>
      <c r="F569" s="287">
        <v>10000</v>
      </c>
      <c r="G569" s="591"/>
      <c r="H569" s="328"/>
      <c r="I569" s="291"/>
    </row>
    <row r="570" spans="1:9" s="256" customFormat="1" ht="27.75" customHeight="1" thickBot="1" thickTop="1">
      <c r="A570" s="311">
        <v>852</v>
      </c>
      <c r="B570" s="251" t="s">
        <v>162</v>
      </c>
      <c r="C570" s="252">
        <f aca="true" t="shared" si="26" ref="C570:I570">C580+C592+C599+C617+C622+C625+C628+C635+C644+C651+C663+C657+C614+C589+C605</f>
        <v>44992449</v>
      </c>
      <c r="D570" s="253">
        <f t="shared" si="26"/>
        <v>26055510</v>
      </c>
      <c r="E570" s="580">
        <f t="shared" si="26"/>
        <v>18936939</v>
      </c>
      <c r="F570" s="255">
        <f t="shared" si="26"/>
        <v>20117401</v>
      </c>
      <c r="G570" s="480">
        <f t="shared" si="26"/>
        <v>18920439</v>
      </c>
      <c r="H570" s="253">
        <f t="shared" si="26"/>
        <v>5938109</v>
      </c>
      <c r="I570" s="200">
        <f t="shared" si="26"/>
        <v>16500</v>
      </c>
    </row>
    <row r="571" spans="1:9" s="256" customFormat="1" ht="13.5" thickTop="1">
      <c r="A571" s="463"/>
      <c r="B571" s="318" t="s">
        <v>261</v>
      </c>
      <c r="C571" s="465">
        <f>D571+E571</f>
        <v>44442449</v>
      </c>
      <c r="D571" s="581">
        <f>F571+H571</f>
        <v>25505510</v>
      </c>
      <c r="E571" s="323">
        <f>G571+I571</f>
        <v>18936939</v>
      </c>
      <c r="F571" s="324">
        <f>F581+F590+F593+F600+F606+F615+F618+F623+F629+F636+F645+F652+F658+F664</f>
        <v>19567401</v>
      </c>
      <c r="G571" s="323">
        <f>G581+G590+G593+G600+G606+G615+G618+G623+G629+G636+G645+G652+G658+G664</f>
        <v>18920439</v>
      </c>
      <c r="H571" s="581">
        <f>H581+H590+H593+H600+H606+H615+H618+H623+H629+H636+H645+H652+H658+H664</f>
        <v>5938109</v>
      </c>
      <c r="I571" s="325">
        <f>I581+I590+I593+I600+I606+I615+I618+I623+I629+I636+I645+I652+I658+I664</f>
        <v>16500</v>
      </c>
    </row>
    <row r="572" spans="1:9" s="415" customFormat="1" ht="12.75">
      <c r="A572" s="265"/>
      <c r="B572" s="266" t="s">
        <v>286</v>
      </c>
      <c r="C572" s="327">
        <f>D572+E572</f>
        <v>9202976</v>
      </c>
      <c r="D572" s="328">
        <f>F572+H572</f>
        <v>8075017</v>
      </c>
      <c r="E572" s="271">
        <f>G572+I572</f>
        <v>1127959</v>
      </c>
      <c r="F572" s="328">
        <f>F582+F594+F601+F607+F630+F637+F646+F653+F659+F665+F619</f>
        <v>6525906</v>
      </c>
      <c r="G572" s="271">
        <f>G582+G594+G601+G607+G630+G637+G646+G653+G659+G665</f>
        <v>1127959</v>
      </c>
      <c r="H572" s="328">
        <f>H582+H594+H601+H607+H630+H637+H646+H653+H659</f>
        <v>1549111</v>
      </c>
      <c r="I572" s="272">
        <f>I665</f>
        <v>0</v>
      </c>
    </row>
    <row r="573" spans="1:9" s="415" customFormat="1" ht="12.75">
      <c r="A573" s="265"/>
      <c r="B573" s="266" t="s">
        <v>287</v>
      </c>
      <c r="C573" s="327"/>
      <c r="D573" s="328"/>
      <c r="E573" s="271"/>
      <c r="F573" s="328"/>
      <c r="G573" s="271"/>
      <c r="H573" s="437"/>
      <c r="I573" s="272"/>
    </row>
    <row r="574" spans="1:9" s="415" customFormat="1" ht="12.75">
      <c r="A574" s="265"/>
      <c r="B574" s="286" t="s">
        <v>273</v>
      </c>
      <c r="C574" s="327">
        <f aca="true" t="shared" si="27" ref="C574:C579">D574+E574</f>
        <v>1494000</v>
      </c>
      <c r="D574" s="437">
        <f>F574+H574</f>
        <v>1275000</v>
      </c>
      <c r="E574" s="271">
        <f>G574+I574</f>
        <v>219000</v>
      </c>
      <c r="F574" s="328">
        <f>F584+F603+F648+F668+F596</f>
        <v>438200</v>
      </c>
      <c r="G574" s="271">
        <f>G584+G603+G648+G668+G596</f>
        <v>219000</v>
      </c>
      <c r="H574" s="270">
        <f>H584+H603+H648+H668+H596</f>
        <v>836800</v>
      </c>
      <c r="I574" s="272"/>
    </row>
    <row r="575" spans="1:9" s="415" customFormat="1" ht="12.75">
      <c r="A575" s="265"/>
      <c r="B575" s="286" t="s">
        <v>262</v>
      </c>
      <c r="C575" s="327">
        <f t="shared" si="27"/>
        <v>33745473</v>
      </c>
      <c r="D575" s="437">
        <f>F575+H575</f>
        <v>16155493</v>
      </c>
      <c r="E575" s="271">
        <f>G575+I575</f>
        <v>17589980</v>
      </c>
      <c r="F575" s="328">
        <f>F585+F591+F597+F610+F616+F621+F624+F632+F639+F649+F655+F662+F669</f>
        <v>12603295</v>
      </c>
      <c r="G575" s="271">
        <f>G585+G591+G597+G610+G616+G621+G624+G632+G639+G649+G655+G662+G669</f>
        <v>17573480</v>
      </c>
      <c r="H575" s="328">
        <f>H585+H591+H597+H604+H610+H616+H621+H624+H632+H639+H649+H655+H662+H669</f>
        <v>3552198</v>
      </c>
      <c r="I575" s="272">
        <f>I585+I591+I597+I604+I610+I616+I621+I624+I632+I639+I649+I655+I662+I669</f>
        <v>16500</v>
      </c>
    </row>
    <row r="576" spans="1:9" s="281" customFormat="1" ht="12">
      <c r="A576" s="257"/>
      <c r="B576" s="522" t="s">
        <v>289</v>
      </c>
      <c r="C576" s="259">
        <f t="shared" si="27"/>
        <v>81210</v>
      </c>
      <c r="D576" s="458">
        <f>F576+H576</f>
        <v>81210</v>
      </c>
      <c r="E576" s="261"/>
      <c r="F576" s="260">
        <f>F586+F598+F640+F650</f>
        <v>74000</v>
      </c>
      <c r="G576" s="261"/>
      <c r="H576" s="458">
        <f>H586+H598+H640+H650+H656</f>
        <v>7210</v>
      </c>
      <c r="I576" s="284"/>
    </row>
    <row r="577" spans="1:9" s="256" customFormat="1" ht="12.75">
      <c r="A577" s="317"/>
      <c r="B577" s="336" t="s">
        <v>257</v>
      </c>
      <c r="C577" s="319">
        <f t="shared" si="27"/>
        <v>550000</v>
      </c>
      <c r="D577" s="320">
        <f>F577+H577</f>
        <v>550000</v>
      </c>
      <c r="E577" s="321"/>
      <c r="F577" s="320">
        <f>F633+F641+F670+F587</f>
        <v>550000</v>
      </c>
      <c r="G577" s="321"/>
      <c r="H577" s="201"/>
      <c r="I577" s="338"/>
    </row>
    <row r="578" spans="1:9" s="415" customFormat="1" ht="12" customHeight="1">
      <c r="A578" s="265"/>
      <c r="B578" s="522" t="s">
        <v>270</v>
      </c>
      <c r="C578" s="327">
        <f t="shared" si="27"/>
        <v>394500</v>
      </c>
      <c r="D578" s="328">
        <f>F578+H578</f>
        <v>394500</v>
      </c>
      <c r="E578" s="271"/>
      <c r="F578" s="328">
        <f>F671+F642</f>
        <v>394500</v>
      </c>
      <c r="G578" s="271"/>
      <c r="H578" s="437"/>
      <c r="I578" s="272"/>
    </row>
    <row r="579" spans="1:9" s="415" customFormat="1" ht="17.25" customHeight="1">
      <c r="A579" s="396"/>
      <c r="B579" s="315" t="s">
        <v>258</v>
      </c>
      <c r="C579" s="473">
        <f t="shared" si="27"/>
        <v>155500</v>
      </c>
      <c r="D579" s="568">
        <f>F579+H579</f>
        <v>155500</v>
      </c>
      <c r="E579" s="398"/>
      <c r="F579" s="474">
        <f>F634+F643+F672+F588</f>
        <v>155500</v>
      </c>
      <c r="G579" s="398"/>
      <c r="H579" s="568"/>
      <c r="I579" s="400"/>
    </row>
    <row r="580" spans="1:9" s="281" customFormat="1" ht="27.75" customHeight="1">
      <c r="A580" s="360">
        <v>85201</v>
      </c>
      <c r="B580" s="428" t="s">
        <v>351</v>
      </c>
      <c r="C580" s="362">
        <f>SUM(C581+C587)</f>
        <v>1279288</v>
      </c>
      <c r="D580" s="582">
        <f>SUM(D581+D587)</f>
        <v>1279288</v>
      </c>
      <c r="E580" s="583"/>
      <c r="F580" s="365">
        <f>SUM(F581+F587)</f>
        <v>165002</v>
      </c>
      <c r="G580" s="364"/>
      <c r="H580" s="584">
        <f>SUM(H581+H587)</f>
        <v>1114286</v>
      </c>
      <c r="I580" s="366"/>
    </row>
    <row r="581" spans="1:9" ht="12.75">
      <c r="A581" s="257"/>
      <c r="B581" s="282" t="s">
        <v>261</v>
      </c>
      <c r="C581" s="416">
        <f>SUM(C582:C585)</f>
        <v>1279288</v>
      </c>
      <c r="D581" s="585">
        <f>SUM(D582:D585)</f>
        <v>1279288</v>
      </c>
      <c r="E581" s="586"/>
      <c r="F581" s="262">
        <f>SUM(F582:F585)</f>
        <v>165002</v>
      </c>
      <c r="G581" s="263"/>
      <c r="H581" s="391">
        <f>SUM(H582:H585)</f>
        <v>1114286</v>
      </c>
      <c r="I581" s="264"/>
    </row>
    <row r="582" spans="1:9" s="273" customFormat="1" ht="12">
      <c r="A582" s="265"/>
      <c r="B582" s="266" t="s">
        <v>286</v>
      </c>
      <c r="C582" s="267">
        <f>SUM(D582:E582)</f>
        <v>291248</v>
      </c>
      <c r="D582" s="313">
        <f>F582+H582</f>
        <v>291248</v>
      </c>
      <c r="E582" s="566"/>
      <c r="F582" s="287">
        <v>119152</v>
      </c>
      <c r="G582" s="269"/>
      <c r="H582" s="314">
        <v>172096</v>
      </c>
      <c r="I582" s="291"/>
    </row>
    <row r="583" spans="1:9" s="273" customFormat="1" ht="12">
      <c r="A583" s="265"/>
      <c r="B583" s="266" t="s">
        <v>287</v>
      </c>
      <c r="C583" s="267"/>
      <c r="D583" s="313"/>
      <c r="E583" s="566"/>
      <c r="F583" s="287"/>
      <c r="G583" s="269"/>
      <c r="H583" s="314"/>
      <c r="I583" s="291"/>
    </row>
    <row r="584" spans="1:9" s="273" customFormat="1" ht="12">
      <c r="A584" s="265"/>
      <c r="B584" s="286" t="s">
        <v>273</v>
      </c>
      <c r="C584" s="267">
        <f>SUM(D584:E584)</f>
        <v>511000</v>
      </c>
      <c r="D584" s="313">
        <f>F584+H584</f>
        <v>511000</v>
      </c>
      <c r="E584" s="566"/>
      <c r="F584" s="287"/>
      <c r="G584" s="269"/>
      <c r="H584" s="314">
        <v>511000</v>
      </c>
      <c r="I584" s="291"/>
    </row>
    <row r="585" spans="1:9" ht="12">
      <c r="A585" s="257"/>
      <c r="B585" s="286" t="s">
        <v>262</v>
      </c>
      <c r="C585" s="267">
        <f>SUM(D585:E585)</f>
        <v>477040</v>
      </c>
      <c r="D585" s="313">
        <f>F585+H585</f>
        <v>477040</v>
      </c>
      <c r="E585" s="566"/>
      <c r="F585" s="287">
        <v>45850</v>
      </c>
      <c r="G585" s="261"/>
      <c r="H585" s="314">
        <v>431190</v>
      </c>
      <c r="I585" s="291"/>
    </row>
    <row r="586" spans="1:9" ht="12" customHeight="1">
      <c r="A586" s="381"/>
      <c r="B586" s="587" t="s">
        <v>289</v>
      </c>
      <c r="C586" s="382">
        <f>SUM(D586:E586)</f>
        <v>7210</v>
      </c>
      <c r="D586" s="516">
        <f>F586+H586</f>
        <v>7210</v>
      </c>
      <c r="E586" s="569"/>
      <c r="F586" s="385"/>
      <c r="G586" s="453"/>
      <c r="H586" s="516">
        <v>7210</v>
      </c>
      <c r="I586" s="392"/>
    </row>
    <row r="587" spans="1:9" ht="12" hidden="1">
      <c r="A587" s="257"/>
      <c r="B587" s="258" t="s">
        <v>257</v>
      </c>
      <c r="C587" s="259">
        <f>SUM(C588)</f>
        <v>0</v>
      </c>
      <c r="D587" s="260">
        <f>SUM(D588)</f>
        <v>0</v>
      </c>
      <c r="E587" s="261"/>
      <c r="F587" s="283">
        <f>SUM(F588)</f>
        <v>0</v>
      </c>
      <c r="G587" s="261"/>
      <c r="H587" s="283"/>
      <c r="I587" s="284"/>
    </row>
    <row r="588" spans="1:9" s="273" customFormat="1" ht="12" hidden="1">
      <c r="A588" s="265"/>
      <c r="B588" s="266" t="s">
        <v>258</v>
      </c>
      <c r="C588" s="259">
        <f>SUM(D588:E588)</f>
        <v>0</v>
      </c>
      <c r="D588" s="268">
        <f>F588+H588</f>
        <v>0</v>
      </c>
      <c r="E588" s="269"/>
      <c r="F588" s="287"/>
      <c r="G588" s="269"/>
      <c r="H588" s="287"/>
      <c r="I588" s="291"/>
    </row>
    <row r="589" spans="1:9" ht="22.5" customHeight="1">
      <c r="A589" s="312">
        <v>85202</v>
      </c>
      <c r="B589" s="434" t="s">
        <v>352</v>
      </c>
      <c r="C589" s="288">
        <f>SUM(C590)</f>
        <v>1368800</v>
      </c>
      <c r="D589" s="191">
        <f>D590</f>
        <v>1368800</v>
      </c>
      <c r="E589" s="289"/>
      <c r="F589" s="290">
        <f>F590</f>
        <v>1368800</v>
      </c>
      <c r="G589" s="289"/>
      <c r="H589" s="290"/>
      <c r="I589" s="193"/>
    </row>
    <row r="590" spans="1:9" s="435" customFormat="1" ht="12.75">
      <c r="A590" s="588"/>
      <c r="B590" s="589" t="s">
        <v>300</v>
      </c>
      <c r="C590" s="416">
        <f>SUM(C591)</f>
        <v>1368800</v>
      </c>
      <c r="D590" s="417">
        <f>SUM(D591)</f>
        <v>1368800</v>
      </c>
      <c r="E590" s="263"/>
      <c r="F590" s="262">
        <f>F591</f>
        <v>1368800</v>
      </c>
      <c r="G590" s="263"/>
      <c r="H590" s="262"/>
      <c r="I590" s="264"/>
    </row>
    <row r="591" spans="1:9" s="273" customFormat="1" ht="12">
      <c r="A591" s="396"/>
      <c r="B591" s="315" t="s">
        <v>262</v>
      </c>
      <c r="C591" s="382">
        <f>SUM(D591:E591)</f>
        <v>1368800</v>
      </c>
      <c r="D591" s="268">
        <f>F591+H591</f>
        <v>1368800</v>
      </c>
      <c r="E591" s="384"/>
      <c r="F591" s="385">
        <v>1368800</v>
      </c>
      <c r="G591" s="384"/>
      <c r="H591" s="385"/>
      <c r="I591" s="392"/>
    </row>
    <row r="592" spans="1:9" ht="15" customHeight="1">
      <c r="A592" s="312">
        <v>85203</v>
      </c>
      <c r="B592" s="434" t="s">
        <v>353</v>
      </c>
      <c r="C592" s="288">
        <f>SUM(C593)</f>
        <v>1248639</v>
      </c>
      <c r="D592" s="191">
        <f>SUM(D593)</f>
        <v>515639</v>
      </c>
      <c r="E592" s="289">
        <f>SUM(E593)</f>
        <v>733000</v>
      </c>
      <c r="F592" s="290">
        <f>SUM(F593)</f>
        <v>515639</v>
      </c>
      <c r="G592" s="289">
        <f>SUM(G593)</f>
        <v>733000</v>
      </c>
      <c r="H592" s="290"/>
      <c r="I592" s="193"/>
    </row>
    <row r="593" spans="1:9" ht="12.75">
      <c r="A593" s="257"/>
      <c r="B593" s="258" t="s">
        <v>300</v>
      </c>
      <c r="C593" s="416">
        <f>SUM(C594:C597)</f>
        <v>1248639</v>
      </c>
      <c r="D593" s="417">
        <f>SUM(D594:D597)</f>
        <v>515639</v>
      </c>
      <c r="E593" s="263">
        <f>SUM(E594:E597)</f>
        <v>733000</v>
      </c>
      <c r="F593" s="262">
        <f>SUM(F594:F597)</f>
        <v>515639</v>
      </c>
      <c r="G593" s="263">
        <f>SUM(G594:G597)</f>
        <v>733000</v>
      </c>
      <c r="H593" s="262"/>
      <c r="I593" s="264"/>
    </row>
    <row r="594" spans="1:9" s="273" customFormat="1" ht="10.5" customHeight="1">
      <c r="A594" s="265"/>
      <c r="B594" s="266" t="s">
        <v>286</v>
      </c>
      <c r="C594" s="267">
        <f>SUM(D594:E594)</f>
        <v>513676</v>
      </c>
      <c r="D594" s="268">
        <f>F594+H594</f>
        <v>139557</v>
      </c>
      <c r="E594" s="269">
        <f>G594+I594</f>
        <v>374119</v>
      </c>
      <c r="F594" s="287">
        <v>139557</v>
      </c>
      <c r="G594" s="269">
        <v>374119</v>
      </c>
      <c r="H594" s="287"/>
      <c r="I594" s="291"/>
    </row>
    <row r="595" spans="1:9" s="273" customFormat="1" ht="10.5" customHeight="1">
      <c r="A595" s="265"/>
      <c r="B595" s="266" t="s">
        <v>287</v>
      </c>
      <c r="C595" s="267"/>
      <c r="D595" s="268"/>
      <c r="E595" s="269"/>
      <c r="F595" s="287"/>
      <c r="G595" s="269"/>
      <c r="H595" s="287"/>
      <c r="I595" s="291"/>
    </row>
    <row r="596" spans="1:9" s="273" customFormat="1" ht="12">
      <c r="A596" s="265"/>
      <c r="B596" s="286" t="s">
        <v>273</v>
      </c>
      <c r="C596" s="267">
        <f>SUM(D596:E596)</f>
        <v>507200</v>
      </c>
      <c r="D596" s="268">
        <f>F596+H596</f>
        <v>288200</v>
      </c>
      <c r="E596" s="269">
        <f>G596+I596</f>
        <v>219000</v>
      </c>
      <c r="F596" s="287">
        <v>288200</v>
      </c>
      <c r="G596" s="269">
        <v>219000</v>
      </c>
      <c r="H596" s="314"/>
      <c r="I596" s="291"/>
    </row>
    <row r="597" spans="1:9" s="273" customFormat="1" ht="10.5" customHeight="1">
      <c r="A597" s="265"/>
      <c r="B597" s="266" t="s">
        <v>262</v>
      </c>
      <c r="C597" s="267">
        <f>SUM(D597:E597)</f>
        <v>227763</v>
      </c>
      <c r="D597" s="268">
        <f>F597+H597</f>
        <v>87882</v>
      </c>
      <c r="E597" s="269">
        <f>G597+I597</f>
        <v>139881</v>
      </c>
      <c r="F597" s="287">
        <v>87882</v>
      </c>
      <c r="G597" s="269">
        <v>139881</v>
      </c>
      <c r="H597" s="287"/>
      <c r="I597" s="291"/>
    </row>
    <row r="598" spans="1:9" s="273" customFormat="1" ht="12" hidden="1">
      <c r="A598" s="396"/>
      <c r="B598" s="315" t="s">
        <v>289</v>
      </c>
      <c r="C598" s="382">
        <f>SUM(D598:E598)</f>
        <v>0</v>
      </c>
      <c r="D598" s="516">
        <f>F598+H598</f>
        <v>0</v>
      </c>
      <c r="E598" s="384"/>
      <c r="F598" s="385"/>
      <c r="G598" s="384"/>
      <c r="H598" s="385"/>
      <c r="I598" s="392"/>
    </row>
    <row r="599" spans="1:9" s="281" customFormat="1" ht="15" customHeight="1">
      <c r="A599" s="312">
        <v>85204</v>
      </c>
      <c r="B599" s="434" t="s">
        <v>354</v>
      </c>
      <c r="C599" s="288">
        <f>SUM(C600)</f>
        <v>3602242</v>
      </c>
      <c r="D599" s="455">
        <f>SUM(D600)</f>
        <v>3602242</v>
      </c>
      <c r="E599" s="289"/>
      <c r="F599" s="290"/>
      <c r="G599" s="289"/>
      <c r="H599" s="512">
        <f>SUM(H600)</f>
        <v>3602242</v>
      </c>
      <c r="I599" s="193"/>
    </row>
    <row r="600" spans="1:9" ht="12" customHeight="1">
      <c r="A600" s="257"/>
      <c r="B600" s="258" t="s">
        <v>300</v>
      </c>
      <c r="C600" s="416">
        <f>SUM(C601:C604)</f>
        <v>3602242</v>
      </c>
      <c r="D600" s="585">
        <f>SUM(D601:D604)</f>
        <v>3602242</v>
      </c>
      <c r="E600" s="263"/>
      <c r="F600" s="262"/>
      <c r="G600" s="263"/>
      <c r="H600" s="391">
        <f>SUM(H601:H604)</f>
        <v>3602242</v>
      </c>
      <c r="I600" s="264"/>
    </row>
    <row r="601" spans="1:9" s="273" customFormat="1" ht="10.5" customHeight="1">
      <c r="A601" s="265"/>
      <c r="B601" s="266" t="s">
        <v>286</v>
      </c>
      <c r="C601" s="267">
        <f>SUM(D601:E601)</f>
        <v>469174</v>
      </c>
      <c r="D601" s="313">
        <f>F601+H601</f>
        <v>469174</v>
      </c>
      <c r="E601" s="269"/>
      <c r="F601" s="287"/>
      <c r="G601" s="269"/>
      <c r="H601" s="314">
        <v>469174</v>
      </c>
      <c r="I601" s="291"/>
    </row>
    <row r="602" spans="1:9" s="273" customFormat="1" ht="11.25" customHeight="1">
      <c r="A602" s="265"/>
      <c r="B602" s="266" t="s">
        <v>287</v>
      </c>
      <c r="C602" s="267"/>
      <c r="D602" s="313"/>
      <c r="E602" s="269"/>
      <c r="F602" s="287"/>
      <c r="G602" s="269"/>
      <c r="H602" s="314"/>
      <c r="I602" s="291"/>
    </row>
    <row r="603" spans="1:9" s="273" customFormat="1" ht="11.25" customHeight="1">
      <c r="A603" s="265"/>
      <c r="B603" s="286" t="s">
        <v>273</v>
      </c>
      <c r="C603" s="267">
        <f>SUM(D603:E603)</f>
        <v>129800</v>
      </c>
      <c r="D603" s="313">
        <f>F603+H603</f>
        <v>129800</v>
      </c>
      <c r="E603" s="269"/>
      <c r="F603" s="287"/>
      <c r="G603" s="269"/>
      <c r="H603" s="314">
        <v>129800</v>
      </c>
      <c r="I603" s="291"/>
    </row>
    <row r="604" spans="1:9" s="273" customFormat="1" ht="15" customHeight="1">
      <c r="A604" s="265"/>
      <c r="B604" s="266" t="s">
        <v>262</v>
      </c>
      <c r="C604" s="267">
        <f>SUM(D604:E604)</f>
        <v>3003268</v>
      </c>
      <c r="D604" s="313">
        <f>F604+H604</f>
        <v>3003268</v>
      </c>
      <c r="E604" s="384"/>
      <c r="F604" s="287"/>
      <c r="G604" s="269"/>
      <c r="H604" s="314">
        <v>3003268</v>
      </c>
      <c r="I604" s="291"/>
    </row>
    <row r="605" spans="1:9" s="273" customFormat="1" ht="73.5" customHeight="1">
      <c r="A605" s="312">
        <v>85212</v>
      </c>
      <c r="B605" s="434" t="s">
        <v>355</v>
      </c>
      <c r="C605" s="288">
        <f>C606+C611</f>
        <v>17443518</v>
      </c>
      <c r="D605" s="455">
        <f>SUM(D606)</f>
        <v>474518</v>
      </c>
      <c r="E605" s="289">
        <f>E606+E611</f>
        <v>16969000</v>
      </c>
      <c r="F605" s="192">
        <f>SUM(F606)</f>
        <v>474518</v>
      </c>
      <c r="G605" s="590">
        <f>G606+G611</f>
        <v>16969000</v>
      </c>
      <c r="H605" s="512"/>
      <c r="I605" s="193"/>
    </row>
    <row r="606" spans="1:9" s="273" customFormat="1" ht="14.25" customHeight="1">
      <c r="A606" s="332"/>
      <c r="B606" s="258" t="s">
        <v>300</v>
      </c>
      <c r="C606" s="416">
        <f>SUM(C607:C610)</f>
        <v>17443518</v>
      </c>
      <c r="D606" s="585">
        <f>SUM(D607:D610)</f>
        <v>474518</v>
      </c>
      <c r="E606" s="263">
        <f>SUM(E607:E610)</f>
        <v>16969000</v>
      </c>
      <c r="F606" s="586">
        <f>SUM(F607:F610)</f>
        <v>474518</v>
      </c>
      <c r="G606" s="591">
        <f>SUM(G607:G610)</f>
        <v>16969000</v>
      </c>
      <c r="H606" s="262"/>
      <c r="I606" s="264"/>
    </row>
    <row r="607" spans="1:9" s="273" customFormat="1" ht="13.5" customHeight="1">
      <c r="A607" s="265"/>
      <c r="B607" s="266" t="s">
        <v>286</v>
      </c>
      <c r="C607" s="267">
        <f>SUM(D607:E607)</f>
        <v>962828</v>
      </c>
      <c r="D607" s="268">
        <f>F607+H607</f>
        <v>332408</v>
      </c>
      <c r="E607" s="269">
        <f>G607+I607</f>
        <v>630420</v>
      </c>
      <c r="F607" s="566">
        <v>332408</v>
      </c>
      <c r="G607" s="477">
        <v>630420</v>
      </c>
      <c r="H607" s="287"/>
      <c r="I607" s="291"/>
    </row>
    <row r="608" spans="1:9" s="273" customFormat="1" ht="13.5" customHeight="1">
      <c r="A608" s="265"/>
      <c r="B608" s="266" t="s">
        <v>287</v>
      </c>
      <c r="C608" s="267"/>
      <c r="D608" s="268"/>
      <c r="E608" s="269"/>
      <c r="F608" s="566"/>
      <c r="G608" s="477"/>
      <c r="H608" s="287"/>
      <c r="I608" s="291"/>
    </row>
    <row r="609" spans="1:9" s="273" customFormat="1" ht="12" customHeight="1" hidden="1">
      <c r="A609" s="265"/>
      <c r="B609" s="286" t="s">
        <v>273</v>
      </c>
      <c r="C609" s="267">
        <f>SUM(D609:E609)</f>
        <v>0</v>
      </c>
      <c r="D609" s="268">
        <f>F609+H609</f>
        <v>0</v>
      </c>
      <c r="E609" s="269">
        <f>G609+I609</f>
        <v>0</v>
      </c>
      <c r="F609" s="566"/>
      <c r="G609" s="477"/>
      <c r="H609" s="287"/>
      <c r="I609" s="291"/>
    </row>
    <row r="610" spans="1:9" s="273" customFormat="1" ht="12">
      <c r="A610" s="265"/>
      <c r="B610" s="266" t="s">
        <v>262</v>
      </c>
      <c r="C610" s="267">
        <f>SUM(D610:E610)</f>
        <v>16480690</v>
      </c>
      <c r="D610" s="268">
        <f>F610+H610</f>
        <v>142110</v>
      </c>
      <c r="E610" s="269">
        <f>G610+I610</f>
        <v>16338580</v>
      </c>
      <c r="F610" s="566">
        <v>142110</v>
      </c>
      <c r="G610" s="477">
        <v>16338580</v>
      </c>
      <c r="H610" s="287"/>
      <c r="I610" s="291"/>
    </row>
    <row r="611" spans="1:9" s="273" customFormat="1" ht="12" hidden="1">
      <c r="A611" s="265"/>
      <c r="B611" s="258" t="s">
        <v>257</v>
      </c>
      <c r="C611" s="259">
        <f>SUM(C612:C613)</f>
        <v>0</v>
      </c>
      <c r="D611" s="268">
        <f>F611+H611</f>
        <v>0</v>
      </c>
      <c r="E611" s="261">
        <f>SUM(E612:E613)</f>
        <v>0</v>
      </c>
      <c r="F611" s="260"/>
      <c r="G611" s="561">
        <f>SUM(G612:G613)</f>
        <v>0</v>
      </c>
      <c r="H611" s="287"/>
      <c r="I611" s="291"/>
    </row>
    <row r="612" spans="1:9" s="273" customFormat="1" ht="12" hidden="1">
      <c r="A612" s="265"/>
      <c r="B612" s="522" t="s">
        <v>270</v>
      </c>
      <c r="C612" s="267">
        <f>SUM(D612:E612)</f>
        <v>0</v>
      </c>
      <c r="D612" s="313"/>
      <c r="E612" s="269">
        <f>G612+I612</f>
        <v>0</v>
      </c>
      <c r="F612" s="268"/>
      <c r="G612" s="477"/>
      <c r="H612" s="287"/>
      <c r="I612" s="291"/>
    </row>
    <row r="613" spans="1:9" s="273" customFormat="1" ht="12" hidden="1">
      <c r="A613" s="396"/>
      <c r="B613" s="266" t="s">
        <v>258</v>
      </c>
      <c r="C613" s="267">
        <f>SUM(D613:E613)</f>
        <v>0</v>
      </c>
      <c r="D613" s="516"/>
      <c r="E613" s="269">
        <f>G613+I613</f>
        <v>0</v>
      </c>
      <c r="F613" s="383"/>
      <c r="G613" s="484"/>
      <c r="H613" s="385"/>
      <c r="I613" s="392"/>
    </row>
    <row r="614" spans="1:9" ht="60" customHeight="1">
      <c r="A614" s="312">
        <v>85213</v>
      </c>
      <c r="B614" s="434" t="s">
        <v>356</v>
      </c>
      <c r="C614" s="288">
        <f aca="true" t="shared" si="28" ref="C614:E615">SUM(C615)</f>
        <v>176792</v>
      </c>
      <c r="D614" s="455">
        <f>D615</f>
        <v>62444</v>
      </c>
      <c r="E614" s="289">
        <f t="shared" si="28"/>
        <v>114348</v>
      </c>
      <c r="F614" s="290">
        <f>F615</f>
        <v>62444</v>
      </c>
      <c r="G614" s="590">
        <f>SUM(G615)</f>
        <v>114348</v>
      </c>
      <c r="H614" s="290"/>
      <c r="I614" s="193"/>
    </row>
    <row r="615" spans="1:9" s="435" customFormat="1" ht="14.25" customHeight="1">
      <c r="A615" s="588"/>
      <c r="B615" s="589" t="s">
        <v>300</v>
      </c>
      <c r="C615" s="416">
        <f t="shared" si="28"/>
        <v>176792</v>
      </c>
      <c r="D615" s="417">
        <f>D616</f>
        <v>62444</v>
      </c>
      <c r="E615" s="263">
        <f t="shared" si="28"/>
        <v>114348</v>
      </c>
      <c r="F615" s="262">
        <f>F616</f>
        <v>62444</v>
      </c>
      <c r="G615" s="263">
        <f>SUM(G616)</f>
        <v>114348</v>
      </c>
      <c r="H615" s="262"/>
      <c r="I615" s="264"/>
    </row>
    <row r="616" spans="1:9" s="273" customFormat="1" ht="12.75" customHeight="1">
      <c r="A616" s="396"/>
      <c r="B616" s="315" t="s">
        <v>262</v>
      </c>
      <c r="C616" s="382">
        <f>SUM(D616:E616)</f>
        <v>176792</v>
      </c>
      <c r="D616" s="268">
        <f>F616+H616</f>
        <v>62444</v>
      </c>
      <c r="E616" s="384">
        <f>G616+I616</f>
        <v>114348</v>
      </c>
      <c r="F616" s="385">
        <v>62444</v>
      </c>
      <c r="G616" s="384">
        <v>114348</v>
      </c>
      <c r="H616" s="385"/>
      <c r="I616" s="392"/>
    </row>
    <row r="617" spans="1:9" ht="39.75" customHeight="1">
      <c r="A617" s="312">
        <v>85214</v>
      </c>
      <c r="B617" s="434" t="s">
        <v>357</v>
      </c>
      <c r="C617" s="288">
        <f>SUM(C618)</f>
        <v>6219858</v>
      </c>
      <c r="D617" s="191">
        <f>SUM(D618)</f>
        <v>5274587</v>
      </c>
      <c r="E617" s="289">
        <f>SUM(E618)</f>
        <v>945271</v>
      </c>
      <c r="F617" s="290">
        <f>SUM(F618)</f>
        <v>5274587</v>
      </c>
      <c r="G617" s="289">
        <f>SUM(G618)</f>
        <v>945271</v>
      </c>
      <c r="H617" s="290"/>
      <c r="I617" s="193"/>
    </row>
    <row r="618" spans="1:9" ht="12.75">
      <c r="A618" s="257"/>
      <c r="B618" s="258" t="s">
        <v>300</v>
      </c>
      <c r="C618" s="259">
        <f>SUM(C619:C621)</f>
        <v>6219858</v>
      </c>
      <c r="D618" s="260">
        <f>SUM(D619:D621)</f>
        <v>5274587</v>
      </c>
      <c r="E618" s="261">
        <f>SUM(E619:E621)</f>
        <v>945271</v>
      </c>
      <c r="F618" s="262">
        <f>SUM(F619:F621)</f>
        <v>5274587</v>
      </c>
      <c r="G618" s="263">
        <f>SUM(G619:G621)</f>
        <v>945271</v>
      </c>
      <c r="H618" s="262"/>
      <c r="I618" s="264"/>
    </row>
    <row r="619" spans="1:9" s="273" customFormat="1" ht="12.75" customHeight="1">
      <c r="A619" s="265"/>
      <c r="B619" s="266" t="s">
        <v>286</v>
      </c>
      <c r="C619" s="267">
        <f>SUM(D619:E619)</f>
        <v>950</v>
      </c>
      <c r="D619" s="268">
        <f>F619+H619</f>
        <v>950</v>
      </c>
      <c r="E619" s="269">
        <f>G619+I619</f>
        <v>0</v>
      </c>
      <c r="F619" s="287">
        <v>950</v>
      </c>
      <c r="G619" s="269">
        <v>0</v>
      </c>
      <c r="H619" s="287"/>
      <c r="I619" s="291"/>
    </row>
    <row r="620" spans="1:9" s="273" customFormat="1" ht="12.75" customHeight="1">
      <c r="A620" s="265"/>
      <c r="B620" s="266" t="s">
        <v>287</v>
      </c>
      <c r="C620" s="267"/>
      <c r="D620" s="268"/>
      <c r="E620" s="269"/>
      <c r="F620" s="287"/>
      <c r="G620" s="269"/>
      <c r="H620" s="287"/>
      <c r="I620" s="291"/>
    </row>
    <row r="621" spans="1:9" s="273" customFormat="1" ht="12">
      <c r="A621" s="396"/>
      <c r="B621" s="315" t="s">
        <v>262</v>
      </c>
      <c r="C621" s="382">
        <f>SUM(D621:E621)</f>
        <v>6218908</v>
      </c>
      <c r="D621" s="383">
        <f>F621+H621</f>
        <v>5273637</v>
      </c>
      <c r="E621" s="384">
        <f>G621+I621</f>
        <v>945271</v>
      </c>
      <c r="F621" s="385">
        <v>5273637</v>
      </c>
      <c r="G621" s="384">
        <v>945271</v>
      </c>
      <c r="H621" s="385"/>
      <c r="I621" s="392"/>
    </row>
    <row r="622" spans="1:9" ht="15.75" customHeight="1">
      <c r="A622" s="312">
        <v>85215</v>
      </c>
      <c r="B622" s="434" t="s">
        <v>358</v>
      </c>
      <c r="C622" s="288">
        <f aca="true" t="shared" si="29" ref="C622:F623">SUM(C623)</f>
        <v>3106960</v>
      </c>
      <c r="D622" s="191">
        <f t="shared" si="29"/>
        <v>3106960</v>
      </c>
      <c r="E622" s="289"/>
      <c r="F622" s="290">
        <f t="shared" si="29"/>
        <v>3106960</v>
      </c>
      <c r="G622" s="289"/>
      <c r="H622" s="290"/>
      <c r="I622" s="193"/>
    </row>
    <row r="623" spans="1:9" ht="12.75">
      <c r="A623" s="257"/>
      <c r="B623" s="258" t="s">
        <v>300</v>
      </c>
      <c r="C623" s="259">
        <f t="shared" si="29"/>
        <v>3106960</v>
      </c>
      <c r="D623" s="260">
        <f t="shared" si="29"/>
        <v>3106960</v>
      </c>
      <c r="E623" s="261"/>
      <c r="F623" s="262">
        <f t="shared" si="29"/>
        <v>3106960</v>
      </c>
      <c r="G623" s="263"/>
      <c r="H623" s="262"/>
      <c r="I623" s="264"/>
    </row>
    <row r="624" spans="1:9" s="273" customFormat="1" ht="12">
      <c r="A624" s="265"/>
      <c r="B624" s="266" t="s">
        <v>262</v>
      </c>
      <c r="C624" s="267">
        <f>SUM(D624:E624)</f>
        <v>3106960</v>
      </c>
      <c r="D624" s="268">
        <f>F624+H624</f>
        <v>3106960</v>
      </c>
      <c r="E624" s="269"/>
      <c r="F624" s="287">
        <v>3106960</v>
      </c>
      <c r="G624" s="269"/>
      <c r="H624" s="287"/>
      <c r="I624" s="291"/>
    </row>
    <row r="625" spans="1:9" ht="36" hidden="1">
      <c r="A625" s="312">
        <v>85216</v>
      </c>
      <c r="B625" s="434" t="s">
        <v>359</v>
      </c>
      <c r="C625" s="288">
        <f>SUM(C626)</f>
        <v>0</v>
      </c>
      <c r="D625" s="191"/>
      <c r="E625" s="289">
        <f>SUM(E626)</f>
        <v>0</v>
      </c>
      <c r="F625" s="290"/>
      <c r="G625" s="289">
        <f>SUM(G626)</f>
        <v>0</v>
      </c>
      <c r="H625" s="290"/>
      <c r="I625" s="193">
        <f>SUM(I626)</f>
        <v>0</v>
      </c>
    </row>
    <row r="626" spans="1:9" ht="12.75" hidden="1">
      <c r="A626" s="257"/>
      <c r="B626" s="258" t="s">
        <v>300</v>
      </c>
      <c r="C626" s="259">
        <f>SUM(C627)</f>
        <v>0</v>
      </c>
      <c r="D626" s="260"/>
      <c r="E626" s="261">
        <f>G626+I626</f>
        <v>0</v>
      </c>
      <c r="F626" s="262"/>
      <c r="G626" s="263">
        <f>SUM(G627)</f>
        <v>0</v>
      </c>
      <c r="H626" s="262"/>
      <c r="I626" s="264">
        <f>SUM(I627)</f>
        <v>0</v>
      </c>
    </row>
    <row r="627" spans="1:9" s="273" customFormat="1" ht="12" hidden="1">
      <c r="A627" s="265"/>
      <c r="B627" s="266" t="s">
        <v>262</v>
      </c>
      <c r="C627" s="267">
        <f>SUM(D627:E627)</f>
        <v>0</v>
      </c>
      <c r="D627" s="268"/>
      <c r="E627" s="269">
        <f>G627+I627</f>
        <v>0</v>
      </c>
      <c r="F627" s="287"/>
      <c r="G627" s="269">
        <v>0</v>
      </c>
      <c r="H627" s="287"/>
      <c r="I627" s="291">
        <v>0</v>
      </c>
    </row>
    <row r="628" spans="1:9" ht="25.5" customHeight="1">
      <c r="A628" s="312">
        <v>85218</v>
      </c>
      <c r="B628" s="434" t="s">
        <v>360</v>
      </c>
      <c r="C628" s="288">
        <f aca="true" t="shared" si="30" ref="C628:H628">C629+C633</f>
        <v>648578</v>
      </c>
      <c r="D628" s="191">
        <f t="shared" si="30"/>
        <v>648578</v>
      </c>
      <c r="E628" s="191"/>
      <c r="F628" s="290"/>
      <c r="G628" s="191"/>
      <c r="H628" s="512">
        <f t="shared" si="30"/>
        <v>648578</v>
      </c>
      <c r="I628" s="193"/>
    </row>
    <row r="629" spans="1:9" ht="13.5" customHeight="1">
      <c r="A629" s="542"/>
      <c r="B629" s="592" t="s">
        <v>300</v>
      </c>
      <c r="C629" s="544">
        <f>SUM(C630:C632)</f>
        <v>648578</v>
      </c>
      <c r="D629" s="545">
        <f>SUM(D630:D632)</f>
        <v>648578</v>
      </c>
      <c r="E629" s="476"/>
      <c r="F629" s="475"/>
      <c r="G629" s="476"/>
      <c r="H629" s="475">
        <f>SUM(H630:H632)</f>
        <v>648578</v>
      </c>
      <c r="I629" s="593"/>
    </row>
    <row r="630" spans="1:9" ht="12">
      <c r="A630" s="257"/>
      <c r="B630" s="266" t="s">
        <v>286</v>
      </c>
      <c r="C630" s="267">
        <f>SUM(D630:E630)</f>
        <v>584878</v>
      </c>
      <c r="D630" s="268">
        <f>F630+H630</f>
        <v>584878</v>
      </c>
      <c r="E630" s="261"/>
      <c r="F630" s="283"/>
      <c r="G630" s="261"/>
      <c r="H630" s="287">
        <v>584878</v>
      </c>
      <c r="I630" s="291"/>
    </row>
    <row r="631" spans="1:9" ht="12">
      <c r="A631" s="257"/>
      <c r="B631" s="266" t="s">
        <v>287</v>
      </c>
      <c r="C631" s="259"/>
      <c r="D631" s="260"/>
      <c r="E631" s="261"/>
      <c r="F631" s="283"/>
      <c r="G631" s="261"/>
      <c r="H631" s="287"/>
      <c r="I631" s="291"/>
    </row>
    <row r="632" spans="1:9" ht="12">
      <c r="A632" s="381"/>
      <c r="B632" s="508" t="s">
        <v>262</v>
      </c>
      <c r="C632" s="594">
        <f>SUM(D632:E632)</f>
        <v>63700</v>
      </c>
      <c r="D632" s="383">
        <f>F632+H632</f>
        <v>63700</v>
      </c>
      <c r="E632" s="453"/>
      <c r="F632" s="454"/>
      <c r="G632" s="453"/>
      <c r="H632" s="385">
        <v>63700</v>
      </c>
      <c r="I632" s="392"/>
    </row>
    <row r="633" spans="1:9" ht="12" hidden="1">
      <c r="A633" s="257"/>
      <c r="B633" s="258" t="s">
        <v>257</v>
      </c>
      <c r="C633" s="259">
        <f>SUM(C634)</f>
        <v>0</v>
      </c>
      <c r="D633" s="260">
        <f>SUM(D634)</f>
        <v>0</v>
      </c>
      <c r="E633" s="261"/>
      <c r="F633" s="283"/>
      <c r="G633" s="261"/>
      <c r="H633" s="283">
        <f>SUM(H634)</f>
        <v>0</v>
      </c>
      <c r="I633" s="284"/>
    </row>
    <row r="634" spans="1:9" s="273" customFormat="1" ht="12" hidden="1">
      <c r="A634" s="265"/>
      <c r="B634" s="266" t="s">
        <v>258</v>
      </c>
      <c r="C634" s="259">
        <f>SUM(D634:E634)</f>
        <v>0</v>
      </c>
      <c r="D634" s="268">
        <f>F634+H634</f>
        <v>0</v>
      </c>
      <c r="E634" s="269"/>
      <c r="F634" s="287"/>
      <c r="G634" s="269"/>
      <c r="H634" s="287"/>
      <c r="I634" s="291"/>
    </row>
    <row r="635" spans="1:9" ht="24">
      <c r="A635" s="312">
        <v>85219</v>
      </c>
      <c r="B635" s="434" t="s">
        <v>361</v>
      </c>
      <c r="C635" s="288">
        <f>SUM(C636+C641)</f>
        <v>6477514</v>
      </c>
      <c r="D635" s="191">
        <f>SUM(D636+D641)</f>
        <v>6467694</v>
      </c>
      <c r="E635" s="191">
        <f>E636</f>
        <v>9820</v>
      </c>
      <c r="F635" s="512">
        <f>SUM(F636+F641)</f>
        <v>6467694</v>
      </c>
      <c r="G635" s="289">
        <f>SUM(G636+G641)</f>
        <v>9820</v>
      </c>
      <c r="H635" s="290"/>
      <c r="I635" s="193"/>
    </row>
    <row r="636" spans="1:9" ht="12.75">
      <c r="A636" s="443"/>
      <c r="B636" s="506" t="s">
        <v>261</v>
      </c>
      <c r="C636" s="411">
        <f>SUM(C637:C639)</f>
        <v>5927514</v>
      </c>
      <c r="D636" s="445">
        <f>F636+H636</f>
        <v>5917694</v>
      </c>
      <c r="E636" s="269">
        <f>G636+I636</f>
        <v>9820</v>
      </c>
      <c r="F636" s="595">
        <f>SUM(F637:F639)</f>
        <v>5917694</v>
      </c>
      <c r="G636" s="456">
        <f>SUM(G637:G639)</f>
        <v>9820</v>
      </c>
      <c r="H636" s="447"/>
      <c r="I636" s="450"/>
    </row>
    <row r="637" spans="1:9" s="273" customFormat="1" ht="12">
      <c r="A637" s="265"/>
      <c r="B637" s="266" t="s">
        <v>286</v>
      </c>
      <c r="C637" s="267">
        <f>SUM(D637:E637)</f>
        <v>4805462</v>
      </c>
      <c r="D637" s="268">
        <f>F637+H637</f>
        <v>4805462</v>
      </c>
      <c r="E637" s="269"/>
      <c r="F637" s="314">
        <v>4805462</v>
      </c>
      <c r="G637" s="269"/>
      <c r="H637" s="287"/>
      <c r="I637" s="291"/>
    </row>
    <row r="638" spans="1:9" s="273" customFormat="1" ht="10.5" customHeight="1">
      <c r="A638" s="265"/>
      <c r="B638" s="266" t="s">
        <v>287</v>
      </c>
      <c r="C638" s="259"/>
      <c r="D638" s="268"/>
      <c r="E638" s="269"/>
      <c r="F638" s="314"/>
      <c r="G638" s="269"/>
      <c r="H638" s="287"/>
      <c r="I638" s="291"/>
    </row>
    <row r="639" spans="1:9" s="273" customFormat="1" ht="12">
      <c r="A639" s="265"/>
      <c r="B639" s="266" t="s">
        <v>262</v>
      </c>
      <c r="C639" s="259">
        <f>SUM(D639:E639)</f>
        <v>1122052</v>
      </c>
      <c r="D639" s="268">
        <f>F639+H639</f>
        <v>1112232</v>
      </c>
      <c r="E639" s="269">
        <f>G639+I639</f>
        <v>9820</v>
      </c>
      <c r="F639" s="314">
        <v>1112232</v>
      </c>
      <c r="G639" s="269">
        <v>9820</v>
      </c>
      <c r="H639" s="287"/>
      <c r="I639" s="291"/>
    </row>
    <row r="640" spans="1:9" s="273" customFormat="1" ht="12.75" customHeight="1">
      <c r="A640" s="265"/>
      <c r="B640" s="266" t="s">
        <v>289</v>
      </c>
      <c r="C640" s="259">
        <f>SUM(D640:E640)</f>
        <v>65000</v>
      </c>
      <c r="D640" s="268">
        <f>F640+H640</f>
        <v>65000</v>
      </c>
      <c r="E640" s="269"/>
      <c r="F640" s="314">
        <v>65000</v>
      </c>
      <c r="G640" s="269"/>
      <c r="H640" s="287"/>
      <c r="I640" s="291"/>
    </row>
    <row r="641" spans="1:9" ht="12">
      <c r="A641" s="257"/>
      <c r="B641" s="258" t="s">
        <v>257</v>
      </c>
      <c r="C641" s="259">
        <f>SUM(C642:C643)</f>
        <v>550000</v>
      </c>
      <c r="D641" s="260">
        <f>SUM(D642:D643)</f>
        <v>550000</v>
      </c>
      <c r="E641" s="261"/>
      <c r="F641" s="283">
        <f>SUM(F642:F643)</f>
        <v>550000</v>
      </c>
      <c r="G641" s="261"/>
      <c r="H641" s="283"/>
      <c r="I641" s="284"/>
    </row>
    <row r="642" spans="1:9" s="415" customFormat="1" ht="14.25" customHeight="1">
      <c r="A642" s="265"/>
      <c r="B642" s="522" t="s">
        <v>270</v>
      </c>
      <c r="C642" s="267">
        <f>D642+E642</f>
        <v>394500</v>
      </c>
      <c r="D642" s="268">
        <f>F642+H642</f>
        <v>394500</v>
      </c>
      <c r="E642" s="269"/>
      <c r="F642" s="268">
        <v>394500</v>
      </c>
      <c r="G642" s="269"/>
      <c r="H642" s="313"/>
      <c r="I642" s="291"/>
    </row>
    <row r="643" spans="1:9" s="273" customFormat="1" ht="12">
      <c r="A643" s="396"/>
      <c r="B643" s="315" t="s">
        <v>258</v>
      </c>
      <c r="C643" s="594">
        <f>SUM(D643:E643)</f>
        <v>155500</v>
      </c>
      <c r="D643" s="383">
        <f>F643+H643</f>
        <v>155500</v>
      </c>
      <c r="E643" s="384"/>
      <c r="F643" s="385">
        <v>155500</v>
      </c>
      <c r="G643" s="384"/>
      <c r="H643" s="385"/>
      <c r="I643" s="392"/>
    </row>
    <row r="644" spans="1:9" s="281" customFormat="1" ht="46.5" customHeight="1">
      <c r="A644" s="312">
        <v>85220</v>
      </c>
      <c r="B644" s="434" t="s">
        <v>362</v>
      </c>
      <c r="C644" s="288">
        <f>SUM(C645)</f>
        <v>237900</v>
      </c>
      <c r="D644" s="191">
        <f>SUM(D645)</f>
        <v>237900</v>
      </c>
      <c r="E644" s="289"/>
      <c r="F644" s="290">
        <f>SUM(F645)</f>
        <v>41900</v>
      </c>
      <c r="G644" s="289"/>
      <c r="H644" s="512">
        <f>SUM(H645)</f>
        <v>196000</v>
      </c>
      <c r="I644" s="193"/>
    </row>
    <row r="645" spans="1:9" ht="13.5" customHeight="1">
      <c r="A645" s="443"/>
      <c r="B645" s="506" t="s">
        <v>300</v>
      </c>
      <c r="C645" s="411">
        <f>C646+C648+C649</f>
        <v>237900</v>
      </c>
      <c r="D645" s="445">
        <f>F645+H645</f>
        <v>237900</v>
      </c>
      <c r="E645" s="446"/>
      <c r="F645" s="447">
        <f>SUM(F646:F649)</f>
        <v>41900</v>
      </c>
      <c r="G645" s="456"/>
      <c r="H645" s="595">
        <f>SUM(H646:H649)</f>
        <v>196000</v>
      </c>
      <c r="I645" s="450"/>
    </row>
    <row r="646" spans="1:9" ht="12" hidden="1">
      <c r="A646" s="257"/>
      <c r="B646" s="266" t="s">
        <v>286</v>
      </c>
      <c r="C646" s="267">
        <f>SUM(D646:E646)</f>
        <v>0</v>
      </c>
      <c r="D646" s="268">
        <f>F646+H646</f>
        <v>0</v>
      </c>
      <c r="E646" s="261"/>
      <c r="F646" s="287"/>
      <c r="G646" s="261"/>
      <c r="H646" s="314"/>
      <c r="I646" s="291"/>
    </row>
    <row r="647" spans="1:9" ht="12" hidden="1">
      <c r="A647" s="257"/>
      <c r="B647" s="266" t="s">
        <v>287</v>
      </c>
      <c r="C647" s="259"/>
      <c r="D647" s="260"/>
      <c r="E647" s="261"/>
      <c r="F647" s="287"/>
      <c r="G647" s="261"/>
      <c r="H647" s="314"/>
      <c r="I647" s="291"/>
    </row>
    <row r="648" spans="1:9" s="273" customFormat="1" ht="12">
      <c r="A648" s="265"/>
      <c r="B648" s="286" t="s">
        <v>273</v>
      </c>
      <c r="C648" s="267">
        <f>SUM(D648:E648)</f>
        <v>196000</v>
      </c>
      <c r="D648" s="268">
        <f>F648+H648</f>
        <v>196000</v>
      </c>
      <c r="E648" s="269"/>
      <c r="F648" s="287"/>
      <c r="G648" s="269"/>
      <c r="H648" s="314">
        <v>196000</v>
      </c>
      <c r="I648" s="291"/>
    </row>
    <row r="649" spans="1:9" s="273" customFormat="1" ht="13.5" customHeight="1">
      <c r="A649" s="265"/>
      <c r="B649" s="266" t="s">
        <v>262</v>
      </c>
      <c r="C649" s="267">
        <f>SUM(D649:E649)</f>
        <v>41900</v>
      </c>
      <c r="D649" s="268">
        <f>F649+H649</f>
        <v>41900</v>
      </c>
      <c r="E649" s="269"/>
      <c r="F649" s="287">
        <v>41900</v>
      </c>
      <c r="G649" s="269"/>
      <c r="H649" s="314"/>
      <c r="I649" s="291"/>
    </row>
    <row r="650" spans="1:9" s="273" customFormat="1" ht="12.75" customHeight="1">
      <c r="A650" s="396"/>
      <c r="B650" s="315" t="s">
        <v>289</v>
      </c>
      <c r="C650" s="594">
        <f>SUM(D650:E650)</f>
        <v>9000</v>
      </c>
      <c r="D650" s="383">
        <f>F650+H650</f>
        <v>9000</v>
      </c>
      <c r="E650" s="384"/>
      <c r="F650" s="385">
        <v>9000</v>
      </c>
      <c r="G650" s="384"/>
      <c r="H650" s="517"/>
      <c r="I650" s="392"/>
    </row>
    <row r="651" spans="1:9" s="281" customFormat="1" ht="24">
      <c r="A651" s="312">
        <v>85226</v>
      </c>
      <c r="B651" s="434" t="s">
        <v>363</v>
      </c>
      <c r="C651" s="288">
        <f>SUM(C652)</f>
        <v>374003</v>
      </c>
      <c r="D651" s="191">
        <f>SUM(D652)</f>
        <v>374003</v>
      </c>
      <c r="E651" s="289"/>
      <c r="F651" s="290"/>
      <c r="G651" s="476"/>
      <c r="H651" s="512">
        <f>SUM(H652)</f>
        <v>374003</v>
      </c>
      <c r="I651" s="193"/>
    </row>
    <row r="652" spans="1:9" ht="12.75">
      <c r="A652" s="257"/>
      <c r="B652" s="282" t="s">
        <v>261</v>
      </c>
      <c r="C652" s="259">
        <f>SUM(C653:C655)</f>
        <v>374003</v>
      </c>
      <c r="D652" s="260">
        <f>SUM(D653:D655)</f>
        <v>374003</v>
      </c>
      <c r="E652" s="261"/>
      <c r="F652" s="262"/>
      <c r="G652" s="393"/>
      <c r="H652" s="391">
        <f>SUM(H653:H655)</f>
        <v>374003</v>
      </c>
      <c r="I652" s="264"/>
    </row>
    <row r="653" spans="1:9" ht="12">
      <c r="A653" s="257"/>
      <c r="B653" s="266" t="s">
        <v>286</v>
      </c>
      <c r="C653" s="267">
        <f>SUM(D653:E653)</f>
        <v>322963</v>
      </c>
      <c r="D653" s="268">
        <f>F653+H653</f>
        <v>322963</v>
      </c>
      <c r="E653" s="269"/>
      <c r="F653" s="287"/>
      <c r="G653" s="261"/>
      <c r="H653" s="314">
        <v>322963</v>
      </c>
      <c r="I653" s="284"/>
    </row>
    <row r="654" spans="1:9" ht="12" customHeight="1">
      <c r="A654" s="257"/>
      <c r="B654" s="266" t="s">
        <v>287</v>
      </c>
      <c r="C654" s="267"/>
      <c r="D654" s="268"/>
      <c r="E654" s="269"/>
      <c r="F654" s="287"/>
      <c r="G654" s="261"/>
      <c r="H654" s="287"/>
      <c r="I654" s="284"/>
    </row>
    <row r="655" spans="1:9" ht="12" customHeight="1">
      <c r="A655" s="257"/>
      <c r="B655" s="286" t="s">
        <v>262</v>
      </c>
      <c r="C655" s="267">
        <f>SUM(D655:E655)</f>
        <v>51040</v>
      </c>
      <c r="D655" s="268">
        <f>F655+H655</f>
        <v>51040</v>
      </c>
      <c r="E655" s="269"/>
      <c r="F655" s="287"/>
      <c r="G655" s="261"/>
      <c r="H655" s="287">
        <v>51040</v>
      </c>
      <c r="I655" s="284"/>
    </row>
    <row r="656" spans="1:9" s="273" customFormat="1" ht="9.75" customHeight="1">
      <c r="A656" s="265"/>
      <c r="B656" s="266" t="s">
        <v>289</v>
      </c>
      <c r="C656" s="259">
        <f>SUM(D656:E656)</f>
        <v>0</v>
      </c>
      <c r="D656" s="268">
        <f>F656+H656</f>
        <v>0</v>
      </c>
      <c r="E656" s="269"/>
      <c r="F656" s="287"/>
      <c r="G656" s="269"/>
      <c r="H656" s="287">
        <v>0</v>
      </c>
      <c r="I656" s="291"/>
    </row>
    <row r="657" spans="1:9" s="281" customFormat="1" ht="36.75" customHeight="1">
      <c r="A657" s="312">
        <v>85228</v>
      </c>
      <c r="B657" s="434" t="s">
        <v>365</v>
      </c>
      <c r="C657" s="288">
        <f>SUM(C658)</f>
        <v>1359487</v>
      </c>
      <c r="D657" s="191">
        <f>SUM(D658)</f>
        <v>1210487</v>
      </c>
      <c r="E657" s="289">
        <f>SUM(E658)</f>
        <v>149000</v>
      </c>
      <c r="F657" s="512">
        <f>SUM(F658)</f>
        <v>1210487</v>
      </c>
      <c r="G657" s="289">
        <f>SUM(G658)</f>
        <v>149000</v>
      </c>
      <c r="H657" s="191"/>
      <c r="I657" s="593"/>
    </row>
    <row r="658" spans="1:9" ht="14.25" customHeight="1">
      <c r="A658" s="257"/>
      <c r="B658" s="282" t="s">
        <v>261</v>
      </c>
      <c r="C658" s="259">
        <f>SUM(C659:C662)</f>
        <v>1359487</v>
      </c>
      <c r="D658" s="260">
        <f>SUM(D659:D662)</f>
        <v>1210487</v>
      </c>
      <c r="E658" s="261">
        <f>SUM(E659:E662)</f>
        <v>149000</v>
      </c>
      <c r="F658" s="391">
        <f>SUM(F659:F662)</f>
        <v>1210487</v>
      </c>
      <c r="G658" s="263">
        <f>SUM(G659:G662)</f>
        <v>149000</v>
      </c>
      <c r="H658" s="417"/>
      <c r="I658" s="395"/>
    </row>
    <row r="659" spans="1:9" ht="10.5" customHeight="1">
      <c r="A659" s="257"/>
      <c r="B659" s="266" t="s">
        <v>286</v>
      </c>
      <c r="C659" s="267">
        <f>SUM(D659:E659)</f>
        <v>1251797</v>
      </c>
      <c r="D659" s="268">
        <f>F659+H659</f>
        <v>1128377</v>
      </c>
      <c r="E659" s="269">
        <f>G659+I659</f>
        <v>123420</v>
      </c>
      <c r="F659" s="314">
        <v>1128377</v>
      </c>
      <c r="G659" s="269">
        <v>123420</v>
      </c>
      <c r="H659" s="268"/>
      <c r="I659" s="284"/>
    </row>
    <row r="660" spans="1:9" ht="11.25" customHeight="1">
      <c r="A660" s="257"/>
      <c r="B660" s="266" t="s">
        <v>287</v>
      </c>
      <c r="C660" s="267"/>
      <c r="D660" s="268"/>
      <c r="E660" s="269"/>
      <c r="F660" s="314"/>
      <c r="G660" s="269"/>
      <c r="H660" s="268"/>
      <c r="I660" s="284"/>
    </row>
    <row r="661" spans="1:9" s="415" customFormat="1" ht="9.75" customHeight="1" hidden="1">
      <c r="A661" s="265"/>
      <c r="B661" s="266" t="s">
        <v>273</v>
      </c>
      <c r="C661" s="267">
        <f>SUM(D661:E661)</f>
        <v>0</v>
      </c>
      <c r="D661" s="268">
        <f>F661+H661</f>
        <v>0</v>
      </c>
      <c r="E661" s="269"/>
      <c r="F661" s="287">
        <v>0</v>
      </c>
      <c r="G661" s="271"/>
      <c r="H661" s="270"/>
      <c r="I661" s="272"/>
    </row>
    <row r="662" spans="1:9" ht="11.25" customHeight="1">
      <c r="A662" s="381"/>
      <c r="B662" s="397" t="s">
        <v>262</v>
      </c>
      <c r="C662" s="382">
        <f>SUM(D662:E662)</f>
        <v>107690</v>
      </c>
      <c r="D662" s="383">
        <f>F662+H662</f>
        <v>82110</v>
      </c>
      <c r="E662" s="384">
        <f>G662+I662</f>
        <v>25580</v>
      </c>
      <c r="F662" s="517">
        <v>82110</v>
      </c>
      <c r="G662" s="384">
        <v>25580</v>
      </c>
      <c r="H662" s="383"/>
      <c r="I662" s="532"/>
    </row>
    <row r="663" spans="1:9" ht="12" customHeight="1">
      <c r="A663" s="312">
        <v>85295</v>
      </c>
      <c r="B663" s="434" t="s">
        <v>268</v>
      </c>
      <c r="C663" s="276">
        <f>SUM(C664+C670)</f>
        <v>1448870</v>
      </c>
      <c r="D663" s="277">
        <f>SUM(D664+D670)</f>
        <v>1432370</v>
      </c>
      <c r="E663" s="278">
        <f>E664</f>
        <v>16500</v>
      </c>
      <c r="F663" s="279">
        <f>SUM(F664+F670)</f>
        <v>1429370</v>
      </c>
      <c r="G663" s="277"/>
      <c r="H663" s="279">
        <f>H664</f>
        <v>3000</v>
      </c>
      <c r="I663" s="596">
        <f>SUM(I664+I670)</f>
        <v>16500</v>
      </c>
    </row>
    <row r="664" spans="1:9" ht="11.25" customHeight="1">
      <c r="A664" s="443"/>
      <c r="B664" s="506" t="s">
        <v>300</v>
      </c>
      <c r="C664" s="513">
        <f>SUM(C665:C669)-C667</f>
        <v>1448870</v>
      </c>
      <c r="D664" s="260">
        <f>F664+H664</f>
        <v>1432370</v>
      </c>
      <c r="E664" s="261">
        <f>SUM(E665:E669)-E667</f>
        <v>16500</v>
      </c>
      <c r="F664" s="449">
        <f>SUM(F665:F669)</f>
        <v>1429370</v>
      </c>
      <c r="G664" s="597"/>
      <c r="H664" s="449">
        <f>H669+H668+H665</f>
        <v>3000</v>
      </c>
      <c r="I664" s="598">
        <f>SUM(I665:I669)-I667</f>
        <v>16500</v>
      </c>
    </row>
    <row r="665" spans="1:9" s="380" customFormat="1" ht="12" hidden="1">
      <c r="A665" s="599"/>
      <c r="B665" s="600" t="s">
        <v>286</v>
      </c>
      <c r="C665" s="601">
        <f>SUM(D665:E665)</f>
        <v>0</v>
      </c>
      <c r="D665" s="345">
        <f>F665</f>
        <v>0</v>
      </c>
      <c r="E665" s="346">
        <f>G665+I665</f>
        <v>0</v>
      </c>
      <c r="F665" s="1835"/>
      <c r="G665" s="1836"/>
      <c r="H665" s="1835"/>
      <c r="I665" s="1837">
        <v>0</v>
      </c>
    </row>
    <row r="666" spans="1:9" ht="12.75" hidden="1">
      <c r="A666" s="257"/>
      <c r="B666" s="266" t="s">
        <v>287</v>
      </c>
      <c r="C666" s="601"/>
      <c r="D666" s="260"/>
      <c r="E666" s="269"/>
      <c r="F666" s="394"/>
      <c r="G666" s="393"/>
      <c r="H666" s="394"/>
      <c r="I666" s="604"/>
    </row>
    <row r="667" spans="1:9" ht="12.75" hidden="1">
      <c r="A667" s="257"/>
      <c r="B667" s="460" t="s">
        <v>299</v>
      </c>
      <c r="C667" s="1838">
        <f aca="true" t="shared" si="31" ref="C667:C673">SUM(D667:E667)</f>
        <v>0</v>
      </c>
      <c r="D667" s="260"/>
      <c r="E667" s="269">
        <f>G667+I667</f>
        <v>0</v>
      </c>
      <c r="F667" s="394"/>
      <c r="G667" s="393"/>
      <c r="H667" s="394"/>
      <c r="I667" s="602"/>
    </row>
    <row r="668" spans="1:9" s="415" customFormat="1" ht="10.5" customHeight="1">
      <c r="A668" s="265"/>
      <c r="B668" s="266" t="s">
        <v>273</v>
      </c>
      <c r="C668" s="267">
        <f t="shared" si="31"/>
        <v>150000</v>
      </c>
      <c r="D668" s="268">
        <f>F668+H668</f>
        <v>150000</v>
      </c>
      <c r="E668" s="269"/>
      <c r="F668" s="287">
        <v>150000</v>
      </c>
      <c r="G668" s="271"/>
      <c r="H668" s="270"/>
      <c r="I668" s="291"/>
    </row>
    <row r="669" spans="1:9" s="415" customFormat="1" ht="10.5" customHeight="1" thickBot="1">
      <c r="A669" s="265"/>
      <c r="B669" s="266" t="s">
        <v>262</v>
      </c>
      <c r="C669" s="267">
        <f t="shared" si="31"/>
        <v>1298870</v>
      </c>
      <c r="D669" s="268">
        <f>F669+H669</f>
        <v>1282370</v>
      </c>
      <c r="E669" s="269">
        <f>G669+I669</f>
        <v>16500</v>
      </c>
      <c r="F669" s="287">
        <v>1279370</v>
      </c>
      <c r="G669" s="271"/>
      <c r="H669" s="270">
        <v>3000</v>
      </c>
      <c r="I669" s="291">
        <v>16500</v>
      </c>
    </row>
    <row r="670" spans="1:9" ht="12.75" hidden="1" thickBot="1">
      <c r="A670" s="257"/>
      <c r="B670" s="258" t="s">
        <v>257</v>
      </c>
      <c r="C670" s="267">
        <f t="shared" si="31"/>
        <v>0</v>
      </c>
      <c r="D670" s="260">
        <f>SUM(D671:D672)</f>
        <v>0</v>
      </c>
      <c r="E670" s="269">
        <f>G670+I670</f>
        <v>0</v>
      </c>
      <c r="F670" s="283">
        <f>SUM(F671:F672)</f>
        <v>0</v>
      </c>
      <c r="G670" s="261"/>
      <c r="H670" s="283"/>
      <c r="I670" s="284"/>
    </row>
    <row r="671" spans="1:9" s="273" customFormat="1" ht="12.75" hidden="1" thickBot="1">
      <c r="A671" s="265"/>
      <c r="B671" s="266" t="s">
        <v>270</v>
      </c>
      <c r="C671" s="267">
        <f t="shared" si="31"/>
        <v>0</v>
      </c>
      <c r="D671" s="268">
        <f>F671+H671</f>
        <v>0</v>
      </c>
      <c r="E671" s="269">
        <f>G671+I671</f>
        <v>0</v>
      </c>
      <c r="F671" s="287"/>
      <c r="G671" s="269"/>
      <c r="H671" s="287"/>
      <c r="I671" s="291"/>
    </row>
    <row r="672" spans="1:9" s="273" customFormat="1" ht="15.75" customHeight="1" hidden="1">
      <c r="A672" s="396"/>
      <c r="B672" s="315" t="s">
        <v>258</v>
      </c>
      <c r="C672" s="267">
        <f t="shared" si="31"/>
        <v>0</v>
      </c>
      <c r="D672" s="383">
        <f>F672+H672</f>
        <v>0</v>
      </c>
      <c r="E672" s="269">
        <f>G672+I672</f>
        <v>0</v>
      </c>
      <c r="F672" s="385"/>
      <c r="G672" s="384"/>
      <c r="H672" s="385"/>
      <c r="I672" s="392"/>
    </row>
    <row r="673" spans="1:9" s="273" customFormat="1" ht="12.75" hidden="1" thickBot="1">
      <c r="A673" s="265"/>
      <c r="B673" s="460" t="s">
        <v>299</v>
      </c>
      <c r="C673" s="344">
        <f t="shared" si="31"/>
        <v>0</v>
      </c>
      <c r="D673" s="345"/>
      <c r="E673" s="346">
        <f>G673+I673</f>
        <v>0</v>
      </c>
      <c r="F673" s="347"/>
      <c r="G673" s="346"/>
      <c r="H673" s="347"/>
      <c r="I673" s="461">
        <v>0</v>
      </c>
    </row>
    <row r="674" spans="1:9" s="415" customFormat="1" ht="55.5" customHeight="1" thickBot="1" thickTop="1">
      <c r="A674" s="605">
        <v>853</v>
      </c>
      <c r="B674" s="251" t="s">
        <v>164</v>
      </c>
      <c r="C674" s="252">
        <f>C684+C694+C690+C704+C701</f>
        <v>7150033</v>
      </c>
      <c r="D674" s="253">
        <f>D684+D694+D690+D704+D701</f>
        <v>7024033</v>
      </c>
      <c r="E674" s="253">
        <f>E684+E694+E690+E704</f>
        <v>126000</v>
      </c>
      <c r="F674" s="255">
        <f>F684+F694+F690+F704</f>
        <v>4347234</v>
      </c>
      <c r="G674" s="254"/>
      <c r="H674" s="255">
        <f>H684+H694+H690+H704+H701</f>
        <v>2676799</v>
      </c>
      <c r="I674" s="200">
        <f>I684+I694+I690+I704</f>
        <v>126000</v>
      </c>
    </row>
    <row r="675" spans="1:9" s="341" customFormat="1" ht="14.25" thickTop="1">
      <c r="A675" s="606"/>
      <c r="B675" s="607" t="s">
        <v>300</v>
      </c>
      <c r="C675" s="319">
        <f>D675+E675</f>
        <v>6984033</v>
      </c>
      <c r="D675" s="320">
        <f>F675+H675</f>
        <v>6858033</v>
      </c>
      <c r="E675" s="321">
        <f>SUM(E676:E679)</f>
        <v>126000</v>
      </c>
      <c r="F675" s="467">
        <f>F685+F691+F695+F705</f>
        <v>4181234</v>
      </c>
      <c r="G675" s="468"/>
      <c r="H675" s="324">
        <f>H684+H691+H694+H704+H702</f>
        <v>2676799</v>
      </c>
      <c r="I675" s="338">
        <f>SUM(I676:I679)</f>
        <v>126000</v>
      </c>
    </row>
    <row r="676" spans="1:9" s="273" customFormat="1" ht="12.75" customHeight="1">
      <c r="A676" s="608"/>
      <c r="B676" s="266" t="s">
        <v>286</v>
      </c>
      <c r="C676" s="327">
        <f>D676+E676</f>
        <v>691135</v>
      </c>
      <c r="D676" s="328">
        <f>F676+H676</f>
        <v>597865</v>
      </c>
      <c r="E676" s="271">
        <f>G676+I676</f>
        <v>93270</v>
      </c>
      <c r="F676" s="329">
        <f>F696+F706</f>
        <v>333649</v>
      </c>
      <c r="G676" s="470"/>
      <c r="H676" s="270">
        <f>H696+H706</f>
        <v>264216</v>
      </c>
      <c r="I676" s="272">
        <f>I696</f>
        <v>93270</v>
      </c>
    </row>
    <row r="677" spans="1:9" s="273" customFormat="1" ht="12.75" customHeight="1">
      <c r="A677" s="608"/>
      <c r="B677" s="266" t="s">
        <v>287</v>
      </c>
      <c r="C677" s="327"/>
      <c r="D677" s="328"/>
      <c r="E677" s="271"/>
      <c r="F677" s="329"/>
      <c r="G677" s="271"/>
      <c r="H677" s="270"/>
      <c r="I677" s="272"/>
    </row>
    <row r="678" spans="1:9" s="273" customFormat="1" ht="12.75" customHeight="1">
      <c r="A678" s="608"/>
      <c r="B678" s="286" t="s">
        <v>273</v>
      </c>
      <c r="C678" s="327">
        <f aca="true" t="shared" si="32" ref="C678:C683">D678+E678</f>
        <v>5183753</v>
      </c>
      <c r="D678" s="328">
        <f aca="true" t="shared" si="33" ref="D678:D683">F678+H678</f>
        <v>5183753</v>
      </c>
      <c r="E678" s="271"/>
      <c r="F678" s="329">
        <f>F686+F692+F708</f>
        <v>3181000</v>
      </c>
      <c r="G678" s="271"/>
      <c r="H678" s="270">
        <f>H692+H708+H703</f>
        <v>2002753</v>
      </c>
      <c r="I678" s="272"/>
    </row>
    <row r="679" spans="1:9" s="273" customFormat="1" ht="12.75" customHeight="1">
      <c r="A679" s="608"/>
      <c r="B679" s="266" t="s">
        <v>262</v>
      </c>
      <c r="C679" s="327">
        <f t="shared" si="32"/>
        <v>1109145</v>
      </c>
      <c r="D679" s="328">
        <f t="shared" si="33"/>
        <v>1076415</v>
      </c>
      <c r="E679" s="271">
        <f>G679+I679</f>
        <v>32730</v>
      </c>
      <c r="F679" s="329">
        <f>F709</f>
        <v>666585</v>
      </c>
      <c r="G679" s="470"/>
      <c r="H679" s="270">
        <f>H693+H698+H709</f>
        <v>409830</v>
      </c>
      <c r="I679" s="272">
        <f>I693+I698+I709</f>
        <v>32730</v>
      </c>
    </row>
    <row r="680" spans="1:9" s="341" customFormat="1" ht="12.75" customHeight="1">
      <c r="A680" s="606"/>
      <c r="B680" s="318" t="s">
        <v>257</v>
      </c>
      <c r="C680" s="2301">
        <f t="shared" si="32"/>
        <v>166000</v>
      </c>
      <c r="D680" s="2302">
        <f t="shared" si="33"/>
        <v>166000</v>
      </c>
      <c r="E680" s="418"/>
      <c r="F680" s="2303">
        <f>F687</f>
        <v>166000</v>
      </c>
      <c r="G680" s="321"/>
      <c r="H680" s="337"/>
      <c r="I680" s="338"/>
    </row>
    <row r="681" spans="1:9" s="341" customFormat="1" ht="12.75" customHeight="1">
      <c r="A681" s="606"/>
      <c r="B681" s="609" t="s">
        <v>270</v>
      </c>
      <c r="C681" s="327">
        <f t="shared" si="32"/>
        <v>166000</v>
      </c>
      <c r="D681" s="328">
        <f t="shared" si="33"/>
        <v>166000</v>
      </c>
      <c r="E681" s="271"/>
      <c r="F681" s="329">
        <f>F688</f>
        <v>166000</v>
      </c>
      <c r="G681" s="610"/>
      <c r="H681" s="337"/>
      <c r="I681" s="338"/>
    </row>
    <row r="682" spans="1:9" s="341" customFormat="1" ht="12.75" customHeight="1" thickBot="1">
      <c r="A682" s="611"/>
      <c r="B682" s="612" t="s">
        <v>274</v>
      </c>
      <c r="C682" s="422">
        <f t="shared" si="32"/>
        <v>166000</v>
      </c>
      <c r="D682" s="423">
        <f t="shared" si="33"/>
        <v>166000</v>
      </c>
      <c r="E682" s="357"/>
      <c r="F682" s="356">
        <f>F689</f>
        <v>166000</v>
      </c>
      <c r="G682" s="613"/>
      <c r="H682" s="490"/>
      <c r="I682" s="491"/>
    </row>
    <row r="683" spans="1:9" s="273" customFormat="1" ht="12.75" customHeight="1" hidden="1">
      <c r="A683" s="614"/>
      <c r="B683" s="397" t="s">
        <v>258</v>
      </c>
      <c r="C683" s="382">
        <f t="shared" si="32"/>
        <v>0</v>
      </c>
      <c r="D683" s="399">
        <f t="shared" si="33"/>
        <v>0</v>
      </c>
      <c r="E683" s="384"/>
      <c r="F683" s="517">
        <f>F700</f>
        <v>0</v>
      </c>
      <c r="G683" s="615"/>
      <c r="H683" s="385">
        <f>H700</f>
        <v>0</v>
      </c>
      <c r="I683" s="392"/>
    </row>
    <row r="684" spans="1:9" ht="12.75" customHeight="1" thickTop="1">
      <c r="A684" s="360">
        <v>85305</v>
      </c>
      <c r="B684" s="428" t="s">
        <v>366</v>
      </c>
      <c r="C684" s="429">
        <f>C685+C687</f>
        <v>3347000</v>
      </c>
      <c r="D684" s="430">
        <f>D685+D687</f>
        <v>3347000</v>
      </c>
      <c r="E684" s="431"/>
      <c r="F684" s="432">
        <f>F685+F687</f>
        <v>3347000</v>
      </c>
      <c r="G684" s="431"/>
      <c r="H684" s="432"/>
      <c r="I684" s="433"/>
    </row>
    <row r="685" spans="1:9" ht="13.5" customHeight="1">
      <c r="A685" s="257"/>
      <c r="B685" s="258" t="s">
        <v>300</v>
      </c>
      <c r="C685" s="259">
        <f>SUM(C686)</f>
        <v>3181000</v>
      </c>
      <c r="D685" s="260">
        <f>SUM(D686)</f>
        <v>3181000</v>
      </c>
      <c r="E685" s="261"/>
      <c r="F685" s="262">
        <f>SUM(F686)</f>
        <v>3181000</v>
      </c>
      <c r="G685" s="263"/>
      <c r="H685" s="262"/>
      <c r="I685" s="264"/>
    </row>
    <row r="686" spans="1:9" s="273" customFormat="1" ht="12" customHeight="1">
      <c r="A686" s="265"/>
      <c r="B686" s="266" t="s">
        <v>273</v>
      </c>
      <c r="C686" s="267">
        <f>SUM(D686:E686)</f>
        <v>3181000</v>
      </c>
      <c r="D686" s="268">
        <f>F686+H686</f>
        <v>3181000</v>
      </c>
      <c r="E686" s="269"/>
      <c r="F686" s="287">
        <v>3181000</v>
      </c>
      <c r="G686" s="269"/>
      <c r="H686" s="287"/>
      <c r="I686" s="291"/>
    </row>
    <row r="687" spans="1:9" s="273" customFormat="1" ht="12" customHeight="1">
      <c r="A687" s="265"/>
      <c r="B687" s="258" t="s">
        <v>257</v>
      </c>
      <c r="C687" s="267">
        <f>C688</f>
        <v>166000</v>
      </c>
      <c r="D687" s="268">
        <f>D688</f>
        <v>166000</v>
      </c>
      <c r="E687" s="269"/>
      <c r="F687" s="287">
        <f>F688</f>
        <v>166000</v>
      </c>
      <c r="G687" s="269"/>
      <c r="H687" s="287"/>
      <c r="I687" s="291"/>
    </row>
    <row r="688" spans="1:9" s="273" customFormat="1" ht="12" customHeight="1">
      <c r="A688" s="265"/>
      <c r="B688" s="609" t="s">
        <v>270</v>
      </c>
      <c r="C688" s="267">
        <f>SUM(D688:E688)</f>
        <v>166000</v>
      </c>
      <c r="D688" s="268">
        <f>F688+H688</f>
        <v>166000</v>
      </c>
      <c r="E688" s="269"/>
      <c r="F688" s="287">
        <v>166000</v>
      </c>
      <c r="G688" s="269"/>
      <c r="H688" s="287"/>
      <c r="I688" s="291"/>
    </row>
    <row r="689" spans="1:9" s="273" customFormat="1" ht="12" customHeight="1">
      <c r="A689" s="396"/>
      <c r="B689" s="616" t="s">
        <v>274</v>
      </c>
      <c r="C689" s="382">
        <f>SUM(D689:E689)</f>
        <v>166000</v>
      </c>
      <c r="D689" s="383">
        <f>F689+H689</f>
        <v>166000</v>
      </c>
      <c r="E689" s="384"/>
      <c r="F689" s="385">
        <v>166000</v>
      </c>
      <c r="G689" s="384"/>
      <c r="H689" s="385"/>
      <c r="I689" s="392"/>
    </row>
    <row r="690" spans="1:9" s="273" customFormat="1" ht="36.75" customHeight="1">
      <c r="A690" s="360">
        <v>85311</v>
      </c>
      <c r="B690" s="428" t="s">
        <v>367</v>
      </c>
      <c r="C690" s="288">
        <f>SUM(C691)</f>
        <v>199237</v>
      </c>
      <c r="D690" s="191">
        <f>SUM(D691)</f>
        <v>199237</v>
      </c>
      <c r="E690" s="431"/>
      <c r="F690" s="536"/>
      <c r="G690" s="431"/>
      <c r="H690" s="536">
        <f>SUM(H691)</f>
        <v>199237</v>
      </c>
      <c r="I690" s="433"/>
    </row>
    <row r="691" spans="1:9" ht="13.5" customHeight="1">
      <c r="A691" s="443"/>
      <c r="B691" s="506" t="s">
        <v>300</v>
      </c>
      <c r="C691" s="513">
        <f>SUM(C692:C693)</f>
        <v>199237</v>
      </c>
      <c r="D691" s="260">
        <f>F691+H691</f>
        <v>199237</v>
      </c>
      <c r="E691" s="261"/>
      <c r="F691" s="515"/>
      <c r="G691" s="448"/>
      <c r="H691" s="449">
        <f>SUM(H692:H693)</f>
        <v>199237</v>
      </c>
      <c r="I691" s="483"/>
    </row>
    <row r="692" spans="1:9" s="273" customFormat="1" ht="15" customHeight="1">
      <c r="A692" s="265"/>
      <c r="B692" s="266" t="s">
        <v>273</v>
      </c>
      <c r="C692" s="267">
        <f>SUM(D692:E692)</f>
        <v>199237</v>
      </c>
      <c r="D692" s="268">
        <f>F692+H692</f>
        <v>199237</v>
      </c>
      <c r="E692" s="269"/>
      <c r="F692" s="287"/>
      <c r="G692" s="269"/>
      <c r="H692" s="287">
        <v>199237</v>
      </c>
      <c r="I692" s="291"/>
    </row>
    <row r="693" spans="1:9" s="273" customFormat="1" ht="12.75" customHeight="1" hidden="1">
      <c r="A693" s="396"/>
      <c r="B693" s="315" t="s">
        <v>262</v>
      </c>
      <c r="C693" s="382">
        <f>SUM(D693:E693)</f>
        <v>0</v>
      </c>
      <c r="D693" s="383">
        <f>F693+H693</f>
        <v>0</v>
      </c>
      <c r="E693" s="384"/>
      <c r="F693" s="517"/>
      <c r="G693" s="384"/>
      <c r="H693" s="517">
        <v>0</v>
      </c>
      <c r="I693" s="392"/>
    </row>
    <row r="694" spans="1:9" s="281" customFormat="1" ht="24" customHeight="1">
      <c r="A694" s="312">
        <v>85321</v>
      </c>
      <c r="B694" s="434" t="s">
        <v>368</v>
      </c>
      <c r="C694" s="288">
        <f>SUM(C695+C699)</f>
        <v>206000</v>
      </c>
      <c r="D694" s="191">
        <f>SUM(D695+D699)</f>
        <v>80000</v>
      </c>
      <c r="E694" s="191">
        <f>SUM(E695+E699)</f>
        <v>126000</v>
      </c>
      <c r="F694" s="512"/>
      <c r="G694" s="289"/>
      <c r="H694" s="290">
        <f>H695+H699</f>
        <v>80000</v>
      </c>
      <c r="I694" s="193">
        <f>I695</f>
        <v>126000</v>
      </c>
    </row>
    <row r="695" spans="1:9" ht="12.75">
      <c r="A695" s="257"/>
      <c r="B695" s="258" t="s">
        <v>300</v>
      </c>
      <c r="C695" s="259">
        <f>SUM(C696:C698)</f>
        <v>206000</v>
      </c>
      <c r="D695" s="260">
        <f>SUM(D696:D698)</f>
        <v>80000</v>
      </c>
      <c r="E695" s="260">
        <f>SUM(E696:E698)</f>
        <v>126000</v>
      </c>
      <c r="F695" s="391"/>
      <c r="G695" s="263"/>
      <c r="H695" s="262">
        <f>SUM(H696:H698)</f>
        <v>80000</v>
      </c>
      <c r="I695" s="264">
        <f>I696+I698</f>
        <v>126000</v>
      </c>
    </row>
    <row r="696" spans="1:9" s="273" customFormat="1" ht="12.75" customHeight="1">
      <c r="A696" s="265"/>
      <c r="B696" s="266" t="s">
        <v>286</v>
      </c>
      <c r="C696" s="267">
        <f>SUM(D696:E696)</f>
        <v>145007</v>
      </c>
      <c r="D696" s="268">
        <f>F696+H696</f>
        <v>51737</v>
      </c>
      <c r="E696" s="268">
        <f>G696+I696</f>
        <v>93270</v>
      </c>
      <c r="F696" s="314"/>
      <c r="G696" s="269"/>
      <c r="H696" s="287">
        <v>51737</v>
      </c>
      <c r="I696" s="291">
        <v>93270</v>
      </c>
    </row>
    <row r="697" spans="1:9" s="273" customFormat="1" ht="12" customHeight="1">
      <c r="A697" s="265"/>
      <c r="B697" s="266" t="s">
        <v>287</v>
      </c>
      <c r="C697" s="267"/>
      <c r="D697" s="268"/>
      <c r="E697" s="477"/>
      <c r="F697" s="314"/>
      <c r="G697" s="269"/>
      <c r="H697" s="287"/>
      <c r="I697" s="291"/>
    </row>
    <row r="698" spans="1:9" ht="13.5" customHeight="1">
      <c r="A698" s="381"/>
      <c r="B698" s="397" t="s">
        <v>262</v>
      </c>
      <c r="C698" s="382">
        <f>SUM(D698:E698)</f>
        <v>60993</v>
      </c>
      <c r="D698" s="383">
        <f>F698+H698</f>
        <v>28263</v>
      </c>
      <c r="E698" s="383">
        <f>G698+I698</f>
        <v>32730</v>
      </c>
      <c r="F698" s="517"/>
      <c r="G698" s="453"/>
      <c r="H698" s="385">
        <v>28263</v>
      </c>
      <c r="I698" s="392">
        <v>32730</v>
      </c>
    </row>
    <row r="699" spans="1:9" ht="17.25" customHeight="1" hidden="1">
      <c r="A699" s="257"/>
      <c r="B699" s="577" t="s">
        <v>257</v>
      </c>
      <c r="C699" s="259">
        <f>SUM(C700)</f>
        <v>0</v>
      </c>
      <c r="D699" s="260">
        <f>SUM(D700)</f>
        <v>0</v>
      </c>
      <c r="E699" s="261"/>
      <c r="F699" s="335"/>
      <c r="G699" s="261"/>
      <c r="H699" s="260">
        <f>H700</f>
        <v>0</v>
      </c>
      <c r="I699" s="291"/>
    </row>
    <row r="700" spans="1:9" ht="14.25" customHeight="1" hidden="1">
      <c r="A700" s="257"/>
      <c r="B700" s="522" t="s">
        <v>258</v>
      </c>
      <c r="C700" s="259">
        <f>SUM(D700:E700)</f>
        <v>0</v>
      </c>
      <c r="D700" s="268">
        <f>F700+H700</f>
        <v>0</v>
      </c>
      <c r="E700" s="269"/>
      <c r="F700" s="314"/>
      <c r="G700" s="261"/>
      <c r="H700" s="268">
        <v>0</v>
      </c>
      <c r="I700" s="291"/>
    </row>
    <row r="701" spans="1:9" s="281" customFormat="1" ht="17.25" customHeight="1">
      <c r="A701" s="312">
        <v>85333</v>
      </c>
      <c r="B701" s="434" t="s">
        <v>707</v>
      </c>
      <c r="C701" s="288">
        <f>C702</f>
        <v>1785580</v>
      </c>
      <c r="D701" s="191">
        <f>D702</f>
        <v>1785580</v>
      </c>
      <c r="E701" s="191"/>
      <c r="F701" s="512"/>
      <c r="G701" s="289"/>
      <c r="H701" s="290">
        <f>H702</f>
        <v>1785580</v>
      </c>
      <c r="I701" s="193"/>
    </row>
    <row r="702" spans="1:9" ht="14.25" customHeight="1">
      <c r="A702" s="257"/>
      <c r="B702" s="258" t="s">
        <v>300</v>
      </c>
      <c r="C702" s="259">
        <f>C703</f>
        <v>1785580</v>
      </c>
      <c r="D702" s="260">
        <f>D703</f>
        <v>1785580</v>
      </c>
      <c r="E702" s="269"/>
      <c r="F702" s="335"/>
      <c r="G702" s="261"/>
      <c r="H702" s="260">
        <f>H703</f>
        <v>1785580</v>
      </c>
      <c r="I702" s="291"/>
    </row>
    <row r="703" spans="1:9" ht="14.25" customHeight="1">
      <c r="A703" s="257"/>
      <c r="B703" s="266" t="s">
        <v>273</v>
      </c>
      <c r="C703" s="382">
        <f>SUM(D703:E703)</f>
        <v>1785580</v>
      </c>
      <c r="D703" s="383">
        <f>F703+H703</f>
        <v>1785580</v>
      </c>
      <c r="E703" s="269"/>
      <c r="F703" s="314"/>
      <c r="G703" s="261"/>
      <c r="H703" s="268">
        <v>1785580</v>
      </c>
      <c r="I703" s="291"/>
    </row>
    <row r="704" spans="1:9" ht="13.5" customHeight="1">
      <c r="A704" s="312">
        <v>85395</v>
      </c>
      <c r="B704" s="434" t="s">
        <v>268</v>
      </c>
      <c r="C704" s="276">
        <f>SUM(C705)</f>
        <v>1612216</v>
      </c>
      <c r="D704" s="277">
        <f>SUM(D705)</f>
        <v>1612216</v>
      </c>
      <c r="E704" s="278"/>
      <c r="F704" s="390">
        <f>SUM(F705)</f>
        <v>1000234</v>
      </c>
      <c r="G704" s="278"/>
      <c r="H704" s="279">
        <f>H705</f>
        <v>611982</v>
      </c>
      <c r="I704" s="280"/>
    </row>
    <row r="705" spans="1:9" ht="14.25" customHeight="1">
      <c r="A705" s="443"/>
      <c r="B705" s="506" t="s">
        <v>300</v>
      </c>
      <c r="C705" s="513">
        <f>SUM(C706:C709)</f>
        <v>1612216</v>
      </c>
      <c r="D705" s="260">
        <f>F705+H705</f>
        <v>1612216</v>
      </c>
      <c r="E705" s="261"/>
      <c r="F705" s="515">
        <f>SUM(F706:F709)</f>
        <v>1000234</v>
      </c>
      <c r="G705" s="448"/>
      <c r="H705" s="449">
        <f>SUM(H706:H709)</f>
        <v>611982</v>
      </c>
      <c r="I705" s="483"/>
    </row>
    <row r="706" spans="1:9" ht="12" customHeight="1">
      <c r="A706" s="257"/>
      <c r="B706" s="266" t="s">
        <v>286</v>
      </c>
      <c r="C706" s="267">
        <f>SUM(D706:E706)</f>
        <v>546128</v>
      </c>
      <c r="D706" s="268">
        <f>F706+H706</f>
        <v>546128</v>
      </c>
      <c r="E706" s="261"/>
      <c r="F706" s="617">
        <v>333649</v>
      </c>
      <c r="G706" s="618"/>
      <c r="H706" s="619">
        <v>212479</v>
      </c>
      <c r="I706" s="620"/>
    </row>
    <row r="707" spans="1:9" ht="12" customHeight="1">
      <c r="A707" s="257"/>
      <c r="B707" s="266" t="s">
        <v>287</v>
      </c>
      <c r="C707" s="267"/>
      <c r="D707" s="268"/>
      <c r="E707" s="261"/>
      <c r="F707" s="621"/>
      <c r="G707" s="393"/>
      <c r="H707" s="394"/>
      <c r="I707" s="395"/>
    </row>
    <row r="708" spans="1:9" ht="12" customHeight="1">
      <c r="A708" s="257"/>
      <c r="B708" s="266" t="s">
        <v>273</v>
      </c>
      <c r="C708" s="267">
        <f>SUM(D708:E708)</f>
        <v>17936</v>
      </c>
      <c r="D708" s="268">
        <f>F708+H708</f>
        <v>17936</v>
      </c>
      <c r="E708" s="261"/>
      <c r="F708" s="621"/>
      <c r="G708" s="393"/>
      <c r="H708" s="619">
        <v>17936</v>
      </c>
      <c r="I708" s="395"/>
    </row>
    <row r="709" spans="1:9" s="415" customFormat="1" ht="12" customHeight="1" thickBot="1">
      <c r="A709" s="265"/>
      <c r="B709" s="315" t="s">
        <v>262</v>
      </c>
      <c r="C709" s="267">
        <f>SUM(D709:E709)</f>
        <v>1048152</v>
      </c>
      <c r="D709" s="268">
        <f>F709+H709</f>
        <v>1048152</v>
      </c>
      <c r="E709" s="269"/>
      <c r="F709" s="314">
        <v>666585</v>
      </c>
      <c r="G709" s="271"/>
      <c r="H709" s="270">
        <v>381567</v>
      </c>
      <c r="I709" s="272"/>
    </row>
    <row r="710" spans="1:9" s="341" customFormat="1" ht="42" customHeight="1" thickBot="1" thickTop="1">
      <c r="A710" s="605">
        <v>854</v>
      </c>
      <c r="B710" s="251" t="s">
        <v>166</v>
      </c>
      <c r="C710" s="252">
        <f>C720+C726+C734+C740+C746+C755+C764+C769+C783+C780+C777</f>
        <v>13575039</v>
      </c>
      <c r="D710" s="253">
        <f>D720+D726+D734+D740+D746+D755+D764+D769+D783+D780+D777</f>
        <v>13575039</v>
      </c>
      <c r="E710" s="254"/>
      <c r="F710" s="316">
        <f>F720+F726+F734+F740+F746+F755+F764+F769+F783+F780+F777</f>
        <v>2569093</v>
      </c>
      <c r="G710" s="254"/>
      <c r="H710" s="255">
        <f>H720+H726+H734+H740+H746+H755+H764+H769+H783+H780+H777</f>
        <v>11005946</v>
      </c>
      <c r="I710" s="200"/>
    </row>
    <row r="711" spans="1:9" s="341" customFormat="1" ht="14.25" thickTop="1">
      <c r="A711" s="606"/>
      <c r="B711" s="607" t="s">
        <v>300</v>
      </c>
      <c r="C711" s="319">
        <f>D711+E711</f>
        <v>13318389</v>
      </c>
      <c r="D711" s="320">
        <f>F711+H711</f>
        <v>13318389</v>
      </c>
      <c r="E711" s="321"/>
      <c r="F711" s="322">
        <f>F721+F727+F741+F747+F756+F765+F770+F781+F784+F778</f>
        <v>2527893</v>
      </c>
      <c r="G711" s="321"/>
      <c r="H711" s="337">
        <f>H721+H727+H741+H747+H756+H765+H770+H781+H784+H778</f>
        <v>10790496</v>
      </c>
      <c r="I711" s="338"/>
    </row>
    <row r="712" spans="1:9" s="273" customFormat="1" ht="12.75">
      <c r="A712" s="608"/>
      <c r="B712" s="266" t="s">
        <v>286</v>
      </c>
      <c r="C712" s="327">
        <f>D712+E712</f>
        <v>7629531</v>
      </c>
      <c r="D712" s="328">
        <f>F712+H712</f>
        <v>7629531</v>
      </c>
      <c r="E712" s="271"/>
      <c r="F712" s="329">
        <f>F722+F728+F742+F748+F757+F771+F785</f>
        <v>1422880</v>
      </c>
      <c r="G712" s="271"/>
      <c r="H712" s="270">
        <f>H722+H728+H742+H748+H757+H771+H785+H766</f>
        <v>6206651</v>
      </c>
      <c r="I712" s="272"/>
    </row>
    <row r="713" spans="1:9" s="273" customFormat="1" ht="12.75">
      <c r="A713" s="608"/>
      <c r="B713" s="266" t="s">
        <v>287</v>
      </c>
      <c r="C713" s="327"/>
      <c r="D713" s="328"/>
      <c r="E713" s="271"/>
      <c r="F713" s="329"/>
      <c r="G713" s="271"/>
      <c r="H713" s="270"/>
      <c r="I713" s="272"/>
    </row>
    <row r="714" spans="1:9" s="273" customFormat="1" ht="12.75">
      <c r="A714" s="608"/>
      <c r="B714" s="286" t="s">
        <v>273</v>
      </c>
      <c r="C714" s="327">
        <f aca="true" t="shared" si="34" ref="C714:C719">D714+E714</f>
        <v>1271576</v>
      </c>
      <c r="D714" s="328">
        <f aca="true" t="shared" si="35" ref="D714:D719">F714+H714</f>
        <v>1271576</v>
      </c>
      <c r="E714" s="271"/>
      <c r="F714" s="329">
        <f>F787+F779</f>
        <v>31000</v>
      </c>
      <c r="G714" s="271"/>
      <c r="H714" s="270">
        <f>H779+H787</f>
        <v>1240576</v>
      </c>
      <c r="I714" s="272"/>
    </row>
    <row r="715" spans="1:9" s="273" customFormat="1" ht="12.75">
      <c r="A715" s="608"/>
      <c r="B715" s="266" t="s">
        <v>262</v>
      </c>
      <c r="C715" s="327">
        <f t="shared" si="34"/>
        <v>4417282</v>
      </c>
      <c r="D715" s="328">
        <f t="shared" si="35"/>
        <v>4417282</v>
      </c>
      <c r="E715" s="271"/>
      <c r="F715" s="329">
        <f>F724+F730+F744+F750+F759+F768+F773+F782+F788</f>
        <v>1074013</v>
      </c>
      <c r="G715" s="271"/>
      <c r="H715" s="270">
        <f>H724+H730+H744+H750+H759+H768+H773+H782+H788</f>
        <v>3343269</v>
      </c>
      <c r="I715" s="272"/>
    </row>
    <row r="716" spans="1:9" s="273" customFormat="1" ht="12">
      <c r="A716" s="622"/>
      <c r="B716" s="522" t="s">
        <v>289</v>
      </c>
      <c r="C716" s="259">
        <f t="shared" si="34"/>
        <v>45700</v>
      </c>
      <c r="D716" s="260">
        <f t="shared" si="35"/>
        <v>45700</v>
      </c>
      <c r="E716" s="261"/>
      <c r="F716" s="283">
        <f>F725+F731+F760+F751+F774</f>
        <v>3300</v>
      </c>
      <c r="G716" s="261"/>
      <c r="H716" s="283">
        <f>H725+H731+H760+H751+H774+H745</f>
        <v>42400</v>
      </c>
      <c r="I716" s="284"/>
    </row>
    <row r="717" spans="1:9" s="341" customFormat="1" ht="13.5">
      <c r="A717" s="606"/>
      <c r="B717" s="318" t="s">
        <v>257</v>
      </c>
      <c r="C717" s="319">
        <f t="shared" si="34"/>
        <v>256650</v>
      </c>
      <c r="D717" s="320">
        <f t="shared" si="35"/>
        <v>256650</v>
      </c>
      <c r="E717" s="321"/>
      <c r="F717" s="337">
        <f>F761+F790+F775+F752+F732</f>
        <v>41200</v>
      </c>
      <c r="G717" s="321"/>
      <c r="H717" s="337">
        <f>H761+H790+H775+H752+H732</f>
        <v>215450</v>
      </c>
      <c r="I717" s="338"/>
    </row>
    <row r="718" spans="1:9" s="273" customFormat="1" ht="13.5" customHeight="1">
      <c r="A718" s="608"/>
      <c r="B718" s="286" t="s">
        <v>270</v>
      </c>
      <c r="C718" s="327">
        <f t="shared" si="34"/>
        <v>247500</v>
      </c>
      <c r="D718" s="328">
        <f>F718+H718</f>
        <v>247500</v>
      </c>
      <c r="E718" s="271"/>
      <c r="F718" s="270">
        <f>F762+F791+F776</f>
        <v>41200</v>
      </c>
      <c r="G718" s="271"/>
      <c r="H718" s="2458">
        <f>H762+H791+H776+H739+H753</f>
        <v>206300</v>
      </c>
      <c r="I718" s="272"/>
    </row>
    <row r="719" spans="1:9" s="273" customFormat="1" ht="13.5" customHeight="1">
      <c r="A719" s="608"/>
      <c r="B719" s="286" t="s">
        <v>258</v>
      </c>
      <c r="C719" s="327">
        <f t="shared" si="34"/>
        <v>9150</v>
      </c>
      <c r="D719" s="328">
        <f t="shared" si="35"/>
        <v>9150</v>
      </c>
      <c r="E719" s="271"/>
      <c r="F719" s="270"/>
      <c r="G719" s="271"/>
      <c r="H719" s="270">
        <f>H754+H733+H763</f>
        <v>9150</v>
      </c>
      <c r="I719" s="272"/>
    </row>
    <row r="720" spans="1:9" s="281" customFormat="1" ht="15" customHeight="1">
      <c r="A720" s="312">
        <v>85401</v>
      </c>
      <c r="B720" s="434" t="s">
        <v>369</v>
      </c>
      <c r="C720" s="276">
        <f aca="true" t="shared" si="36" ref="C720:H720">SUM(C721)</f>
        <v>1618021</v>
      </c>
      <c r="D720" s="277">
        <f t="shared" si="36"/>
        <v>1618021</v>
      </c>
      <c r="E720" s="278"/>
      <c r="F720" s="279">
        <f t="shared" si="36"/>
        <v>1320421</v>
      </c>
      <c r="G720" s="278"/>
      <c r="H720" s="279">
        <f t="shared" si="36"/>
        <v>297600</v>
      </c>
      <c r="I720" s="280"/>
    </row>
    <row r="721" spans="1:9" ht="12.75">
      <c r="A721" s="443"/>
      <c r="B721" s="506" t="s">
        <v>300</v>
      </c>
      <c r="C721" s="513">
        <f>SUM(C722:C724)</f>
        <v>1618021</v>
      </c>
      <c r="D721" s="260">
        <f>F721+H721</f>
        <v>1618021</v>
      </c>
      <c r="E721" s="261"/>
      <c r="F721" s="449">
        <f>SUM(F722:F724)</f>
        <v>1320421</v>
      </c>
      <c r="G721" s="448"/>
      <c r="H721" s="449">
        <f>SUM(H722:H724)</f>
        <v>297600</v>
      </c>
      <c r="I721" s="483"/>
    </row>
    <row r="722" spans="1:9" s="415" customFormat="1" ht="12">
      <c r="A722" s="265"/>
      <c r="B722" s="266" t="s">
        <v>286</v>
      </c>
      <c r="C722" s="267">
        <f>SUM(D722:E722)</f>
        <v>1491559</v>
      </c>
      <c r="D722" s="268">
        <f>F722+H722</f>
        <v>1491559</v>
      </c>
      <c r="E722" s="269"/>
      <c r="F722" s="287">
        <v>1212440</v>
      </c>
      <c r="G722" s="269"/>
      <c r="H722" s="287">
        <v>279119</v>
      </c>
      <c r="I722" s="291"/>
    </row>
    <row r="723" spans="1:9" s="415" customFormat="1" ht="12">
      <c r="A723" s="265"/>
      <c r="B723" s="266" t="s">
        <v>287</v>
      </c>
      <c r="C723" s="267"/>
      <c r="D723" s="268"/>
      <c r="E723" s="269"/>
      <c r="F723" s="287"/>
      <c r="G723" s="269"/>
      <c r="H723" s="287"/>
      <c r="I723" s="291"/>
    </row>
    <row r="724" spans="1:9" s="415" customFormat="1" ht="12" customHeight="1">
      <c r="A724" s="265"/>
      <c r="B724" s="266" t="s">
        <v>262</v>
      </c>
      <c r="C724" s="267">
        <f>SUM(D724:E724)</f>
        <v>126462</v>
      </c>
      <c r="D724" s="268">
        <f>F724+H724</f>
        <v>126462</v>
      </c>
      <c r="E724" s="269"/>
      <c r="F724" s="287">
        <v>107981</v>
      </c>
      <c r="G724" s="269"/>
      <c r="H724" s="287">
        <v>18481</v>
      </c>
      <c r="I724" s="291"/>
    </row>
    <row r="725" spans="1:9" s="415" customFormat="1" ht="10.5" customHeight="1">
      <c r="A725" s="396"/>
      <c r="B725" s="315" t="s">
        <v>289</v>
      </c>
      <c r="C725" s="382">
        <f>SUM(D725:E725)</f>
        <v>300</v>
      </c>
      <c r="D725" s="383">
        <f>F725+H725</f>
        <v>300</v>
      </c>
      <c r="E725" s="384"/>
      <c r="F725" s="385"/>
      <c r="G725" s="384"/>
      <c r="H725" s="385">
        <v>300</v>
      </c>
      <c r="I725" s="392"/>
    </row>
    <row r="726" spans="1:9" s="273" customFormat="1" ht="24" customHeight="1">
      <c r="A726" s="312">
        <v>85403</v>
      </c>
      <c r="B726" s="434" t="s">
        <v>370</v>
      </c>
      <c r="C726" s="276">
        <f>SUM(C727+C732)</f>
        <v>1562606</v>
      </c>
      <c r="D726" s="277">
        <f>SUM(D727+D732)</f>
        <v>1562606</v>
      </c>
      <c r="E726" s="278"/>
      <c r="F726" s="279"/>
      <c r="G726" s="278"/>
      <c r="H726" s="277">
        <f>SUM(H727+H732)</f>
        <v>1562606</v>
      </c>
      <c r="I726" s="193"/>
    </row>
    <row r="727" spans="1:9" s="273" customFormat="1" ht="14.25" customHeight="1">
      <c r="A727" s="443"/>
      <c r="B727" s="506" t="s">
        <v>300</v>
      </c>
      <c r="C727" s="513">
        <f>SUM(C728:C730)</f>
        <v>1562606</v>
      </c>
      <c r="D727" s="445">
        <f>F727+H727</f>
        <v>1562606</v>
      </c>
      <c r="E727" s="446"/>
      <c r="F727" s="449"/>
      <c r="G727" s="448"/>
      <c r="H727" s="449">
        <f>SUM(H728:H730)</f>
        <v>1562606</v>
      </c>
      <c r="I727" s="450"/>
    </row>
    <row r="728" spans="1:9" s="273" customFormat="1" ht="12.75" customHeight="1">
      <c r="A728" s="265"/>
      <c r="B728" s="266" t="s">
        <v>286</v>
      </c>
      <c r="C728" s="267">
        <f>SUM(D728:E728)</f>
        <v>1288705</v>
      </c>
      <c r="D728" s="268">
        <f>F728+H728</f>
        <v>1288705</v>
      </c>
      <c r="E728" s="269"/>
      <c r="F728" s="287"/>
      <c r="G728" s="269"/>
      <c r="H728" s="287">
        <v>1288705</v>
      </c>
      <c r="I728" s="284"/>
    </row>
    <row r="729" spans="1:9" s="273" customFormat="1" ht="12.75" customHeight="1">
      <c r="A729" s="265"/>
      <c r="B729" s="266" t="s">
        <v>287</v>
      </c>
      <c r="C729" s="267"/>
      <c r="D729" s="268"/>
      <c r="E729" s="269"/>
      <c r="F729" s="287"/>
      <c r="G729" s="269"/>
      <c r="H729" s="287"/>
      <c r="I729" s="284"/>
    </row>
    <row r="730" spans="1:9" s="273" customFormat="1" ht="12.75" customHeight="1">
      <c r="A730" s="265"/>
      <c r="B730" s="266" t="s">
        <v>262</v>
      </c>
      <c r="C730" s="267">
        <f>SUM(D730:E730)</f>
        <v>273901</v>
      </c>
      <c r="D730" s="268">
        <f>F730+H730</f>
        <v>273901</v>
      </c>
      <c r="E730" s="269"/>
      <c r="F730" s="287"/>
      <c r="G730" s="269"/>
      <c r="H730" s="287">
        <v>273901</v>
      </c>
      <c r="I730" s="284"/>
    </row>
    <row r="731" spans="1:9" s="273" customFormat="1" ht="12" customHeight="1">
      <c r="A731" s="265"/>
      <c r="B731" s="266" t="s">
        <v>289</v>
      </c>
      <c r="C731" s="267">
        <f>SUM(D731:E731)</f>
        <v>8000</v>
      </c>
      <c r="D731" s="268">
        <f>F731+H731</f>
        <v>8000</v>
      </c>
      <c r="E731" s="269"/>
      <c r="F731" s="287"/>
      <c r="G731" s="269"/>
      <c r="H731" s="287">
        <v>8000</v>
      </c>
      <c r="I731" s="284"/>
    </row>
    <row r="732" spans="1:9" ht="12" hidden="1">
      <c r="A732" s="257"/>
      <c r="B732" s="577" t="s">
        <v>257</v>
      </c>
      <c r="C732" s="259">
        <f>SUM(C733:C739)</f>
        <v>0</v>
      </c>
      <c r="D732" s="260">
        <f>SUM(D733:D739)</f>
        <v>0</v>
      </c>
      <c r="E732" s="261"/>
      <c r="F732" s="283"/>
      <c r="G732" s="261"/>
      <c r="H732" s="260">
        <f>SUM(H733:H739)</f>
        <v>0</v>
      </c>
      <c r="I732" s="284"/>
    </row>
    <row r="733" spans="1:9" ht="13.5" customHeight="1" hidden="1">
      <c r="A733" s="257"/>
      <c r="B733" s="522" t="s">
        <v>258</v>
      </c>
      <c r="C733" s="259">
        <f>SUM(D733:E733)</f>
        <v>0</v>
      </c>
      <c r="D733" s="268">
        <f>F733+H733</f>
        <v>0</v>
      </c>
      <c r="E733" s="269"/>
      <c r="F733" s="287"/>
      <c r="G733" s="261"/>
      <c r="H733" s="268"/>
      <c r="I733" s="284"/>
    </row>
    <row r="734" spans="1:9" ht="12.75" customHeight="1" hidden="1">
      <c r="A734" s="360">
        <v>85404</v>
      </c>
      <c r="B734" s="428" t="s">
        <v>328</v>
      </c>
      <c r="C734" s="259">
        <f aca="true" t="shared" si="37" ref="C734:C739">SUM(D734:E734)</f>
        <v>0</v>
      </c>
      <c r="D734" s="268">
        <f aca="true" t="shared" si="38" ref="D734:D739">F734+H734</f>
        <v>0</v>
      </c>
      <c r="E734" s="364"/>
      <c r="F734" s="365">
        <f>SUM(F735)</f>
        <v>0</v>
      </c>
      <c r="G734" s="364"/>
      <c r="H734" s="432"/>
      <c r="I734" s="433"/>
    </row>
    <row r="735" spans="1:9" ht="15.75" customHeight="1" hidden="1">
      <c r="A735" s="257"/>
      <c r="B735" s="282" t="s">
        <v>261</v>
      </c>
      <c r="C735" s="259">
        <f t="shared" si="37"/>
        <v>0</v>
      </c>
      <c r="D735" s="268">
        <f t="shared" si="38"/>
        <v>0</v>
      </c>
      <c r="E735" s="261"/>
      <c r="F735" s="262">
        <f>SUM(F736)</f>
        <v>0</v>
      </c>
      <c r="G735" s="393"/>
      <c r="H735" s="394"/>
      <c r="I735" s="395"/>
    </row>
    <row r="736" spans="1:9" ht="13.5" customHeight="1" hidden="1">
      <c r="A736" s="257"/>
      <c r="B736" s="286" t="s">
        <v>273</v>
      </c>
      <c r="C736" s="259">
        <f t="shared" si="37"/>
        <v>0</v>
      </c>
      <c r="D736" s="268">
        <f t="shared" si="38"/>
        <v>0</v>
      </c>
      <c r="E736" s="269"/>
      <c r="F736" s="287"/>
      <c r="G736" s="261"/>
      <c r="H736" s="283"/>
      <c r="I736" s="532"/>
    </row>
    <row r="737" spans="1:9" ht="14.25" customHeight="1" hidden="1">
      <c r="A737" s="257"/>
      <c r="B737" s="577" t="s">
        <v>257</v>
      </c>
      <c r="C737" s="259">
        <f t="shared" si="37"/>
        <v>0</v>
      </c>
      <c r="D737" s="268">
        <f t="shared" si="38"/>
        <v>0</v>
      </c>
      <c r="E737" s="261"/>
      <c r="F737" s="283"/>
      <c r="G737" s="261"/>
      <c r="H737" s="260"/>
      <c r="I737" s="284"/>
    </row>
    <row r="738" spans="1:9" ht="10.5" customHeight="1" hidden="1">
      <c r="A738" s="381"/>
      <c r="B738" s="587" t="s">
        <v>258</v>
      </c>
      <c r="C738" s="259">
        <f t="shared" si="37"/>
        <v>0</v>
      </c>
      <c r="D738" s="268">
        <f t="shared" si="38"/>
        <v>0</v>
      </c>
      <c r="E738" s="384"/>
      <c r="F738" s="385"/>
      <c r="G738" s="453"/>
      <c r="H738" s="383"/>
      <c r="I738" s="532"/>
    </row>
    <row r="739" spans="1:9" ht="13.5" customHeight="1" hidden="1">
      <c r="A739" s="381"/>
      <c r="B739" s="286" t="s">
        <v>270</v>
      </c>
      <c r="C739" s="259">
        <f t="shared" si="37"/>
        <v>0</v>
      </c>
      <c r="D739" s="268">
        <f t="shared" si="38"/>
        <v>0</v>
      </c>
      <c r="E739" s="384"/>
      <c r="F739" s="385"/>
      <c r="G739" s="453"/>
      <c r="H739" s="383"/>
      <c r="I739" s="532"/>
    </row>
    <row r="740" spans="1:9" s="281" customFormat="1" ht="24.75" customHeight="1">
      <c r="A740" s="312">
        <v>85406</v>
      </c>
      <c r="B740" s="434" t="s">
        <v>371</v>
      </c>
      <c r="C740" s="276">
        <f aca="true" t="shared" si="39" ref="C740:H740">SUM(C741)</f>
        <v>1543200</v>
      </c>
      <c r="D740" s="277">
        <f t="shared" si="39"/>
        <v>1543200</v>
      </c>
      <c r="E740" s="278"/>
      <c r="F740" s="279"/>
      <c r="G740" s="278"/>
      <c r="H740" s="279">
        <f t="shared" si="39"/>
        <v>1543200</v>
      </c>
      <c r="I740" s="193"/>
    </row>
    <row r="741" spans="1:9" ht="12.75">
      <c r="A741" s="443"/>
      <c r="B741" s="506" t="s">
        <v>300</v>
      </c>
      <c r="C741" s="513">
        <f>SUM(C742:C744)</f>
        <v>1543200</v>
      </c>
      <c r="D741" s="260">
        <f>F741+H741</f>
        <v>1543200</v>
      </c>
      <c r="E741" s="261"/>
      <c r="F741" s="449"/>
      <c r="G741" s="448"/>
      <c r="H741" s="449">
        <f>SUM(H742:H744)</f>
        <v>1543200</v>
      </c>
      <c r="I741" s="483"/>
    </row>
    <row r="742" spans="1:9" s="415" customFormat="1" ht="12">
      <c r="A742" s="265"/>
      <c r="B742" s="266" t="s">
        <v>286</v>
      </c>
      <c r="C742" s="267">
        <f>SUM(D742:E742)</f>
        <v>1344700</v>
      </c>
      <c r="D742" s="268">
        <f>F742+H742</f>
        <v>1344700</v>
      </c>
      <c r="E742" s="269"/>
      <c r="F742" s="287"/>
      <c r="G742" s="269"/>
      <c r="H742" s="287">
        <v>1344700</v>
      </c>
      <c r="I742" s="291"/>
    </row>
    <row r="743" spans="1:9" s="415" customFormat="1" ht="12">
      <c r="A743" s="265"/>
      <c r="B743" s="266" t="s">
        <v>287</v>
      </c>
      <c r="C743" s="267"/>
      <c r="D743" s="268"/>
      <c r="E743" s="269"/>
      <c r="F743" s="287"/>
      <c r="G743" s="269"/>
      <c r="H743" s="287"/>
      <c r="I743" s="291"/>
    </row>
    <row r="744" spans="1:9" s="415" customFormat="1" ht="12">
      <c r="A744" s="265"/>
      <c r="B744" s="266" t="s">
        <v>262</v>
      </c>
      <c r="C744" s="267">
        <f>SUM(D744:E744)</f>
        <v>198500</v>
      </c>
      <c r="D744" s="268">
        <f>F744+H744</f>
        <v>198500</v>
      </c>
      <c r="E744" s="269"/>
      <c r="F744" s="287"/>
      <c r="G744" s="269"/>
      <c r="H744" s="287">
        <v>198500</v>
      </c>
      <c r="I744" s="291"/>
    </row>
    <row r="745" spans="1:9" s="415" customFormat="1" ht="11.25" customHeight="1">
      <c r="A745" s="265"/>
      <c r="B745" s="266" t="s">
        <v>289</v>
      </c>
      <c r="C745" s="267">
        <f>SUM(D745:E745)</f>
        <v>1000</v>
      </c>
      <c r="D745" s="268">
        <f>F745+H745</f>
        <v>1000</v>
      </c>
      <c r="E745" s="269"/>
      <c r="F745" s="287"/>
      <c r="G745" s="269"/>
      <c r="H745" s="287">
        <v>1000</v>
      </c>
      <c r="I745" s="291"/>
    </row>
    <row r="746" spans="1:9" s="281" customFormat="1" ht="35.25" customHeight="1">
      <c r="A746" s="312">
        <v>85407</v>
      </c>
      <c r="B746" s="434" t="s">
        <v>372</v>
      </c>
      <c r="C746" s="276">
        <f>SUM(C747+C752)</f>
        <v>1773765</v>
      </c>
      <c r="D746" s="277">
        <f>SUM(D747+D752)</f>
        <v>1773765</v>
      </c>
      <c r="E746" s="278"/>
      <c r="F746" s="279"/>
      <c r="G746" s="278"/>
      <c r="H746" s="279">
        <f>SUM(H747+H752)</f>
        <v>1773765</v>
      </c>
      <c r="I746" s="280"/>
    </row>
    <row r="747" spans="1:9" ht="12.75">
      <c r="A747" s="542"/>
      <c r="B747" s="592" t="s">
        <v>300</v>
      </c>
      <c r="C747" s="623">
        <f>SUM(C748:C750)</f>
        <v>1703765</v>
      </c>
      <c r="D747" s="545">
        <f>F747+H747</f>
        <v>1703765</v>
      </c>
      <c r="E747" s="476"/>
      <c r="F747" s="624"/>
      <c r="G747" s="547"/>
      <c r="H747" s="624">
        <f>SUM(H748:H750)</f>
        <v>1703765</v>
      </c>
      <c r="I747" s="548"/>
    </row>
    <row r="748" spans="1:9" s="415" customFormat="1" ht="12.75" customHeight="1">
      <c r="A748" s="265"/>
      <c r="B748" s="266" t="s">
        <v>286</v>
      </c>
      <c r="C748" s="267">
        <f>SUM(D748:E748)</f>
        <v>1435050</v>
      </c>
      <c r="D748" s="268">
        <f>F748+H748</f>
        <v>1435050</v>
      </c>
      <c r="E748" s="269"/>
      <c r="F748" s="287"/>
      <c r="G748" s="269"/>
      <c r="H748" s="287">
        <v>1435050</v>
      </c>
      <c r="I748" s="291"/>
    </row>
    <row r="749" spans="1:9" s="415" customFormat="1" ht="12.75" customHeight="1">
      <c r="A749" s="265"/>
      <c r="B749" s="266" t="s">
        <v>287</v>
      </c>
      <c r="C749" s="267"/>
      <c r="D749" s="268"/>
      <c r="E749" s="269"/>
      <c r="F749" s="287"/>
      <c r="G749" s="269"/>
      <c r="H749" s="287"/>
      <c r="I749" s="291"/>
    </row>
    <row r="750" spans="1:9" s="415" customFormat="1" ht="12.75" customHeight="1">
      <c r="A750" s="265"/>
      <c r="B750" s="266" t="s">
        <v>262</v>
      </c>
      <c r="C750" s="267">
        <f>SUM(D750:E750)</f>
        <v>268715</v>
      </c>
      <c r="D750" s="268">
        <f>F750+H750</f>
        <v>268715</v>
      </c>
      <c r="E750" s="269"/>
      <c r="F750" s="287"/>
      <c r="G750" s="269"/>
      <c r="H750" s="287">
        <v>268715</v>
      </c>
      <c r="I750" s="291"/>
    </row>
    <row r="751" spans="1:9" s="415" customFormat="1" ht="12.75" customHeight="1">
      <c r="A751" s="265"/>
      <c r="B751" s="266" t="s">
        <v>289</v>
      </c>
      <c r="C751" s="267">
        <f>SUM(D751:E751)</f>
        <v>4000</v>
      </c>
      <c r="D751" s="268">
        <f>F751+H751</f>
        <v>4000</v>
      </c>
      <c r="E751" s="269"/>
      <c r="F751" s="287"/>
      <c r="G751" s="269"/>
      <c r="H751" s="287">
        <v>4000</v>
      </c>
      <c r="I751" s="291"/>
    </row>
    <row r="752" spans="1:9" ht="12.75">
      <c r="A752" s="257"/>
      <c r="B752" s="282" t="s">
        <v>257</v>
      </c>
      <c r="C752" s="259">
        <f>SUM(C753:C754)</f>
        <v>70000</v>
      </c>
      <c r="D752" s="260">
        <f>SUM(D753:D754)</f>
        <v>70000</v>
      </c>
      <c r="E752" s="261"/>
      <c r="F752" s="262"/>
      <c r="G752" s="393"/>
      <c r="H752" s="262">
        <f>SUM(H753:H754)</f>
        <v>70000</v>
      </c>
      <c r="I752" s="395"/>
    </row>
    <row r="753" spans="1:9" ht="12.75">
      <c r="A753" s="257"/>
      <c r="B753" s="286" t="s">
        <v>270</v>
      </c>
      <c r="C753" s="382">
        <f>SUM(D753:E753)</f>
        <v>70000</v>
      </c>
      <c r="D753" s="383">
        <f>F753+H753</f>
        <v>70000</v>
      </c>
      <c r="E753" s="261"/>
      <c r="F753" s="262"/>
      <c r="G753" s="393"/>
      <c r="H753" s="262">
        <v>70000</v>
      </c>
      <c r="I753" s="395"/>
    </row>
    <row r="754" spans="1:9" ht="14.25" customHeight="1" hidden="1">
      <c r="A754" s="381"/>
      <c r="B754" s="397" t="s">
        <v>258</v>
      </c>
      <c r="C754" s="382">
        <f>SUM(D754:E754)</f>
        <v>0</v>
      </c>
      <c r="D754" s="383">
        <f>F754+H754</f>
        <v>0</v>
      </c>
      <c r="E754" s="384"/>
      <c r="F754" s="385"/>
      <c r="G754" s="453"/>
      <c r="H754" s="385"/>
      <c r="I754" s="532"/>
    </row>
    <row r="755" spans="1:9" s="281" customFormat="1" ht="23.25" customHeight="1">
      <c r="A755" s="312">
        <v>85410</v>
      </c>
      <c r="B755" s="434" t="s">
        <v>373</v>
      </c>
      <c r="C755" s="276">
        <f>SUM(C756)+C761</f>
        <v>2659518</v>
      </c>
      <c r="D755" s="277">
        <f>SUM(D756)+D761</f>
        <v>2659518</v>
      </c>
      <c r="E755" s="278"/>
      <c r="F755" s="279"/>
      <c r="G755" s="278"/>
      <c r="H755" s="279">
        <f>SUM(H756)+H761</f>
        <v>2659518</v>
      </c>
      <c r="I755" s="280"/>
    </row>
    <row r="756" spans="1:9" ht="13.5" customHeight="1">
      <c r="A756" s="443"/>
      <c r="B756" s="506" t="s">
        <v>300</v>
      </c>
      <c r="C756" s="513">
        <f>SUM(C757:C759)</f>
        <v>2514068</v>
      </c>
      <c r="D756" s="260">
        <f>F756+H756</f>
        <v>2514068</v>
      </c>
      <c r="E756" s="261"/>
      <c r="F756" s="449"/>
      <c r="G756" s="448"/>
      <c r="H756" s="449">
        <f>SUM(H757:H759)</f>
        <v>2514068</v>
      </c>
      <c r="I756" s="483"/>
    </row>
    <row r="757" spans="1:9" s="415" customFormat="1" ht="11.25" customHeight="1">
      <c r="A757" s="265"/>
      <c r="B757" s="266" t="s">
        <v>286</v>
      </c>
      <c r="C757" s="267">
        <f>SUM(D757:E757)</f>
        <v>1839597</v>
      </c>
      <c r="D757" s="268">
        <f>F757+H757</f>
        <v>1839597</v>
      </c>
      <c r="E757" s="269"/>
      <c r="F757" s="287"/>
      <c r="G757" s="269"/>
      <c r="H757" s="287">
        <v>1839597</v>
      </c>
      <c r="I757" s="291"/>
    </row>
    <row r="758" spans="1:9" s="415" customFormat="1" ht="12">
      <c r="A758" s="265"/>
      <c r="B758" s="266" t="s">
        <v>287</v>
      </c>
      <c r="C758" s="267"/>
      <c r="D758" s="268"/>
      <c r="E758" s="269"/>
      <c r="F758" s="287"/>
      <c r="G758" s="269"/>
      <c r="H758" s="287"/>
      <c r="I758" s="291"/>
    </row>
    <row r="759" spans="1:9" s="415" customFormat="1" ht="12">
      <c r="A759" s="265"/>
      <c r="B759" s="266" t="s">
        <v>262</v>
      </c>
      <c r="C759" s="267">
        <f>SUM(D759:E759)</f>
        <v>674471</v>
      </c>
      <c r="D759" s="268">
        <f>F759+H759</f>
        <v>674471</v>
      </c>
      <c r="E759" s="269"/>
      <c r="F759" s="287"/>
      <c r="G759" s="269"/>
      <c r="H759" s="287">
        <v>674471</v>
      </c>
      <c r="I759" s="291"/>
    </row>
    <row r="760" spans="1:9" s="415" customFormat="1" ht="12.75" customHeight="1">
      <c r="A760" s="265"/>
      <c r="B760" s="266" t="s">
        <v>289</v>
      </c>
      <c r="C760" s="267">
        <f>SUM(D760:E760)</f>
        <v>29100</v>
      </c>
      <c r="D760" s="268">
        <f>F760+H760</f>
        <v>29100</v>
      </c>
      <c r="E760" s="269"/>
      <c r="F760" s="287"/>
      <c r="G760" s="269"/>
      <c r="H760" s="287">
        <v>29100</v>
      </c>
      <c r="I760" s="291"/>
    </row>
    <row r="761" spans="1:9" ht="12.75">
      <c r="A761" s="257"/>
      <c r="B761" s="282" t="s">
        <v>257</v>
      </c>
      <c r="C761" s="259">
        <f>SUM(C762:C763)</f>
        <v>145450</v>
      </c>
      <c r="D761" s="260">
        <f>SUM(D762:D763)</f>
        <v>145450</v>
      </c>
      <c r="E761" s="261"/>
      <c r="F761" s="262"/>
      <c r="G761" s="393"/>
      <c r="H761" s="262">
        <f>SUM(H762:H763)</f>
        <v>145450</v>
      </c>
      <c r="I761" s="395"/>
    </row>
    <row r="762" spans="1:9" ht="12">
      <c r="A762" s="257"/>
      <c r="B762" s="286" t="s">
        <v>270</v>
      </c>
      <c r="C762" s="267">
        <f>SUM(D762:E762)</f>
        <v>136300</v>
      </c>
      <c r="D762" s="268">
        <f>F762+H762</f>
        <v>136300</v>
      </c>
      <c r="E762" s="269"/>
      <c r="F762" s="287"/>
      <c r="G762" s="261"/>
      <c r="H762" s="287">
        <v>136300</v>
      </c>
      <c r="I762" s="284"/>
    </row>
    <row r="763" spans="1:9" ht="12">
      <c r="A763" s="257"/>
      <c r="B763" s="266" t="s">
        <v>258</v>
      </c>
      <c r="C763" s="267">
        <f>SUM(D763:E763)</f>
        <v>9150</v>
      </c>
      <c r="D763" s="268">
        <f>F763+H763</f>
        <v>9150</v>
      </c>
      <c r="E763" s="269"/>
      <c r="F763" s="287"/>
      <c r="G763" s="261"/>
      <c r="H763" s="287">
        <v>9150</v>
      </c>
      <c r="I763" s="284"/>
    </row>
    <row r="764" spans="1:9" s="281" customFormat="1" ht="24.75" customHeight="1">
      <c r="A764" s="312">
        <v>85415</v>
      </c>
      <c r="B764" s="434" t="s">
        <v>374</v>
      </c>
      <c r="C764" s="276">
        <f>SUM(C765)</f>
        <v>2087715</v>
      </c>
      <c r="D764" s="277">
        <f>SUM(D765)</f>
        <v>2087715</v>
      </c>
      <c r="E764" s="278"/>
      <c r="F764" s="279">
        <f>SUM(F765)</f>
        <v>872625</v>
      </c>
      <c r="G764" s="278"/>
      <c r="H764" s="279">
        <f>SUM(H765)</f>
        <v>1215090</v>
      </c>
      <c r="I764" s="280"/>
    </row>
    <row r="765" spans="1:9" ht="12.75">
      <c r="A765" s="443"/>
      <c r="B765" s="506" t="s">
        <v>300</v>
      </c>
      <c r="C765" s="513">
        <f>SUM(C766:C768)</f>
        <v>2087715</v>
      </c>
      <c r="D765" s="260">
        <f>F765+H765</f>
        <v>2087715</v>
      </c>
      <c r="E765" s="261"/>
      <c r="F765" s="449">
        <f>SUM(F766:F768)</f>
        <v>872625</v>
      </c>
      <c r="G765" s="448"/>
      <c r="H765" s="449">
        <f>SUM(H766:H768)</f>
        <v>1215090</v>
      </c>
      <c r="I765" s="483"/>
    </row>
    <row r="766" spans="1:9" s="415" customFormat="1" ht="12.75" customHeight="1">
      <c r="A766" s="265"/>
      <c r="B766" s="266" t="s">
        <v>286</v>
      </c>
      <c r="C766" s="267">
        <f>SUM(D766:E766)</f>
        <v>10000</v>
      </c>
      <c r="D766" s="268">
        <f>F766+H766</f>
        <v>10000</v>
      </c>
      <c r="E766" s="269"/>
      <c r="F766" s="270"/>
      <c r="G766" s="271"/>
      <c r="H766" s="270">
        <v>10000</v>
      </c>
      <c r="I766" s="272"/>
    </row>
    <row r="767" spans="1:9" s="415" customFormat="1" ht="12" customHeight="1">
      <c r="A767" s="265"/>
      <c r="B767" s="266" t="s">
        <v>287</v>
      </c>
      <c r="C767" s="267"/>
      <c r="D767" s="268"/>
      <c r="E767" s="269"/>
      <c r="F767" s="270"/>
      <c r="G767" s="271"/>
      <c r="H767" s="270"/>
      <c r="I767" s="272"/>
    </row>
    <row r="768" spans="1:9" s="415" customFormat="1" ht="12" customHeight="1">
      <c r="A768" s="396"/>
      <c r="B768" s="315" t="s">
        <v>262</v>
      </c>
      <c r="C768" s="382">
        <f>SUM(D768:E768)</f>
        <v>2077715</v>
      </c>
      <c r="D768" s="383">
        <f>F768+H768</f>
        <v>2077715</v>
      </c>
      <c r="E768" s="384"/>
      <c r="F768" s="385">
        <v>872625</v>
      </c>
      <c r="G768" s="384"/>
      <c r="H768" s="385">
        <v>1205090</v>
      </c>
      <c r="I768" s="400"/>
    </row>
    <row r="769" spans="1:9" s="281" customFormat="1" ht="24">
      <c r="A769" s="312">
        <v>85417</v>
      </c>
      <c r="B769" s="434" t="s">
        <v>375</v>
      </c>
      <c r="C769" s="276">
        <f>SUM(C770+C775)</f>
        <v>324298</v>
      </c>
      <c r="D769" s="277">
        <f>SUM(D770+D775)</f>
        <v>324298</v>
      </c>
      <c r="E769" s="278"/>
      <c r="F769" s="279">
        <f>SUM(F770+F775)</f>
        <v>324298</v>
      </c>
      <c r="G769" s="278"/>
      <c r="H769" s="279"/>
      <c r="I769" s="280"/>
    </row>
    <row r="770" spans="1:9" ht="12.75">
      <c r="A770" s="443"/>
      <c r="B770" s="506" t="s">
        <v>300</v>
      </c>
      <c r="C770" s="513">
        <f>SUM(C771:C773)</f>
        <v>283098</v>
      </c>
      <c r="D770" s="260">
        <f>F770+H770</f>
        <v>283098</v>
      </c>
      <c r="E770" s="261"/>
      <c r="F770" s="449">
        <f>SUM(F771:F773)</f>
        <v>283098</v>
      </c>
      <c r="G770" s="448"/>
      <c r="H770" s="449"/>
      <c r="I770" s="483"/>
    </row>
    <row r="771" spans="1:9" s="415" customFormat="1" ht="12">
      <c r="A771" s="265"/>
      <c r="B771" s="266" t="s">
        <v>286</v>
      </c>
      <c r="C771" s="267">
        <f>SUM(D771:E771)</f>
        <v>210440</v>
      </c>
      <c r="D771" s="268">
        <f>F771+H771</f>
        <v>210440</v>
      </c>
      <c r="E771" s="269"/>
      <c r="F771" s="287">
        <v>210440</v>
      </c>
      <c r="G771" s="269"/>
      <c r="H771" s="287"/>
      <c r="I771" s="291"/>
    </row>
    <row r="772" spans="1:9" s="415" customFormat="1" ht="12">
      <c r="A772" s="265"/>
      <c r="B772" s="266" t="s">
        <v>287</v>
      </c>
      <c r="C772" s="267"/>
      <c r="D772" s="268"/>
      <c r="E772" s="269"/>
      <c r="F772" s="287"/>
      <c r="G772" s="269"/>
      <c r="H772" s="287"/>
      <c r="I772" s="291"/>
    </row>
    <row r="773" spans="1:9" s="415" customFormat="1" ht="12">
      <c r="A773" s="265"/>
      <c r="B773" s="266" t="s">
        <v>262</v>
      </c>
      <c r="C773" s="267">
        <f>SUM(D773:E773)</f>
        <v>72658</v>
      </c>
      <c r="D773" s="268">
        <f>F773+H773</f>
        <v>72658</v>
      </c>
      <c r="E773" s="269"/>
      <c r="F773" s="287">
        <v>72658</v>
      </c>
      <c r="G773" s="269"/>
      <c r="H773" s="287"/>
      <c r="I773" s="291"/>
    </row>
    <row r="774" spans="1:9" s="415" customFormat="1" ht="12" customHeight="1">
      <c r="A774" s="265"/>
      <c r="B774" s="266" t="s">
        <v>289</v>
      </c>
      <c r="C774" s="267">
        <f>SUM(D774:E774)</f>
        <v>3300</v>
      </c>
      <c r="D774" s="268">
        <f>F774+H774</f>
        <v>3300</v>
      </c>
      <c r="E774" s="269"/>
      <c r="F774" s="287">
        <v>3300</v>
      </c>
      <c r="G774" s="269"/>
      <c r="H774" s="287"/>
      <c r="I774" s="291"/>
    </row>
    <row r="775" spans="1:9" ht="12.75">
      <c r="A775" s="257"/>
      <c r="B775" s="282" t="s">
        <v>257</v>
      </c>
      <c r="C775" s="259">
        <f>SUM(C776)</f>
        <v>41200</v>
      </c>
      <c r="D775" s="260">
        <f>SUM(D776)</f>
        <v>41200</v>
      </c>
      <c r="E775" s="261"/>
      <c r="F775" s="262">
        <f>SUM(F776)</f>
        <v>41200</v>
      </c>
      <c r="G775" s="393"/>
      <c r="H775" s="262"/>
      <c r="I775" s="395"/>
    </row>
    <row r="776" spans="1:9" ht="12">
      <c r="A776" s="257"/>
      <c r="B776" s="286" t="s">
        <v>270</v>
      </c>
      <c r="C776" s="267">
        <f>SUM(D776:E776)</f>
        <v>41200</v>
      </c>
      <c r="D776" s="268">
        <f>F776+H776</f>
        <v>41200</v>
      </c>
      <c r="E776" s="269"/>
      <c r="F776" s="287">
        <v>41200</v>
      </c>
      <c r="G776" s="261"/>
      <c r="H776" s="287"/>
      <c r="I776" s="284"/>
    </row>
    <row r="777" spans="1:9" s="281" customFormat="1" ht="24.75" customHeight="1">
      <c r="A777" s="312">
        <v>85419</v>
      </c>
      <c r="B777" s="434" t="s">
        <v>376</v>
      </c>
      <c r="C777" s="276">
        <f>SUM(C778)</f>
        <v>1240576</v>
      </c>
      <c r="D777" s="277">
        <f>SUM(D778)</f>
        <v>1240576</v>
      </c>
      <c r="E777" s="278"/>
      <c r="F777" s="279"/>
      <c r="G777" s="278"/>
      <c r="H777" s="279">
        <f>SUM(H778)</f>
        <v>1240576</v>
      </c>
      <c r="I777" s="280"/>
    </row>
    <row r="778" spans="1:9" ht="14.25" customHeight="1">
      <c r="A778" s="443"/>
      <c r="B778" s="506" t="s">
        <v>300</v>
      </c>
      <c r="C778" s="513">
        <f>SUM(C779:C779)</f>
        <v>1240576</v>
      </c>
      <c r="D778" s="260">
        <f>F778+H778</f>
        <v>1240576</v>
      </c>
      <c r="E778" s="261"/>
      <c r="F778" s="449"/>
      <c r="G778" s="448"/>
      <c r="H778" s="449">
        <f>SUM(H779:H779)</f>
        <v>1240576</v>
      </c>
      <c r="I778" s="483"/>
    </row>
    <row r="779" spans="1:9" s="415" customFormat="1" ht="12.75" customHeight="1">
      <c r="A779" s="396"/>
      <c r="B779" s="315" t="s">
        <v>273</v>
      </c>
      <c r="C779" s="382">
        <f>SUM(D779:E779)</f>
        <v>1240576</v>
      </c>
      <c r="D779" s="383">
        <f>F779+H779</f>
        <v>1240576</v>
      </c>
      <c r="E779" s="384"/>
      <c r="F779" s="399"/>
      <c r="G779" s="398"/>
      <c r="H779" s="385">
        <v>1240576</v>
      </c>
      <c r="I779" s="400"/>
    </row>
    <row r="780" spans="1:9" s="281" customFormat="1" ht="37.5" customHeight="1">
      <c r="A780" s="312">
        <v>85446</v>
      </c>
      <c r="B780" s="434" t="s">
        <v>342</v>
      </c>
      <c r="C780" s="276">
        <f>SUM(C781)</f>
        <v>29900</v>
      </c>
      <c r="D780" s="277">
        <f>SUM(D781)</f>
        <v>29900</v>
      </c>
      <c r="E780" s="278"/>
      <c r="F780" s="279"/>
      <c r="G780" s="278"/>
      <c r="H780" s="279">
        <f>SUM(H781)</f>
        <v>29900</v>
      </c>
      <c r="I780" s="280"/>
    </row>
    <row r="781" spans="1:9" ht="12.75">
      <c r="A781" s="443"/>
      <c r="B781" s="506" t="s">
        <v>300</v>
      </c>
      <c r="C781" s="513">
        <f>SUM(C782:C782)</f>
        <v>29900</v>
      </c>
      <c r="D781" s="260">
        <f>F781+H781</f>
        <v>29900</v>
      </c>
      <c r="E781" s="261"/>
      <c r="F781" s="449"/>
      <c r="G781" s="448"/>
      <c r="H781" s="449">
        <f>SUM(H782:H782)</f>
        <v>29900</v>
      </c>
      <c r="I781" s="483"/>
    </row>
    <row r="782" spans="1:9" s="415" customFormat="1" ht="13.5" customHeight="1">
      <c r="A782" s="396"/>
      <c r="B782" s="315" t="s">
        <v>262</v>
      </c>
      <c r="C782" s="382">
        <f>SUM(D782:E782)</f>
        <v>29900</v>
      </c>
      <c r="D782" s="383">
        <f>F782+H782</f>
        <v>29900</v>
      </c>
      <c r="E782" s="384"/>
      <c r="F782" s="399"/>
      <c r="G782" s="398"/>
      <c r="H782" s="385">
        <v>29900</v>
      </c>
      <c r="I782" s="400"/>
    </row>
    <row r="783" spans="1:9" s="281" customFormat="1" ht="15.75" customHeight="1">
      <c r="A783" s="312">
        <v>85495</v>
      </c>
      <c r="B783" s="434" t="s">
        <v>268</v>
      </c>
      <c r="C783" s="276">
        <f>SUM(C784)+C790</f>
        <v>735440</v>
      </c>
      <c r="D783" s="277">
        <f>SUM(D784)+D790</f>
        <v>735440</v>
      </c>
      <c r="E783" s="278"/>
      <c r="F783" s="279">
        <f>SUM(F784)+F790</f>
        <v>51749</v>
      </c>
      <c r="G783" s="278"/>
      <c r="H783" s="279">
        <f>SUM(H784)+H790</f>
        <v>683691</v>
      </c>
      <c r="I783" s="193"/>
    </row>
    <row r="784" spans="1:9" ht="12.75">
      <c r="A784" s="257"/>
      <c r="B784" s="282" t="s">
        <v>261</v>
      </c>
      <c r="C784" s="259">
        <f>SUM(C785:C788)</f>
        <v>735440</v>
      </c>
      <c r="D784" s="260">
        <f>SUM(D785:D788)</f>
        <v>735440</v>
      </c>
      <c r="E784" s="261"/>
      <c r="F784" s="262">
        <f>SUM(F785:F788)</f>
        <v>51749</v>
      </c>
      <c r="G784" s="393"/>
      <c r="H784" s="262">
        <f>SUM(H785:H788)</f>
        <v>683691</v>
      </c>
      <c r="I784" s="395"/>
    </row>
    <row r="785" spans="1:9" s="415" customFormat="1" ht="12">
      <c r="A785" s="265"/>
      <c r="B785" s="266" t="s">
        <v>286</v>
      </c>
      <c r="C785" s="267">
        <f>SUM(D785:E785)</f>
        <v>9480</v>
      </c>
      <c r="D785" s="268">
        <f>F785+H785</f>
        <v>9480</v>
      </c>
      <c r="E785" s="269"/>
      <c r="F785" s="287">
        <v>0</v>
      </c>
      <c r="G785" s="269"/>
      <c r="H785" s="287">
        <v>9480</v>
      </c>
      <c r="I785" s="291"/>
    </row>
    <row r="786" spans="1:9" s="415" customFormat="1" ht="12">
      <c r="A786" s="265"/>
      <c r="B786" s="266" t="s">
        <v>287</v>
      </c>
      <c r="C786" s="267"/>
      <c r="D786" s="268"/>
      <c r="E786" s="269"/>
      <c r="F786" s="287"/>
      <c r="G786" s="269"/>
      <c r="H786" s="287"/>
      <c r="I786" s="291"/>
    </row>
    <row r="787" spans="1:9" ht="11.25" customHeight="1">
      <c r="A787" s="257"/>
      <c r="B787" s="286" t="s">
        <v>273</v>
      </c>
      <c r="C787" s="267">
        <f>SUM(D787:E787)</f>
        <v>31000</v>
      </c>
      <c r="D787" s="268">
        <f>F787+H787</f>
        <v>31000</v>
      </c>
      <c r="E787" s="269"/>
      <c r="F787" s="270">
        <v>31000</v>
      </c>
      <c r="G787" s="263"/>
      <c r="H787" s="262"/>
      <c r="I787" s="264"/>
    </row>
    <row r="788" spans="1:9" ht="14.25" customHeight="1" thickBot="1">
      <c r="A788" s="257"/>
      <c r="B788" s="266" t="s">
        <v>262</v>
      </c>
      <c r="C788" s="267">
        <f>SUM(D788:E788)</f>
        <v>694960</v>
      </c>
      <c r="D788" s="268">
        <f>F788+H788</f>
        <v>694960</v>
      </c>
      <c r="E788" s="269"/>
      <c r="F788" s="287">
        <v>20749</v>
      </c>
      <c r="G788" s="261"/>
      <c r="H788" s="287">
        <v>674211</v>
      </c>
      <c r="I788" s="284"/>
    </row>
    <row r="789" spans="1:9" s="415" customFormat="1" ht="12.75" hidden="1" thickBot="1">
      <c r="A789" s="265"/>
      <c r="B789" s="266" t="s">
        <v>289</v>
      </c>
      <c r="C789" s="267">
        <f>SUM(D789:E789)</f>
        <v>0</v>
      </c>
      <c r="D789" s="268">
        <f>F789+H789</f>
        <v>0</v>
      </c>
      <c r="E789" s="269"/>
      <c r="F789" s="287"/>
      <c r="G789" s="269"/>
      <c r="H789" s="287">
        <v>0</v>
      </c>
      <c r="I789" s="291"/>
    </row>
    <row r="790" spans="1:9" ht="13.5" hidden="1" thickBot="1">
      <c r="A790" s="257"/>
      <c r="B790" s="282" t="s">
        <v>257</v>
      </c>
      <c r="C790" s="259">
        <f>SUM(C791)</f>
        <v>0</v>
      </c>
      <c r="D790" s="260">
        <f>SUM(D791)</f>
        <v>0</v>
      </c>
      <c r="E790" s="261"/>
      <c r="F790" s="262"/>
      <c r="G790" s="393"/>
      <c r="H790" s="262">
        <f>SUM(H791)</f>
        <v>0</v>
      </c>
      <c r="I790" s="395"/>
    </row>
    <row r="791" spans="1:9" ht="12.75" hidden="1" thickBot="1">
      <c r="A791" s="257"/>
      <c r="B791" s="286" t="s">
        <v>270</v>
      </c>
      <c r="C791" s="267">
        <f>SUM(D791:E791)</f>
        <v>0</v>
      </c>
      <c r="D791" s="268">
        <f>F791+H791</f>
        <v>0</v>
      </c>
      <c r="E791" s="269"/>
      <c r="F791" s="287"/>
      <c r="G791" s="261"/>
      <c r="H791" s="287"/>
      <c r="I791" s="284"/>
    </row>
    <row r="792" spans="1:9" s="256" customFormat="1" ht="53.25" customHeight="1" thickBot="1" thickTop="1">
      <c r="A792" s="311">
        <v>900</v>
      </c>
      <c r="B792" s="625" t="s">
        <v>377</v>
      </c>
      <c r="C792" s="252">
        <f>C802+C814+C818+C823+C830+C836+C811</f>
        <v>27324800</v>
      </c>
      <c r="D792" s="253">
        <f>D802+D814+D818+D823+D830+D836+D811</f>
        <v>27324800</v>
      </c>
      <c r="E792" s="254"/>
      <c r="F792" s="255">
        <f>F802+F811+F814+F818+F823+F830+F836</f>
        <v>21735360</v>
      </c>
      <c r="G792" s="254"/>
      <c r="H792" s="255">
        <f>H814+H818+H830+H836+H823+H802</f>
        <v>5589440</v>
      </c>
      <c r="I792" s="200"/>
    </row>
    <row r="793" spans="1:9" s="256" customFormat="1" ht="12.75" customHeight="1" thickTop="1">
      <c r="A793" s="317"/>
      <c r="B793" s="336" t="s">
        <v>300</v>
      </c>
      <c r="C793" s="319">
        <f>D793+E793</f>
        <v>14620240</v>
      </c>
      <c r="D793" s="320">
        <f>F793+H793</f>
        <v>14620240</v>
      </c>
      <c r="E793" s="321"/>
      <c r="F793" s="322">
        <f>F803+F815+F819+F824+F831+F837</f>
        <v>9127800</v>
      </c>
      <c r="G793" s="323"/>
      <c r="H793" s="337">
        <f>H803+H815+H819+H824+H831+H837</f>
        <v>5492440</v>
      </c>
      <c r="I793" s="338"/>
    </row>
    <row r="794" spans="1:9" s="256" customFormat="1" ht="12.75">
      <c r="A794" s="317"/>
      <c r="B794" s="266" t="s">
        <v>286</v>
      </c>
      <c r="C794" s="327">
        <f>D794+E794</f>
        <v>31835</v>
      </c>
      <c r="D794" s="328">
        <f>F794+H794</f>
        <v>31835</v>
      </c>
      <c r="E794" s="321"/>
      <c r="F794" s="329">
        <f>F838+F804</f>
        <v>31835</v>
      </c>
      <c r="G794" s="321"/>
      <c r="H794" s="337"/>
      <c r="I794" s="338"/>
    </row>
    <row r="795" spans="1:9" s="256" customFormat="1" ht="12.75">
      <c r="A795" s="317"/>
      <c r="B795" s="266" t="s">
        <v>287</v>
      </c>
      <c r="C795" s="319"/>
      <c r="D795" s="320"/>
      <c r="E795" s="321"/>
      <c r="F795" s="322"/>
      <c r="G795" s="321"/>
      <c r="H795" s="337"/>
      <c r="I795" s="338"/>
    </row>
    <row r="796" spans="1:9" s="256" customFormat="1" ht="14.25" customHeight="1">
      <c r="A796" s="317"/>
      <c r="B796" s="286" t="s">
        <v>273</v>
      </c>
      <c r="C796" s="327">
        <f aca="true" t="shared" si="40" ref="C796:C801">D796+E796</f>
        <v>285000</v>
      </c>
      <c r="D796" s="328">
        <f aca="true" t="shared" si="41" ref="D796:D801">F796+H796</f>
        <v>285000</v>
      </c>
      <c r="E796" s="321"/>
      <c r="F796" s="329">
        <f>F825</f>
        <v>285000</v>
      </c>
      <c r="G796" s="321"/>
      <c r="H796" s="337"/>
      <c r="I796" s="338"/>
    </row>
    <row r="797" spans="1:9" s="415" customFormat="1" ht="13.5" customHeight="1">
      <c r="A797" s="412"/>
      <c r="B797" s="266" t="s">
        <v>262</v>
      </c>
      <c r="C797" s="327">
        <f t="shared" si="40"/>
        <v>14303405</v>
      </c>
      <c r="D797" s="328">
        <f t="shared" si="41"/>
        <v>14303405</v>
      </c>
      <c r="E797" s="271"/>
      <c r="F797" s="329">
        <f>F807+F816+F820+F826+F832+F840</f>
        <v>8810965</v>
      </c>
      <c r="G797" s="271"/>
      <c r="H797" s="270">
        <f>H807+H816+H820+H826+H832+H840</f>
        <v>5492440</v>
      </c>
      <c r="I797" s="272"/>
    </row>
    <row r="798" spans="1:9" s="281" customFormat="1" ht="10.5" customHeight="1">
      <c r="A798" s="332"/>
      <c r="B798" s="266" t="s">
        <v>378</v>
      </c>
      <c r="C798" s="416">
        <f t="shared" si="40"/>
        <v>1973885</v>
      </c>
      <c r="D798" s="417">
        <f t="shared" si="41"/>
        <v>1973885</v>
      </c>
      <c r="E798" s="263"/>
      <c r="F798" s="391">
        <f>F808+F833+F841+F817+F827</f>
        <v>1360165</v>
      </c>
      <c r="G798" s="263"/>
      <c r="H798" s="262">
        <f>H808+H833+H841+H817+H827</f>
        <v>613720</v>
      </c>
      <c r="I798" s="264"/>
    </row>
    <row r="799" spans="1:9" s="256" customFormat="1" ht="13.5" customHeight="1">
      <c r="A799" s="317"/>
      <c r="B799" s="318" t="s">
        <v>257</v>
      </c>
      <c r="C799" s="319">
        <f t="shared" si="40"/>
        <v>12704560</v>
      </c>
      <c r="D799" s="320">
        <f t="shared" si="41"/>
        <v>12704560</v>
      </c>
      <c r="E799" s="321"/>
      <c r="F799" s="322">
        <f>F809+F828+F834+F842+F821+F812</f>
        <v>12607560</v>
      </c>
      <c r="G799" s="321"/>
      <c r="H799" s="322">
        <f>H809+H828+H834+H842+H821</f>
        <v>97000</v>
      </c>
      <c r="I799" s="338"/>
    </row>
    <row r="800" spans="1:9" s="415" customFormat="1" ht="13.5" customHeight="1">
      <c r="A800" s="412"/>
      <c r="B800" s="286" t="s">
        <v>270</v>
      </c>
      <c r="C800" s="327">
        <f t="shared" si="40"/>
        <v>12704560</v>
      </c>
      <c r="D800" s="328">
        <f t="shared" si="41"/>
        <v>12704560</v>
      </c>
      <c r="E800" s="271"/>
      <c r="F800" s="329">
        <f>F810+F829+F835+F843+F822+F813</f>
        <v>12607560</v>
      </c>
      <c r="G800" s="271"/>
      <c r="H800" s="2457">
        <f>H810+H829+H835+H843+H822</f>
        <v>97000</v>
      </c>
      <c r="I800" s="272"/>
    </row>
    <row r="801" spans="1:9" s="415" customFormat="1" ht="12" customHeight="1">
      <c r="A801" s="526"/>
      <c r="B801" s="616" t="s">
        <v>274</v>
      </c>
      <c r="C801" s="473">
        <f t="shared" si="40"/>
        <v>1200000</v>
      </c>
      <c r="D801" s="399">
        <f t="shared" si="41"/>
        <v>1200000</v>
      </c>
      <c r="E801" s="398"/>
      <c r="F801" s="626">
        <f>F844</f>
        <v>1200000</v>
      </c>
      <c r="G801" s="398"/>
      <c r="H801" s="626"/>
      <c r="I801" s="400"/>
    </row>
    <row r="802" spans="1:9" s="256" customFormat="1" ht="25.5" customHeight="1">
      <c r="A802" s="360">
        <v>90001</v>
      </c>
      <c r="B802" s="627" t="s">
        <v>379</v>
      </c>
      <c r="C802" s="362">
        <f>SUM(C803+C809)</f>
        <v>11424175</v>
      </c>
      <c r="D802" s="363">
        <f>SUM(D803+D809)</f>
        <v>11424175</v>
      </c>
      <c r="E802" s="529"/>
      <c r="F802" s="365">
        <f>SUM(F803+F809)</f>
        <v>10014175</v>
      </c>
      <c r="G802" s="529"/>
      <c r="H802" s="365">
        <f>SUM(H803)+H809</f>
        <v>1410000</v>
      </c>
      <c r="I802" s="531"/>
    </row>
    <row r="803" spans="1:9" s="281" customFormat="1" ht="15" customHeight="1">
      <c r="A803" s="257"/>
      <c r="B803" s="258" t="s">
        <v>300</v>
      </c>
      <c r="C803" s="603">
        <f>SUM(C804:C807)</f>
        <v>3612675</v>
      </c>
      <c r="D803" s="260">
        <f>F803+H803</f>
        <v>3612675</v>
      </c>
      <c r="E803" s="261"/>
      <c r="F803" s="262">
        <f>SUM(F804:F807)</f>
        <v>2202675</v>
      </c>
      <c r="G803" s="393"/>
      <c r="H803" s="262">
        <f>SUM(H807)</f>
        <v>1410000</v>
      </c>
      <c r="I803" s="395"/>
    </row>
    <row r="804" spans="1:9" s="281" customFormat="1" ht="12.75" customHeight="1">
      <c r="A804" s="257"/>
      <c r="B804" s="266" t="s">
        <v>286</v>
      </c>
      <c r="C804" s="267">
        <f>SUM(D804:E804)</f>
        <v>12400</v>
      </c>
      <c r="D804" s="268">
        <f>F804+H804</f>
        <v>12400</v>
      </c>
      <c r="E804" s="261"/>
      <c r="F804" s="262">
        <v>12400</v>
      </c>
      <c r="G804" s="393"/>
      <c r="H804" s="262"/>
      <c r="I804" s="395"/>
    </row>
    <row r="805" spans="1:9" s="281" customFormat="1" ht="11.25" customHeight="1">
      <c r="A805" s="257"/>
      <c r="B805" s="266" t="s">
        <v>287</v>
      </c>
      <c r="C805" s="267"/>
      <c r="D805" s="268"/>
      <c r="E805" s="261"/>
      <c r="F805" s="262"/>
      <c r="G805" s="393"/>
      <c r="H805" s="262"/>
      <c r="I805" s="395"/>
    </row>
    <row r="806" spans="1:9" s="281" customFormat="1" ht="11.25" customHeight="1" hidden="1">
      <c r="A806" s="257"/>
      <c r="B806" s="286" t="s">
        <v>273</v>
      </c>
      <c r="C806" s="267">
        <f>SUM(D806:E806)</f>
        <v>0</v>
      </c>
      <c r="D806" s="268">
        <f>F806+H806</f>
        <v>0</v>
      </c>
      <c r="E806" s="261"/>
      <c r="F806" s="287"/>
      <c r="G806" s="393"/>
      <c r="H806" s="262"/>
      <c r="I806" s="395"/>
    </row>
    <row r="807" spans="1:9" s="281" customFormat="1" ht="12" customHeight="1">
      <c r="A807" s="257"/>
      <c r="B807" s="266" t="s">
        <v>262</v>
      </c>
      <c r="C807" s="267">
        <f>SUM(D807:E807)</f>
        <v>3600275</v>
      </c>
      <c r="D807" s="268">
        <f>F807+H807</f>
        <v>3600275</v>
      </c>
      <c r="E807" s="269"/>
      <c r="F807" s="287">
        <v>2190275</v>
      </c>
      <c r="G807" s="261"/>
      <c r="H807" s="287">
        <v>1410000</v>
      </c>
      <c r="I807" s="284"/>
    </row>
    <row r="808" spans="1:9" s="273" customFormat="1" ht="12.75" customHeight="1">
      <c r="A808" s="265"/>
      <c r="B808" s="266" t="s">
        <v>378</v>
      </c>
      <c r="C808" s="267">
        <f>SUM(D808:E808)</f>
        <v>30000</v>
      </c>
      <c r="D808" s="268">
        <f>F808+H808</f>
        <v>30000</v>
      </c>
      <c r="E808" s="269"/>
      <c r="F808" s="287">
        <v>30000</v>
      </c>
      <c r="G808" s="269"/>
      <c r="H808" s="287"/>
      <c r="I808" s="291"/>
    </row>
    <row r="809" spans="1:9" ht="12.75">
      <c r="A809" s="257"/>
      <c r="B809" s="282" t="s">
        <v>257</v>
      </c>
      <c r="C809" s="259">
        <f>SUM(C810)</f>
        <v>7811500</v>
      </c>
      <c r="D809" s="260">
        <f>SUM(D810)</f>
        <v>7811500</v>
      </c>
      <c r="E809" s="261"/>
      <c r="F809" s="262">
        <f>SUM(F810)</f>
        <v>7811500</v>
      </c>
      <c r="G809" s="393"/>
      <c r="H809" s="262"/>
      <c r="I809" s="395"/>
    </row>
    <row r="810" spans="1:9" ht="12.75" customHeight="1">
      <c r="A810" s="381"/>
      <c r="B810" s="397" t="s">
        <v>270</v>
      </c>
      <c r="C810" s="382">
        <f>SUM(D810:E810)</f>
        <v>7811500</v>
      </c>
      <c r="D810" s="383">
        <f>F810+H810</f>
        <v>7811500</v>
      </c>
      <c r="E810" s="384"/>
      <c r="F810" s="385">
        <v>7811500</v>
      </c>
      <c r="G810" s="453"/>
      <c r="H810" s="385"/>
      <c r="I810" s="532"/>
    </row>
    <row r="811" spans="1:9" s="256" customFormat="1" ht="12.75">
      <c r="A811" s="360">
        <v>90002</v>
      </c>
      <c r="B811" s="627" t="s">
        <v>706</v>
      </c>
      <c r="C811" s="362">
        <f>C812</f>
        <v>500000</v>
      </c>
      <c r="D811" s="363">
        <f>D812</f>
        <v>500000</v>
      </c>
      <c r="E811" s="529"/>
      <c r="F811" s="365">
        <f>F812</f>
        <v>500000</v>
      </c>
      <c r="G811" s="529"/>
      <c r="H811" s="365"/>
      <c r="I811" s="531"/>
    </row>
    <row r="812" spans="1:9" ht="12.75" customHeight="1">
      <c r="A812" s="257"/>
      <c r="B812" s="282" t="s">
        <v>257</v>
      </c>
      <c r="C812" s="451">
        <f>C813</f>
        <v>500000</v>
      </c>
      <c r="D812" s="493">
        <f>D813</f>
        <v>500000</v>
      </c>
      <c r="E812" s="540"/>
      <c r="F812" s="541">
        <f>F813</f>
        <v>500000</v>
      </c>
      <c r="G812" s="446"/>
      <c r="H812" s="541"/>
      <c r="I812" s="178"/>
    </row>
    <row r="813" spans="1:9" ht="12.75" customHeight="1">
      <c r="A813" s="381"/>
      <c r="B813" s="397" t="s">
        <v>270</v>
      </c>
      <c r="C813" s="382">
        <f>SUM(D813:E813)</f>
        <v>500000</v>
      </c>
      <c r="D813" s="383">
        <f>F813+H813</f>
        <v>500000</v>
      </c>
      <c r="E813" s="384"/>
      <c r="F813" s="385">
        <v>500000</v>
      </c>
      <c r="G813" s="453"/>
      <c r="H813" s="385"/>
      <c r="I813" s="532"/>
    </row>
    <row r="814" spans="1:9" s="281" customFormat="1" ht="27" customHeight="1">
      <c r="A814" s="360">
        <v>90003</v>
      </c>
      <c r="B814" s="428" t="s">
        <v>380</v>
      </c>
      <c r="C814" s="362">
        <f>SUM(C815)</f>
        <v>3710065</v>
      </c>
      <c r="D814" s="363">
        <f>SUM(D815)</f>
        <v>3710065</v>
      </c>
      <c r="E814" s="364"/>
      <c r="F814" s="365">
        <f>SUM(F815)</f>
        <v>1960065</v>
      </c>
      <c r="G814" s="431"/>
      <c r="H814" s="365">
        <f>SUM(H815)</f>
        <v>1750000</v>
      </c>
      <c r="I814" s="366"/>
    </row>
    <row r="815" spans="1:9" ht="16.5" customHeight="1">
      <c r="A815" s="443"/>
      <c r="B815" s="444" t="s">
        <v>261</v>
      </c>
      <c r="C815" s="411">
        <f>SUM(C816)</f>
        <v>3710065</v>
      </c>
      <c r="D815" s="445">
        <f>SUM(D816)</f>
        <v>3710065</v>
      </c>
      <c r="E815" s="446"/>
      <c r="F815" s="447">
        <f>SUM(F816)</f>
        <v>1960065</v>
      </c>
      <c r="G815" s="448"/>
      <c r="H815" s="447">
        <f>SUM(H816)</f>
        <v>1750000</v>
      </c>
      <c r="I815" s="483"/>
    </row>
    <row r="816" spans="1:9" ht="12">
      <c r="A816" s="257"/>
      <c r="B816" s="286" t="s">
        <v>262</v>
      </c>
      <c r="C816" s="267">
        <f>SUM(D816:E816)</f>
        <v>3710065</v>
      </c>
      <c r="D816" s="268">
        <f>F816+H816</f>
        <v>3710065</v>
      </c>
      <c r="E816" s="269"/>
      <c r="F816" s="287">
        <v>1960065</v>
      </c>
      <c r="G816" s="261"/>
      <c r="H816" s="287">
        <v>1750000</v>
      </c>
      <c r="I816" s="284"/>
    </row>
    <row r="817" spans="1:9" s="281" customFormat="1" ht="12.75" customHeight="1">
      <c r="A817" s="332"/>
      <c r="B817" s="266" t="s">
        <v>378</v>
      </c>
      <c r="C817" s="267">
        <f>D817+E817</f>
        <v>60720</v>
      </c>
      <c r="D817" s="268">
        <f>F817+H817</f>
        <v>60720</v>
      </c>
      <c r="E817" s="269"/>
      <c r="F817" s="314"/>
      <c r="G817" s="269"/>
      <c r="H817" s="287">
        <v>60720</v>
      </c>
      <c r="I817" s="284"/>
    </row>
    <row r="818" spans="1:9" s="281" customFormat="1" ht="24" customHeight="1">
      <c r="A818" s="312">
        <v>90004</v>
      </c>
      <c r="B818" s="434" t="s">
        <v>381</v>
      </c>
      <c r="C818" s="276">
        <f>SUM(C819+C821)</f>
        <v>2896000</v>
      </c>
      <c r="D818" s="277">
        <f>SUM(D819+D821)</f>
        <v>2896000</v>
      </c>
      <c r="E818" s="278"/>
      <c r="F818" s="279">
        <f>SUM(F819+F821)</f>
        <v>1986000</v>
      </c>
      <c r="G818" s="289"/>
      <c r="H818" s="279">
        <f>SUM(H819)</f>
        <v>910000</v>
      </c>
      <c r="I818" s="193"/>
    </row>
    <row r="819" spans="1:9" ht="15" customHeight="1">
      <c r="A819" s="257"/>
      <c r="B819" s="282" t="s">
        <v>261</v>
      </c>
      <c r="C819" s="259">
        <f>SUM(C820)</f>
        <v>2196000</v>
      </c>
      <c r="D819" s="260">
        <f>SUM(D820)</f>
        <v>2196000</v>
      </c>
      <c r="E819" s="261"/>
      <c r="F819" s="262">
        <f>SUM(F820)</f>
        <v>1286000</v>
      </c>
      <c r="G819" s="393"/>
      <c r="H819" s="262">
        <f>SUM(H820)</f>
        <v>910000</v>
      </c>
      <c r="I819" s="395"/>
    </row>
    <row r="820" spans="1:9" ht="12">
      <c r="A820" s="257"/>
      <c r="B820" s="286" t="s">
        <v>262</v>
      </c>
      <c r="C820" s="267">
        <f>SUM(D820:E820)</f>
        <v>2196000</v>
      </c>
      <c r="D820" s="268">
        <f>F820+H820</f>
        <v>2196000</v>
      </c>
      <c r="E820" s="269"/>
      <c r="F820" s="287">
        <v>1286000</v>
      </c>
      <c r="G820" s="261"/>
      <c r="H820" s="287">
        <v>910000</v>
      </c>
      <c r="I820" s="284"/>
    </row>
    <row r="821" spans="1:9" ht="12.75">
      <c r="A821" s="257"/>
      <c r="B821" s="282" t="s">
        <v>257</v>
      </c>
      <c r="C821" s="259">
        <f>SUM(C822)</f>
        <v>700000</v>
      </c>
      <c r="D821" s="260">
        <f>SUM(D822)</f>
        <v>700000</v>
      </c>
      <c r="E821" s="261"/>
      <c r="F821" s="262">
        <f>SUM(F822)</f>
        <v>700000</v>
      </c>
      <c r="G821" s="393"/>
      <c r="H821" s="262"/>
      <c r="I821" s="395"/>
    </row>
    <row r="822" spans="1:9" ht="12">
      <c r="A822" s="381"/>
      <c r="B822" s="397" t="s">
        <v>270</v>
      </c>
      <c r="C822" s="382">
        <f>SUM(D822:E822)</f>
        <v>700000</v>
      </c>
      <c r="D822" s="383">
        <f>F822+H822</f>
        <v>700000</v>
      </c>
      <c r="E822" s="384"/>
      <c r="F822" s="385">
        <v>700000</v>
      </c>
      <c r="G822" s="453"/>
      <c r="H822" s="385"/>
      <c r="I822" s="532"/>
    </row>
    <row r="823" spans="1:9" s="281" customFormat="1" ht="14.25" customHeight="1">
      <c r="A823" s="312">
        <v>90013</v>
      </c>
      <c r="B823" s="434" t="s">
        <v>382</v>
      </c>
      <c r="C823" s="288">
        <f>C824+C828</f>
        <v>1178300</v>
      </c>
      <c r="D823" s="191">
        <f>D824+D828</f>
        <v>1178300</v>
      </c>
      <c r="E823" s="289"/>
      <c r="F823" s="290">
        <f>F824+F828</f>
        <v>1178300</v>
      </c>
      <c r="G823" s="289"/>
      <c r="H823" s="290"/>
      <c r="I823" s="193"/>
    </row>
    <row r="824" spans="1:9" ht="12.75" customHeight="1">
      <c r="A824" s="443"/>
      <c r="B824" s="444" t="s">
        <v>300</v>
      </c>
      <c r="C824" s="416">
        <f>SUM(C825:C826)</f>
        <v>720600</v>
      </c>
      <c r="D824" s="417">
        <f>SUM(D825:D826)</f>
        <v>720600</v>
      </c>
      <c r="E824" s="263"/>
      <c r="F824" s="262">
        <f>SUM(F825:F826)</f>
        <v>720600</v>
      </c>
      <c r="G824" s="263"/>
      <c r="H824" s="262"/>
      <c r="I824" s="264"/>
    </row>
    <row r="825" spans="1:9" ht="12.75" customHeight="1">
      <c r="A825" s="257"/>
      <c r="B825" s="286" t="s">
        <v>273</v>
      </c>
      <c r="C825" s="267">
        <f>SUM(D825:E825)</f>
        <v>285000</v>
      </c>
      <c r="D825" s="268">
        <f>F825+H825</f>
        <v>285000</v>
      </c>
      <c r="E825" s="263"/>
      <c r="F825" s="262">
        <v>285000</v>
      </c>
      <c r="G825" s="263"/>
      <c r="H825" s="262"/>
      <c r="I825" s="264"/>
    </row>
    <row r="826" spans="1:9" s="273" customFormat="1" ht="12">
      <c r="A826" s="265"/>
      <c r="B826" s="266" t="s">
        <v>262</v>
      </c>
      <c r="C826" s="267">
        <f>SUM(D826:E826)</f>
        <v>435600</v>
      </c>
      <c r="D826" s="268">
        <f>F826+H826</f>
        <v>435600</v>
      </c>
      <c r="E826" s="269"/>
      <c r="F826" s="287">
        <v>435600</v>
      </c>
      <c r="G826" s="269"/>
      <c r="H826" s="287"/>
      <c r="I826" s="291"/>
    </row>
    <row r="827" spans="1:9" s="273" customFormat="1" ht="12" customHeight="1">
      <c r="A827" s="265"/>
      <c r="B827" s="266" t="s">
        <v>383</v>
      </c>
      <c r="C827" s="267">
        <f>SUM(D827:E827)</f>
        <v>0</v>
      </c>
      <c r="D827" s="268">
        <f>F827+H827</f>
        <v>0</v>
      </c>
      <c r="E827" s="269"/>
      <c r="F827" s="287">
        <v>0</v>
      </c>
      <c r="G827" s="269"/>
      <c r="H827" s="287"/>
      <c r="I827" s="291"/>
    </row>
    <row r="828" spans="1:9" ht="13.5" customHeight="1">
      <c r="A828" s="257"/>
      <c r="B828" s="258" t="s">
        <v>257</v>
      </c>
      <c r="C828" s="416">
        <f>SUM(C829)</f>
        <v>457700</v>
      </c>
      <c r="D828" s="417">
        <f>SUM(D829)</f>
        <v>457700</v>
      </c>
      <c r="E828" s="263"/>
      <c r="F828" s="262">
        <f>SUM(F829)</f>
        <v>457700</v>
      </c>
      <c r="G828" s="263"/>
      <c r="H828" s="262"/>
      <c r="I828" s="264"/>
    </row>
    <row r="829" spans="1:9" s="273" customFormat="1" ht="12">
      <c r="A829" s="265"/>
      <c r="B829" s="266" t="s">
        <v>270</v>
      </c>
      <c r="C829" s="267">
        <f>SUM(D829:E829)</f>
        <v>457700</v>
      </c>
      <c r="D829" s="268">
        <f>F829+H829</f>
        <v>457700</v>
      </c>
      <c r="E829" s="269"/>
      <c r="F829" s="287">
        <v>457700</v>
      </c>
      <c r="G829" s="269"/>
      <c r="H829" s="287"/>
      <c r="I829" s="291"/>
    </row>
    <row r="830" spans="1:9" s="281" customFormat="1" ht="24" customHeight="1">
      <c r="A830" s="312">
        <v>90015</v>
      </c>
      <c r="B830" s="434" t="s">
        <v>384</v>
      </c>
      <c r="C830" s="288">
        <f>C831+C834</f>
        <v>3816000</v>
      </c>
      <c r="D830" s="191">
        <f>D831+D834</f>
        <v>3816000</v>
      </c>
      <c r="E830" s="289"/>
      <c r="F830" s="290">
        <f>F831+F834</f>
        <v>2296560</v>
      </c>
      <c r="G830" s="289"/>
      <c r="H830" s="290">
        <f>H831+H834</f>
        <v>1519440</v>
      </c>
      <c r="I830" s="193"/>
    </row>
    <row r="831" spans="1:9" ht="12.75" customHeight="1">
      <c r="A831" s="443"/>
      <c r="B831" s="444" t="s">
        <v>300</v>
      </c>
      <c r="C831" s="628">
        <f>SUM(C832)</f>
        <v>3545500</v>
      </c>
      <c r="D831" s="482">
        <f>SUM(D832)</f>
        <v>3545500</v>
      </c>
      <c r="E831" s="456"/>
      <c r="F831" s="447">
        <f>SUM(F832)</f>
        <v>2123060</v>
      </c>
      <c r="G831" s="456"/>
      <c r="H831" s="447">
        <f>SUM(H832)</f>
        <v>1422440</v>
      </c>
      <c r="I831" s="450"/>
    </row>
    <row r="832" spans="1:9" s="273" customFormat="1" ht="12" customHeight="1">
      <c r="A832" s="265"/>
      <c r="B832" s="266" t="s">
        <v>262</v>
      </c>
      <c r="C832" s="267">
        <f>SUM(D832:E832)</f>
        <v>3545500</v>
      </c>
      <c r="D832" s="268">
        <f>F832+H832</f>
        <v>3545500</v>
      </c>
      <c r="E832" s="269"/>
      <c r="F832" s="287">
        <v>2123060</v>
      </c>
      <c r="G832" s="269"/>
      <c r="H832" s="287">
        <v>1422440</v>
      </c>
      <c r="I832" s="291"/>
    </row>
    <row r="833" spans="1:9" s="273" customFormat="1" ht="12" customHeight="1">
      <c r="A833" s="265"/>
      <c r="B833" s="266" t="s">
        <v>378</v>
      </c>
      <c r="C833" s="267">
        <f>SUM(D833:E833)</f>
        <v>1374600</v>
      </c>
      <c r="D833" s="268">
        <f>F833+H833</f>
        <v>1374600</v>
      </c>
      <c r="E833" s="269"/>
      <c r="F833" s="287">
        <v>821600</v>
      </c>
      <c r="G833" s="269"/>
      <c r="H833" s="287">
        <v>553000</v>
      </c>
      <c r="I833" s="291"/>
    </row>
    <row r="834" spans="1:9" ht="12.75" customHeight="1">
      <c r="A834" s="257"/>
      <c r="B834" s="258" t="s">
        <v>257</v>
      </c>
      <c r="C834" s="416">
        <f>SUM(C835)</f>
        <v>270500</v>
      </c>
      <c r="D834" s="417">
        <f>SUM(D835)</f>
        <v>270500</v>
      </c>
      <c r="E834" s="263"/>
      <c r="F834" s="262">
        <f>F835</f>
        <v>173500</v>
      </c>
      <c r="G834" s="263"/>
      <c r="H834" s="262">
        <f>H835</f>
        <v>97000</v>
      </c>
      <c r="I834" s="264"/>
    </row>
    <row r="835" spans="1:9" s="273" customFormat="1" ht="12" customHeight="1">
      <c r="A835" s="265"/>
      <c r="B835" s="266" t="s">
        <v>270</v>
      </c>
      <c r="C835" s="267">
        <f>SUM(D835:E835)</f>
        <v>270500</v>
      </c>
      <c r="D835" s="268">
        <f>F835+H835</f>
        <v>270500</v>
      </c>
      <c r="E835" s="384"/>
      <c r="F835" s="287">
        <v>173500</v>
      </c>
      <c r="G835" s="269"/>
      <c r="H835" s="287">
        <v>97000</v>
      </c>
      <c r="I835" s="291"/>
    </row>
    <row r="836" spans="1:9" ht="15" customHeight="1">
      <c r="A836" s="312">
        <v>90095</v>
      </c>
      <c r="B836" s="434" t="s">
        <v>268</v>
      </c>
      <c r="C836" s="288">
        <f>C837+C842</f>
        <v>3800260</v>
      </c>
      <c r="D836" s="191">
        <f>D837+D842</f>
        <v>3800260</v>
      </c>
      <c r="E836" s="289"/>
      <c r="F836" s="290">
        <f>F837+F842</f>
        <v>3800260</v>
      </c>
      <c r="G836" s="289"/>
      <c r="H836" s="290"/>
      <c r="I836" s="193"/>
    </row>
    <row r="837" spans="1:9" ht="12" customHeight="1">
      <c r="A837" s="443"/>
      <c r="B837" s="444" t="s">
        <v>300</v>
      </c>
      <c r="C837" s="416">
        <f>SUM(C838:C840)</f>
        <v>835400</v>
      </c>
      <c r="D837" s="417">
        <f>SUM(D838:D840)</f>
        <v>835400</v>
      </c>
      <c r="E837" s="263"/>
      <c r="F837" s="262">
        <f>SUM(F838:F840)</f>
        <v>835400</v>
      </c>
      <c r="G837" s="263"/>
      <c r="H837" s="262"/>
      <c r="I837" s="264"/>
    </row>
    <row r="838" spans="1:9" ht="15" customHeight="1">
      <c r="A838" s="257"/>
      <c r="B838" s="266" t="s">
        <v>286</v>
      </c>
      <c r="C838" s="267">
        <f>D838</f>
        <v>19435</v>
      </c>
      <c r="D838" s="268">
        <f>F838</f>
        <v>19435</v>
      </c>
      <c r="E838" s="261"/>
      <c r="F838" s="287">
        <v>19435</v>
      </c>
      <c r="G838" s="263"/>
      <c r="H838" s="262"/>
      <c r="I838" s="264"/>
    </row>
    <row r="839" spans="1:9" ht="12" customHeight="1">
      <c r="A839" s="257"/>
      <c r="B839" s="266" t="s">
        <v>287</v>
      </c>
      <c r="C839" s="416"/>
      <c r="D839" s="417"/>
      <c r="E839" s="263"/>
      <c r="F839" s="262"/>
      <c r="G839" s="263"/>
      <c r="H839" s="262"/>
      <c r="I839" s="264"/>
    </row>
    <row r="840" spans="1:9" s="273" customFormat="1" ht="12" customHeight="1">
      <c r="A840" s="265"/>
      <c r="B840" s="266" t="s">
        <v>262</v>
      </c>
      <c r="C840" s="267">
        <f>SUM(D840:E840)</f>
        <v>815965</v>
      </c>
      <c r="D840" s="268">
        <f>F840+H840</f>
        <v>815965</v>
      </c>
      <c r="E840" s="269"/>
      <c r="F840" s="287">
        <v>815965</v>
      </c>
      <c r="G840" s="269"/>
      <c r="H840" s="287"/>
      <c r="I840" s="291"/>
    </row>
    <row r="841" spans="1:9" s="273" customFormat="1" ht="11.25" customHeight="1">
      <c r="A841" s="265"/>
      <c r="B841" s="266" t="s">
        <v>383</v>
      </c>
      <c r="C841" s="267">
        <f>SUM(D841:E841)</f>
        <v>508565</v>
      </c>
      <c r="D841" s="268">
        <f>F841+H841</f>
        <v>508565</v>
      </c>
      <c r="E841" s="269"/>
      <c r="F841" s="287">
        <v>508565</v>
      </c>
      <c r="G841" s="269"/>
      <c r="H841" s="287"/>
      <c r="I841" s="291"/>
    </row>
    <row r="842" spans="1:9" ht="12.75" customHeight="1">
      <c r="A842" s="257"/>
      <c r="B842" s="258" t="s">
        <v>257</v>
      </c>
      <c r="C842" s="416">
        <f>C843</f>
        <v>2964860</v>
      </c>
      <c r="D842" s="417">
        <f>D843</f>
        <v>2964860</v>
      </c>
      <c r="E842" s="263"/>
      <c r="F842" s="262">
        <f>F843</f>
        <v>2964860</v>
      </c>
      <c r="G842" s="263"/>
      <c r="H842" s="262"/>
      <c r="I842" s="264"/>
    </row>
    <row r="843" spans="1:9" s="273" customFormat="1" ht="12.75" customHeight="1">
      <c r="A843" s="265"/>
      <c r="B843" s="266" t="s">
        <v>270</v>
      </c>
      <c r="C843" s="267">
        <f>SUM(D843:E843)</f>
        <v>2964860</v>
      </c>
      <c r="D843" s="268">
        <f>F843+H843</f>
        <v>2964860</v>
      </c>
      <c r="E843" s="269"/>
      <c r="F843" s="287">
        <v>2964860</v>
      </c>
      <c r="G843" s="269"/>
      <c r="H843" s="287"/>
      <c r="I843" s="291"/>
    </row>
    <row r="844" spans="1:9" s="273" customFormat="1" ht="12.75" thickBot="1">
      <c r="A844" s="265"/>
      <c r="B844" s="1829" t="s">
        <v>274</v>
      </c>
      <c r="C844" s="267">
        <f>SUM(D844:E844)</f>
        <v>1200000</v>
      </c>
      <c r="D844" s="268">
        <f>F844+H844</f>
        <v>1200000</v>
      </c>
      <c r="E844" s="269"/>
      <c r="F844" s="287">
        <v>1200000</v>
      </c>
      <c r="G844" s="269"/>
      <c r="H844" s="287"/>
      <c r="I844" s="291"/>
    </row>
    <row r="845" spans="1:9" s="273" customFormat="1" ht="12" customHeight="1" hidden="1" thickBot="1">
      <c r="A845" s="265"/>
      <c r="B845" s="266" t="s">
        <v>275</v>
      </c>
      <c r="C845" s="267">
        <f>SUM(D845:E845)</f>
        <v>0</v>
      </c>
      <c r="D845" s="268">
        <f>F845+H845</f>
        <v>0</v>
      </c>
      <c r="E845" s="269"/>
      <c r="F845" s="287"/>
      <c r="G845" s="269"/>
      <c r="H845" s="287"/>
      <c r="I845" s="291"/>
    </row>
    <row r="846" spans="1:9" s="256" customFormat="1" ht="55.5" customHeight="1" thickBot="1" thickTop="1">
      <c r="A846" s="311">
        <v>921</v>
      </c>
      <c r="B846" s="251" t="s">
        <v>172</v>
      </c>
      <c r="C846" s="252">
        <f>C859+C869+C875+C884+C904+C910+C917+C926+C893</f>
        <v>20859841</v>
      </c>
      <c r="D846" s="253">
        <f>D859+D869+D875+D884+D904+D910+D917+D926+D893</f>
        <v>20786841</v>
      </c>
      <c r="E846" s="253">
        <f>E869+E875+E884+E893+E904+E910+E917+E926</f>
        <v>73000</v>
      </c>
      <c r="F846" s="255">
        <f>F859+F869+F875+F884+F904+F910+F917+F926+F893</f>
        <v>7516441</v>
      </c>
      <c r="G846" s="253">
        <f>G859+G869+G875+G884+G904+G910+G917+G926+G893</f>
        <v>5000</v>
      </c>
      <c r="H846" s="316">
        <f>H859+H869+H875+H884+H904+H910+H917+H926+H893</f>
        <v>13270400</v>
      </c>
      <c r="I846" s="200">
        <f>I859+I869+I875+I884+I904+I910+I917+I926+I893</f>
        <v>68000</v>
      </c>
    </row>
    <row r="847" spans="1:9" s="256" customFormat="1" ht="15" customHeight="1" thickTop="1">
      <c r="A847" s="317"/>
      <c r="B847" s="629" t="s">
        <v>300</v>
      </c>
      <c r="C847" s="319">
        <f>D847+E847</f>
        <v>18535841</v>
      </c>
      <c r="D847" s="320">
        <f>F847+H847</f>
        <v>18530841</v>
      </c>
      <c r="E847" s="321">
        <f>G847+I847</f>
        <v>5000</v>
      </c>
      <c r="F847" s="337">
        <f>F870+F876+F885+F894+F905+F911+F918+F927</f>
        <v>7516441</v>
      </c>
      <c r="G847" s="201">
        <f>G870+G876+G885+G894+G905+G911+G918+G927</f>
        <v>5000</v>
      </c>
      <c r="H847" s="322">
        <f>H870+H876+H885+H894+H905+H911+H918+H927</f>
        <v>11014400</v>
      </c>
      <c r="I847" s="338"/>
    </row>
    <row r="848" spans="1:9" s="273" customFormat="1" ht="12.75">
      <c r="A848" s="608"/>
      <c r="B848" s="266" t="s">
        <v>286</v>
      </c>
      <c r="C848" s="327">
        <f>D848+E848</f>
        <v>90322</v>
      </c>
      <c r="D848" s="328">
        <f>F848+H848</f>
        <v>90322</v>
      </c>
      <c r="E848" s="271"/>
      <c r="F848" s="270">
        <f>F919+F928</f>
        <v>90322</v>
      </c>
      <c r="G848" s="436"/>
      <c r="H848" s="329"/>
      <c r="I848" s="272"/>
    </row>
    <row r="849" spans="1:9" s="273" customFormat="1" ht="14.25" customHeight="1">
      <c r="A849" s="608"/>
      <c r="B849" s="266" t="s">
        <v>287</v>
      </c>
      <c r="C849" s="327"/>
      <c r="D849" s="328"/>
      <c r="E849" s="271"/>
      <c r="F849" s="270"/>
      <c r="G849" s="436"/>
      <c r="H849" s="329"/>
      <c r="I849" s="272"/>
    </row>
    <row r="850" spans="1:9" s="341" customFormat="1" ht="12.75" customHeight="1">
      <c r="A850" s="339"/>
      <c r="B850" s="286" t="s">
        <v>273</v>
      </c>
      <c r="C850" s="327">
        <f aca="true" t="shared" si="42" ref="C850:C868">D850+E850</f>
        <v>17206603</v>
      </c>
      <c r="D850" s="328">
        <f aca="true" t="shared" si="43" ref="D850:D868">F850+H850</f>
        <v>17206603</v>
      </c>
      <c r="E850" s="271"/>
      <c r="F850" s="270">
        <f>F873+F877+F888+F897+F906+F912+F930+F921</f>
        <v>6192203</v>
      </c>
      <c r="G850" s="436"/>
      <c r="H850" s="329">
        <f>H873+H877+H888+H897+H906+H912</f>
        <v>11014400</v>
      </c>
      <c r="I850" s="272"/>
    </row>
    <row r="851" spans="1:9" s="341" customFormat="1" ht="15.75" customHeight="1">
      <c r="A851" s="339"/>
      <c r="B851" s="266" t="s">
        <v>262</v>
      </c>
      <c r="C851" s="327">
        <f t="shared" si="42"/>
        <v>1238916</v>
      </c>
      <c r="D851" s="328">
        <f t="shared" si="43"/>
        <v>1233916</v>
      </c>
      <c r="E851" s="271">
        <f>G851+I851</f>
        <v>5000</v>
      </c>
      <c r="F851" s="270">
        <f>F874+F922+F931</f>
        <v>1233916</v>
      </c>
      <c r="G851" s="437">
        <f>G874+G922+G931+G886</f>
        <v>5000</v>
      </c>
      <c r="H851" s="329"/>
      <c r="I851" s="272"/>
    </row>
    <row r="852" spans="1:9" s="341" customFormat="1" ht="14.25" customHeight="1">
      <c r="A852" s="339"/>
      <c r="B852" s="286" t="s">
        <v>269</v>
      </c>
      <c r="C852" s="259">
        <f t="shared" si="42"/>
        <v>300000</v>
      </c>
      <c r="D852" s="260">
        <f t="shared" si="43"/>
        <v>300000</v>
      </c>
      <c r="E852" s="271"/>
      <c r="F852" s="283">
        <f>F923</f>
        <v>300000</v>
      </c>
      <c r="G852" s="561"/>
      <c r="H852" s="314"/>
      <c r="I852" s="291"/>
    </row>
    <row r="853" spans="1:9" s="341" customFormat="1" ht="14.25" customHeight="1">
      <c r="A853" s="339"/>
      <c r="B853" s="460" t="s">
        <v>299</v>
      </c>
      <c r="C853" s="344">
        <f t="shared" si="42"/>
        <v>5000</v>
      </c>
      <c r="D853" s="631"/>
      <c r="E853" s="346">
        <f>G853+I853</f>
        <v>5000</v>
      </c>
      <c r="F853" s="349"/>
      <c r="G853" s="1972">
        <f>G887</f>
        <v>5000</v>
      </c>
      <c r="H853" s="314"/>
      <c r="I853" s="291"/>
    </row>
    <row r="854" spans="1:9" s="256" customFormat="1" ht="14.25" customHeight="1">
      <c r="A854" s="317"/>
      <c r="B854" s="336" t="s">
        <v>257</v>
      </c>
      <c r="C854" s="319">
        <f t="shared" si="42"/>
        <v>2324000</v>
      </c>
      <c r="D854" s="320">
        <f t="shared" si="43"/>
        <v>2256000</v>
      </c>
      <c r="E854" s="321">
        <f>E855</f>
        <v>68000</v>
      </c>
      <c r="F854" s="322"/>
      <c r="G854" s="321"/>
      <c r="H854" s="322">
        <f>H879+H900+H914+H889</f>
        <v>2256000</v>
      </c>
      <c r="I854" s="338">
        <f>I879+I900+I914+I889</f>
        <v>68000</v>
      </c>
    </row>
    <row r="855" spans="1:9" s="415" customFormat="1" ht="13.5" customHeight="1">
      <c r="A855" s="412"/>
      <c r="B855" s="266" t="s">
        <v>258</v>
      </c>
      <c r="C855" s="267">
        <f t="shared" si="42"/>
        <v>188000</v>
      </c>
      <c r="D855" s="268">
        <f t="shared" si="43"/>
        <v>120000</v>
      </c>
      <c r="E855" s="261">
        <f>G855+I855</f>
        <v>68000</v>
      </c>
      <c r="F855" s="314"/>
      <c r="G855" s="269"/>
      <c r="H855" s="314">
        <f>H882+H890</f>
        <v>120000</v>
      </c>
      <c r="I855" s="291">
        <f>I882+I890</f>
        <v>68000</v>
      </c>
    </row>
    <row r="856" spans="1:9" s="635" customFormat="1" ht="12" customHeight="1">
      <c r="A856" s="438"/>
      <c r="B856" s="343" t="s">
        <v>274</v>
      </c>
      <c r="C856" s="630">
        <f t="shared" si="42"/>
        <v>188000</v>
      </c>
      <c r="D856" s="631">
        <f t="shared" si="43"/>
        <v>120000</v>
      </c>
      <c r="E856" s="261">
        <f>G856+I856</f>
        <v>68000</v>
      </c>
      <c r="F856" s="632"/>
      <c r="G856" s="633"/>
      <c r="H856" s="632">
        <f>H883+H891</f>
        <v>120000</v>
      </c>
      <c r="I856" s="350">
        <f>I883+I891</f>
        <v>68000</v>
      </c>
    </row>
    <row r="857" spans="1:9" s="415" customFormat="1" ht="14.25" customHeight="1">
      <c r="A857" s="412"/>
      <c r="B857" s="266" t="s">
        <v>270</v>
      </c>
      <c r="C857" s="327">
        <f t="shared" si="42"/>
        <v>2136000</v>
      </c>
      <c r="D857" s="328">
        <f t="shared" si="43"/>
        <v>2136000</v>
      </c>
      <c r="E857" s="271"/>
      <c r="F857" s="329"/>
      <c r="G857" s="271"/>
      <c r="H857" s="2457">
        <f>H880+H901+H915+H892</f>
        <v>2136000</v>
      </c>
      <c r="I857" s="272"/>
    </row>
    <row r="858" spans="1:9" s="635" customFormat="1" ht="9" customHeight="1" hidden="1" thickBot="1">
      <c r="A858" s="636"/>
      <c r="B858" s="637" t="s">
        <v>274</v>
      </c>
      <c r="C858" s="327">
        <f t="shared" si="42"/>
        <v>0</v>
      </c>
      <c r="D858" s="328">
        <f t="shared" si="43"/>
        <v>0</v>
      </c>
      <c r="E858" s="638"/>
      <c r="F858" s="639"/>
      <c r="G858" s="640"/>
      <c r="H858" s="639"/>
      <c r="I858" s="641"/>
    </row>
    <row r="859" spans="1:9" ht="12" customHeight="1" hidden="1" thickTop="1">
      <c r="A859" s="360">
        <v>92109</v>
      </c>
      <c r="B859" s="428" t="s">
        <v>385</v>
      </c>
      <c r="C859" s="327">
        <f t="shared" si="42"/>
        <v>0</v>
      </c>
      <c r="D859" s="328">
        <f t="shared" si="43"/>
        <v>0</v>
      </c>
      <c r="E859" s="431"/>
      <c r="F859" s="432">
        <f>F860+F866</f>
        <v>0</v>
      </c>
      <c r="G859" s="431"/>
      <c r="H859" s="432">
        <f>H860+H866</f>
        <v>0</v>
      </c>
      <c r="I859" s="433"/>
    </row>
    <row r="860" spans="1:9" ht="12" customHeight="1" hidden="1">
      <c r="A860" s="443"/>
      <c r="B860" s="444" t="s">
        <v>300</v>
      </c>
      <c r="C860" s="327">
        <f t="shared" si="42"/>
        <v>0</v>
      </c>
      <c r="D860" s="328">
        <f t="shared" si="43"/>
        <v>0</v>
      </c>
      <c r="E860" s="263"/>
      <c r="F860" s="262">
        <f>F861+F863+F865</f>
        <v>0</v>
      </c>
      <c r="G860" s="263"/>
      <c r="H860" s="262">
        <f>H861+H865</f>
        <v>0</v>
      </c>
      <c r="I860" s="264"/>
    </row>
    <row r="861" spans="1:9" s="273" customFormat="1" ht="12.75" customHeight="1" hidden="1">
      <c r="A861" s="265"/>
      <c r="B861" s="266" t="s">
        <v>286</v>
      </c>
      <c r="C861" s="327">
        <f t="shared" si="42"/>
        <v>0</v>
      </c>
      <c r="D861" s="328">
        <f t="shared" si="43"/>
        <v>0</v>
      </c>
      <c r="E861" s="269"/>
      <c r="F861" s="287"/>
      <c r="G861" s="269"/>
      <c r="H861" s="287"/>
      <c r="I861" s="291"/>
    </row>
    <row r="862" spans="1:9" s="273" customFormat="1" ht="12.75" customHeight="1" hidden="1">
      <c r="A862" s="265"/>
      <c r="B862" s="266" t="s">
        <v>287</v>
      </c>
      <c r="C862" s="327">
        <f t="shared" si="42"/>
        <v>0</v>
      </c>
      <c r="D862" s="328">
        <f t="shared" si="43"/>
        <v>0</v>
      </c>
      <c r="E862" s="269"/>
      <c r="F862" s="287"/>
      <c r="G862" s="269"/>
      <c r="H862" s="287"/>
      <c r="I862" s="291"/>
    </row>
    <row r="863" spans="1:9" s="273" customFormat="1" ht="15" customHeight="1" hidden="1">
      <c r="A863" s="265"/>
      <c r="B863" s="286" t="s">
        <v>273</v>
      </c>
      <c r="C863" s="327">
        <f t="shared" si="42"/>
        <v>0</v>
      </c>
      <c r="D863" s="328">
        <f t="shared" si="43"/>
        <v>0</v>
      </c>
      <c r="E863" s="269"/>
      <c r="F863" s="287"/>
      <c r="G863" s="269"/>
      <c r="H863" s="287"/>
      <c r="I863" s="291"/>
    </row>
    <row r="864" spans="1:9" s="273" customFormat="1" ht="14.25" customHeight="1" hidden="1">
      <c r="A864" s="265"/>
      <c r="B864" s="286" t="s">
        <v>269</v>
      </c>
      <c r="C864" s="327">
        <f t="shared" si="42"/>
        <v>0</v>
      </c>
      <c r="D864" s="328">
        <f t="shared" si="43"/>
        <v>0</v>
      </c>
      <c r="E864" s="269"/>
      <c r="F864" s="287"/>
      <c r="G864" s="269"/>
      <c r="H864" s="287"/>
      <c r="I864" s="291"/>
    </row>
    <row r="865" spans="1:9" s="273" customFormat="1" ht="15" customHeight="1" hidden="1">
      <c r="A865" s="265"/>
      <c r="B865" s="266" t="s">
        <v>262</v>
      </c>
      <c r="C865" s="327">
        <f t="shared" si="42"/>
        <v>0</v>
      </c>
      <c r="D865" s="328">
        <f t="shared" si="43"/>
        <v>0</v>
      </c>
      <c r="E865" s="269"/>
      <c r="F865" s="287"/>
      <c r="G865" s="269"/>
      <c r="H865" s="287"/>
      <c r="I865" s="291"/>
    </row>
    <row r="866" spans="1:9" ht="22.5" customHeight="1" hidden="1">
      <c r="A866" s="257"/>
      <c r="B866" s="258" t="s">
        <v>257</v>
      </c>
      <c r="C866" s="327">
        <f t="shared" si="42"/>
        <v>0</v>
      </c>
      <c r="D866" s="328">
        <f t="shared" si="43"/>
        <v>0</v>
      </c>
      <c r="E866" s="263"/>
      <c r="F866" s="262">
        <f>SUM(F867)</f>
        <v>0</v>
      </c>
      <c r="G866" s="263"/>
      <c r="H866" s="262">
        <f>SUM(H867)</f>
        <v>0</v>
      </c>
      <c r="I866" s="264"/>
    </row>
    <row r="867" spans="1:9" s="273" customFormat="1" ht="12" customHeight="1" hidden="1">
      <c r="A867" s="265"/>
      <c r="B867" s="266" t="s">
        <v>270</v>
      </c>
      <c r="C867" s="327">
        <f t="shared" si="42"/>
        <v>0</v>
      </c>
      <c r="D867" s="328">
        <f t="shared" si="43"/>
        <v>0</v>
      </c>
      <c r="E867" s="269"/>
      <c r="F867" s="287"/>
      <c r="G867" s="269"/>
      <c r="H867" s="287"/>
      <c r="I867" s="291"/>
    </row>
    <row r="868" spans="1:9" s="273" customFormat="1" ht="12" customHeight="1">
      <c r="A868" s="396"/>
      <c r="B868" s="402" t="s">
        <v>274</v>
      </c>
      <c r="C868" s="473">
        <f t="shared" si="42"/>
        <v>357000</v>
      </c>
      <c r="D868" s="474">
        <f t="shared" si="43"/>
        <v>357000</v>
      </c>
      <c r="E868" s="384"/>
      <c r="F868" s="385"/>
      <c r="G868" s="384"/>
      <c r="H868" s="385">
        <f>H916</f>
        <v>357000</v>
      </c>
      <c r="I868" s="392"/>
    </row>
    <row r="869" spans="1:9" ht="24">
      <c r="A869" s="360">
        <v>92105</v>
      </c>
      <c r="B869" s="428" t="s">
        <v>386</v>
      </c>
      <c r="C869" s="429">
        <f>C870</f>
        <v>607200</v>
      </c>
      <c r="D869" s="430">
        <f>D870</f>
        <v>607200</v>
      </c>
      <c r="E869" s="431"/>
      <c r="F869" s="432">
        <f>F870</f>
        <v>607200</v>
      </c>
      <c r="G869" s="431"/>
      <c r="H869" s="432"/>
      <c r="I869" s="433"/>
    </row>
    <row r="870" spans="1:9" ht="12.75">
      <c r="A870" s="443"/>
      <c r="B870" s="444" t="s">
        <v>300</v>
      </c>
      <c r="C870" s="416">
        <f>SUM(C871:C874)</f>
        <v>607200</v>
      </c>
      <c r="D870" s="417">
        <f>SUM(D871:D874)</f>
        <v>607200</v>
      </c>
      <c r="E870" s="263"/>
      <c r="F870" s="262">
        <f>SUM(F871:F874)</f>
        <v>607200</v>
      </c>
      <c r="G870" s="263"/>
      <c r="H870" s="262"/>
      <c r="I870" s="264"/>
    </row>
    <row r="871" spans="1:9" ht="12.75" hidden="1">
      <c r="A871" s="257"/>
      <c r="B871" s="266" t="s">
        <v>286</v>
      </c>
      <c r="C871" s="267">
        <f>SUM(D871:E871)</f>
        <v>0</v>
      </c>
      <c r="D871" s="268">
        <f>F871+H871</f>
        <v>0</v>
      </c>
      <c r="E871" s="263"/>
      <c r="F871" s="262"/>
      <c r="G871" s="263"/>
      <c r="H871" s="262"/>
      <c r="I871" s="264"/>
    </row>
    <row r="872" spans="1:9" ht="12.75" hidden="1">
      <c r="A872" s="257"/>
      <c r="B872" s="266" t="s">
        <v>287</v>
      </c>
      <c r="C872" s="267"/>
      <c r="D872" s="268"/>
      <c r="E872" s="263"/>
      <c r="F872" s="262"/>
      <c r="G872" s="263"/>
      <c r="H872" s="262"/>
      <c r="I872" s="264"/>
    </row>
    <row r="873" spans="1:9" s="273" customFormat="1" ht="12">
      <c r="A873" s="265"/>
      <c r="B873" s="286" t="s">
        <v>273</v>
      </c>
      <c r="C873" s="267">
        <f>SUM(D873:E873)</f>
        <v>425600</v>
      </c>
      <c r="D873" s="268">
        <f>F873+H873</f>
        <v>425600</v>
      </c>
      <c r="E873" s="269"/>
      <c r="F873" s="287">
        <v>425600</v>
      </c>
      <c r="G873" s="269"/>
      <c r="H873" s="287"/>
      <c r="I873" s="291"/>
    </row>
    <row r="874" spans="1:9" s="273" customFormat="1" ht="12">
      <c r="A874" s="265"/>
      <c r="B874" s="266" t="s">
        <v>262</v>
      </c>
      <c r="C874" s="267">
        <f>SUM(D874:E874)</f>
        <v>181600</v>
      </c>
      <c r="D874" s="268">
        <f>F874+H874</f>
        <v>181600</v>
      </c>
      <c r="E874" s="269"/>
      <c r="F874" s="287">
        <v>181600</v>
      </c>
      <c r="G874" s="269"/>
      <c r="H874" s="287"/>
      <c r="I874" s="291"/>
    </row>
    <row r="875" spans="1:9" ht="15.75" customHeight="1">
      <c r="A875" s="312">
        <v>92106</v>
      </c>
      <c r="B875" s="642" t="s">
        <v>387</v>
      </c>
      <c r="C875" s="288">
        <f>C876+C879</f>
        <v>4248000</v>
      </c>
      <c r="D875" s="191">
        <f>D876+D879</f>
        <v>4180000</v>
      </c>
      <c r="E875" s="289">
        <f>E876+E879</f>
        <v>68000</v>
      </c>
      <c r="F875" s="475"/>
      <c r="G875" s="476"/>
      <c r="H875" s="290">
        <f>H876+H879</f>
        <v>4180000</v>
      </c>
      <c r="I875" s="193">
        <f>I876+I879</f>
        <v>68000</v>
      </c>
    </row>
    <row r="876" spans="1:9" ht="12.75">
      <c r="A876" s="443"/>
      <c r="B876" s="506" t="s">
        <v>300</v>
      </c>
      <c r="C876" s="411">
        <f>C877</f>
        <v>3091000</v>
      </c>
      <c r="D876" s="445">
        <f>D877</f>
        <v>3091000</v>
      </c>
      <c r="E876" s="446"/>
      <c r="F876" s="447"/>
      <c r="G876" s="456"/>
      <c r="H876" s="507">
        <f>H877</f>
        <v>3091000</v>
      </c>
      <c r="I876" s="178"/>
    </row>
    <row r="877" spans="1:9" s="273" customFormat="1" ht="9.75" customHeight="1">
      <c r="A877" s="265"/>
      <c r="B877" s="266" t="s">
        <v>273</v>
      </c>
      <c r="C877" s="267">
        <f>SUM(D877:E877)</f>
        <v>3091000</v>
      </c>
      <c r="D877" s="268">
        <f>F877+H877</f>
        <v>3091000</v>
      </c>
      <c r="E877" s="269"/>
      <c r="F877" s="287"/>
      <c r="G877" s="269"/>
      <c r="H877" s="287">
        <v>3091000</v>
      </c>
      <c r="I877" s="291"/>
    </row>
    <row r="878" spans="1:9" s="273" customFormat="1" ht="12" hidden="1">
      <c r="A878" s="265"/>
      <c r="B878" s="286" t="s">
        <v>269</v>
      </c>
      <c r="C878" s="267"/>
      <c r="D878" s="268"/>
      <c r="E878" s="269"/>
      <c r="F878" s="287"/>
      <c r="G878" s="269"/>
      <c r="H878" s="287"/>
      <c r="I878" s="291"/>
    </row>
    <row r="879" spans="1:9" s="273" customFormat="1" ht="12.75">
      <c r="A879" s="257"/>
      <c r="B879" s="258" t="s">
        <v>257</v>
      </c>
      <c r="C879" s="416">
        <f>SUM(C880:C882)</f>
        <v>1157000</v>
      </c>
      <c r="D879" s="417">
        <f>SUM(D880:D882)</f>
        <v>1089000</v>
      </c>
      <c r="E879" s="263">
        <f>E882</f>
        <v>68000</v>
      </c>
      <c r="F879" s="262"/>
      <c r="G879" s="263"/>
      <c r="H879" s="262">
        <f>SUM(H880:H882)</f>
        <v>1089000</v>
      </c>
      <c r="I879" s="2176">
        <f>SUM(I880:I882)</f>
        <v>68000</v>
      </c>
    </row>
    <row r="880" spans="1:9" s="273" customFormat="1" ht="10.5" customHeight="1">
      <c r="A880" s="265"/>
      <c r="B880" s="266" t="s">
        <v>270</v>
      </c>
      <c r="C880" s="267">
        <f>SUM(D880:E880)</f>
        <v>1049000</v>
      </c>
      <c r="D880" s="268">
        <f>F880+H880</f>
        <v>1049000</v>
      </c>
      <c r="E880" s="269"/>
      <c r="F880" s="287"/>
      <c r="G880" s="269"/>
      <c r="H880" s="287">
        <v>1049000</v>
      </c>
      <c r="I880" s="291"/>
    </row>
    <row r="881" spans="1:9" s="273" customFormat="1" ht="13.5" customHeight="1" hidden="1">
      <c r="A881" s="265"/>
      <c r="B881" s="343" t="s">
        <v>274</v>
      </c>
      <c r="C881" s="267">
        <f>SUM(D881:E881)</f>
        <v>0</v>
      </c>
      <c r="D881" s="268">
        <f>F881+H881</f>
        <v>0</v>
      </c>
      <c r="E881" s="269"/>
      <c r="F881" s="287"/>
      <c r="G881" s="269"/>
      <c r="H881" s="287">
        <v>0</v>
      </c>
      <c r="I881" s="392"/>
    </row>
    <row r="882" spans="1:9" s="273" customFormat="1" ht="13.5" customHeight="1">
      <c r="A882" s="265"/>
      <c r="B882" s="286" t="s">
        <v>258</v>
      </c>
      <c r="C882" s="267">
        <f>SUM(D882:E882)</f>
        <v>108000</v>
      </c>
      <c r="D882" s="268">
        <f>F882+H882</f>
        <v>40000</v>
      </c>
      <c r="E882" s="261">
        <f>G882+I882</f>
        <v>68000</v>
      </c>
      <c r="F882" s="287"/>
      <c r="G882" s="269"/>
      <c r="H882" s="287">
        <v>40000</v>
      </c>
      <c r="I882" s="291">
        <v>68000</v>
      </c>
    </row>
    <row r="883" spans="1:9" s="273" customFormat="1" ht="11.25" customHeight="1">
      <c r="A883" s="396"/>
      <c r="B883" s="343" t="s">
        <v>274</v>
      </c>
      <c r="C883" s="267">
        <f>SUM(D883:E883)</f>
        <v>108000</v>
      </c>
      <c r="D883" s="268">
        <f>F883+H883</f>
        <v>40000</v>
      </c>
      <c r="E883" s="261">
        <f>G883+I883</f>
        <v>68000</v>
      </c>
      <c r="F883" s="385"/>
      <c r="G883" s="384"/>
      <c r="H883" s="385">
        <v>40000</v>
      </c>
      <c r="I883" s="392">
        <v>68000</v>
      </c>
    </row>
    <row r="884" spans="1:9" ht="27" customHeight="1">
      <c r="A884" s="312">
        <v>92108</v>
      </c>
      <c r="B884" s="434" t="s">
        <v>388</v>
      </c>
      <c r="C884" s="288">
        <f>C885+C889</f>
        <v>4137000</v>
      </c>
      <c r="D884" s="191">
        <f>SUM(D885:D885)+D889</f>
        <v>4132000</v>
      </c>
      <c r="E884" s="289">
        <f>E885</f>
        <v>5000</v>
      </c>
      <c r="F884" s="475"/>
      <c r="G884" s="289">
        <f>G885</f>
        <v>5000</v>
      </c>
      <c r="H884" s="290">
        <f>SUM(H888+H889)</f>
        <v>4132000</v>
      </c>
      <c r="I884" s="193"/>
    </row>
    <row r="885" spans="1:9" ht="12.75">
      <c r="A885" s="257"/>
      <c r="B885" s="258" t="s">
        <v>300</v>
      </c>
      <c r="C885" s="259">
        <f>C888+C886</f>
        <v>3327000</v>
      </c>
      <c r="D885" s="260">
        <f>D888</f>
        <v>3322000</v>
      </c>
      <c r="E885" s="261">
        <f>E886</f>
        <v>5000</v>
      </c>
      <c r="F885" s="262"/>
      <c r="G885" s="263">
        <f>SUM(G886)</f>
        <v>5000</v>
      </c>
      <c r="H885" s="283">
        <f>SUM(H888)</f>
        <v>3322000</v>
      </c>
      <c r="I885" s="284"/>
    </row>
    <row r="886" spans="1:9" ht="12.75" customHeight="1">
      <c r="A886" s="257"/>
      <c r="B886" s="522" t="s">
        <v>262</v>
      </c>
      <c r="C886" s="267">
        <f>SUM(D886:E886)</f>
        <v>5000</v>
      </c>
      <c r="D886" s="260"/>
      <c r="E886" s="261">
        <f>G886+I886</f>
        <v>5000</v>
      </c>
      <c r="F886" s="262"/>
      <c r="G886" s="271">
        <v>5000</v>
      </c>
      <c r="H886" s="283"/>
      <c r="I886" s="284"/>
    </row>
    <row r="887" spans="1:9" ht="12.75" customHeight="1">
      <c r="A887" s="257"/>
      <c r="B887" s="460" t="s">
        <v>299</v>
      </c>
      <c r="C887" s="344">
        <f>SUM(D887:E887)</f>
        <v>5000</v>
      </c>
      <c r="D887" s="631"/>
      <c r="E887" s="348">
        <f>G887+I887</f>
        <v>5000</v>
      </c>
      <c r="F887" s="349"/>
      <c r="G887" s="346">
        <v>5000</v>
      </c>
      <c r="H887" s="283"/>
      <c r="I887" s="284"/>
    </row>
    <row r="888" spans="1:9" s="273" customFormat="1" ht="14.25" customHeight="1">
      <c r="A888" s="265"/>
      <c r="B888" s="266" t="s">
        <v>273</v>
      </c>
      <c r="C888" s="267">
        <f>SUM(D888:E888)</f>
        <v>3322000</v>
      </c>
      <c r="D888" s="268">
        <f>F888+H888</f>
        <v>3322000</v>
      </c>
      <c r="E888" s="269"/>
      <c r="F888" s="287"/>
      <c r="G888" s="269"/>
      <c r="H888" s="287">
        <v>3322000</v>
      </c>
      <c r="I888" s="291"/>
    </row>
    <row r="889" spans="1:9" s="273" customFormat="1" ht="12.75">
      <c r="A889" s="257"/>
      <c r="B889" s="258" t="s">
        <v>257</v>
      </c>
      <c r="C889" s="416">
        <f>C890+C892</f>
        <v>810000</v>
      </c>
      <c r="D889" s="417">
        <f>D890+D892</f>
        <v>810000</v>
      </c>
      <c r="E889" s="263"/>
      <c r="F889" s="262"/>
      <c r="G889" s="263"/>
      <c r="H889" s="262">
        <f>H890+H892</f>
        <v>810000</v>
      </c>
      <c r="I889" s="264"/>
    </row>
    <row r="890" spans="1:9" s="273" customFormat="1" ht="12.75" customHeight="1">
      <c r="A890" s="265"/>
      <c r="B890" s="266" t="s">
        <v>258</v>
      </c>
      <c r="C890" s="267">
        <f>SUM(D890:E890)</f>
        <v>80000</v>
      </c>
      <c r="D890" s="268">
        <f>F890+H890</f>
        <v>80000</v>
      </c>
      <c r="E890" s="269"/>
      <c r="F890" s="287"/>
      <c r="G890" s="269"/>
      <c r="H890" s="287">
        <v>80000</v>
      </c>
      <c r="I890" s="291"/>
    </row>
    <row r="891" spans="1:9" s="635" customFormat="1" ht="13.5" customHeight="1">
      <c r="A891" s="438"/>
      <c r="B891" s="643" t="s">
        <v>274</v>
      </c>
      <c r="C891" s="630">
        <f>D891+E891</f>
        <v>80000</v>
      </c>
      <c r="D891" s="631">
        <f>F891+H891</f>
        <v>80000</v>
      </c>
      <c r="E891" s="348"/>
      <c r="F891" s="632"/>
      <c r="G891" s="633"/>
      <c r="H891" s="632">
        <v>80000</v>
      </c>
      <c r="I891" s="634"/>
    </row>
    <row r="892" spans="1:9" s="281" customFormat="1" ht="13.5" customHeight="1">
      <c r="A892" s="265"/>
      <c r="B892" s="266" t="s">
        <v>270</v>
      </c>
      <c r="C892" s="267">
        <f>SUM(D892:E892)</f>
        <v>730000</v>
      </c>
      <c r="D892" s="268">
        <f>F892+H892</f>
        <v>730000</v>
      </c>
      <c r="E892" s="269"/>
      <c r="F892" s="287"/>
      <c r="G892" s="269"/>
      <c r="H892" s="287">
        <v>730000</v>
      </c>
      <c r="I892" s="291"/>
    </row>
    <row r="893" spans="1:9" ht="24" customHeight="1">
      <c r="A893" s="312">
        <v>92109</v>
      </c>
      <c r="B893" s="434" t="s">
        <v>385</v>
      </c>
      <c r="C893" s="288">
        <f>C894+C900</f>
        <v>3614000</v>
      </c>
      <c r="D893" s="191">
        <f>D894+D900</f>
        <v>3614000</v>
      </c>
      <c r="E893" s="289"/>
      <c r="F893" s="290">
        <f>F894+F900</f>
        <v>3614000</v>
      </c>
      <c r="G893" s="289"/>
      <c r="H893" s="290"/>
      <c r="I893" s="193"/>
    </row>
    <row r="894" spans="1:9" ht="14.25" customHeight="1">
      <c r="A894" s="443"/>
      <c r="B894" s="444" t="s">
        <v>300</v>
      </c>
      <c r="C894" s="628">
        <f>C895+C897+C899</f>
        <v>3614000</v>
      </c>
      <c r="D894" s="417">
        <f>D895+D897+D899</f>
        <v>3614000</v>
      </c>
      <c r="E894" s="263"/>
      <c r="F894" s="262">
        <f>F895+F897+F899</f>
        <v>3614000</v>
      </c>
      <c r="G894" s="263"/>
      <c r="H894" s="262"/>
      <c r="I894" s="264"/>
    </row>
    <row r="895" spans="1:9" s="273" customFormat="1" ht="12" hidden="1">
      <c r="A895" s="265"/>
      <c r="B895" s="266" t="s">
        <v>286</v>
      </c>
      <c r="C895" s="267">
        <f>SUM(D895:E895)</f>
        <v>0</v>
      </c>
      <c r="D895" s="268">
        <f>F895+H895</f>
        <v>0</v>
      </c>
      <c r="E895" s="269"/>
      <c r="F895" s="287"/>
      <c r="G895" s="269"/>
      <c r="H895" s="287"/>
      <c r="I895" s="291"/>
    </row>
    <row r="896" spans="1:9" s="273" customFormat="1" ht="12" hidden="1">
      <c r="A896" s="265"/>
      <c r="B896" s="266" t="s">
        <v>287</v>
      </c>
      <c r="C896" s="267"/>
      <c r="D896" s="268"/>
      <c r="E896" s="269"/>
      <c r="F896" s="287"/>
      <c r="G896" s="269"/>
      <c r="H896" s="287"/>
      <c r="I896" s="291"/>
    </row>
    <row r="897" spans="1:9" s="273" customFormat="1" ht="15" customHeight="1">
      <c r="A897" s="265"/>
      <c r="B897" s="286" t="s">
        <v>273</v>
      </c>
      <c r="C897" s="267">
        <f>SUM(D897:E897)</f>
        <v>3614000</v>
      </c>
      <c r="D897" s="268">
        <f>F897+H897</f>
        <v>3614000</v>
      </c>
      <c r="E897" s="269"/>
      <c r="F897" s="287">
        <v>3614000</v>
      </c>
      <c r="G897" s="269"/>
      <c r="H897" s="287"/>
      <c r="I897" s="291"/>
    </row>
    <row r="898" spans="1:9" s="273" customFormat="1" ht="12.75" customHeight="1" hidden="1">
      <c r="A898" s="265"/>
      <c r="B898" s="286" t="s">
        <v>269</v>
      </c>
      <c r="C898" s="267"/>
      <c r="D898" s="268"/>
      <c r="E898" s="269"/>
      <c r="F898" s="287"/>
      <c r="G898" s="269"/>
      <c r="H898" s="287"/>
      <c r="I898" s="291"/>
    </row>
    <row r="899" spans="1:9" s="273" customFormat="1" ht="12" hidden="1">
      <c r="A899" s="265"/>
      <c r="B899" s="266" t="s">
        <v>262</v>
      </c>
      <c r="C899" s="267">
        <f>SUM(D899:E899)</f>
        <v>0</v>
      </c>
      <c r="D899" s="268">
        <f>F899+H899</f>
        <v>0</v>
      </c>
      <c r="E899" s="269"/>
      <c r="F899" s="287"/>
      <c r="G899" s="269"/>
      <c r="H899" s="287"/>
      <c r="I899" s="291"/>
    </row>
    <row r="900" spans="1:9" ht="12.75" customHeight="1" hidden="1">
      <c r="A900" s="257"/>
      <c r="B900" s="577" t="s">
        <v>257</v>
      </c>
      <c r="C900" s="416">
        <f>C901+C903</f>
        <v>0</v>
      </c>
      <c r="D900" s="417">
        <f>D901+D903</f>
        <v>0</v>
      </c>
      <c r="E900" s="263"/>
      <c r="F900" s="262">
        <f>F901+F903</f>
        <v>0</v>
      </c>
      <c r="G900" s="263"/>
      <c r="H900" s="262"/>
      <c r="I900" s="264"/>
    </row>
    <row r="901" spans="1:9" s="273" customFormat="1" ht="15" customHeight="1" hidden="1">
      <c r="A901" s="265"/>
      <c r="B901" s="266" t="s">
        <v>270</v>
      </c>
      <c r="C901" s="267">
        <f>SUM(D901:E901)</f>
        <v>0</v>
      </c>
      <c r="D901" s="268">
        <f>F901+H901</f>
        <v>0</v>
      </c>
      <c r="E901" s="269"/>
      <c r="F901" s="287"/>
      <c r="G901" s="269"/>
      <c r="H901" s="287"/>
      <c r="I901" s="291"/>
    </row>
    <row r="902" spans="1:9" s="462" customFormat="1" ht="13.5" customHeight="1" hidden="1">
      <c r="A902" s="459"/>
      <c r="B902" s="343" t="s">
        <v>274</v>
      </c>
      <c r="C902" s="630">
        <f>SUM(D902:E902)</f>
        <v>0</v>
      </c>
      <c r="D902" s="631">
        <f>F902+H902</f>
        <v>0</v>
      </c>
      <c r="E902" s="348"/>
      <c r="F902" s="349"/>
      <c r="G902" s="346"/>
      <c r="H902" s="347"/>
      <c r="I902" s="461"/>
    </row>
    <row r="903" spans="1:9" s="273" customFormat="1" ht="12" hidden="1">
      <c r="A903" s="265"/>
      <c r="B903" s="266" t="s">
        <v>258</v>
      </c>
      <c r="C903" s="267">
        <f>F903+G903</f>
        <v>0</v>
      </c>
      <c r="D903" s="268">
        <f>F903+H903</f>
        <v>0</v>
      </c>
      <c r="E903" s="269"/>
      <c r="F903" s="287">
        <v>0</v>
      </c>
      <c r="G903" s="269"/>
      <c r="H903" s="287"/>
      <c r="I903" s="291"/>
    </row>
    <row r="904" spans="1:9" ht="15" customHeight="1">
      <c r="A904" s="312">
        <v>92116</v>
      </c>
      <c r="B904" s="434" t="s">
        <v>389</v>
      </c>
      <c r="C904" s="288">
        <f>C905+C908</f>
        <v>4043100</v>
      </c>
      <c r="D904" s="191">
        <f>D905+D908</f>
        <v>4043100</v>
      </c>
      <c r="E904" s="289"/>
      <c r="F904" s="290">
        <f>F905+F908</f>
        <v>1368000</v>
      </c>
      <c r="G904" s="289"/>
      <c r="H904" s="290">
        <f>H905+H908</f>
        <v>2675100</v>
      </c>
      <c r="I904" s="193"/>
    </row>
    <row r="905" spans="1:9" ht="15" customHeight="1">
      <c r="A905" s="257"/>
      <c r="B905" s="258" t="s">
        <v>300</v>
      </c>
      <c r="C905" s="411">
        <f>C906</f>
        <v>4043100</v>
      </c>
      <c r="D905" s="260">
        <f>D906</f>
        <v>4043100</v>
      </c>
      <c r="E905" s="261"/>
      <c r="F905" s="283">
        <f>SUM(F906)</f>
        <v>1368000</v>
      </c>
      <c r="G905" s="261"/>
      <c r="H905" s="283">
        <f>SUM(H906)</f>
        <v>2675100</v>
      </c>
      <c r="I905" s="284"/>
    </row>
    <row r="906" spans="1:9" s="273" customFormat="1" ht="15.75" customHeight="1">
      <c r="A906" s="265"/>
      <c r="B906" s="266" t="s">
        <v>273</v>
      </c>
      <c r="C906" s="267">
        <f>SUM(D906:E906)</f>
        <v>4043100</v>
      </c>
      <c r="D906" s="268">
        <f>F906+H906</f>
        <v>4043100</v>
      </c>
      <c r="E906" s="269"/>
      <c r="F906" s="287">
        <v>1368000</v>
      </c>
      <c r="G906" s="269"/>
      <c r="H906" s="287">
        <v>2675100</v>
      </c>
      <c r="I906" s="291"/>
    </row>
    <row r="907" spans="1:9" s="273" customFormat="1" ht="4.5" customHeight="1" hidden="1">
      <c r="A907" s="265"/>
      <c r="B907" s="286" t="s">
        <v>269</v>
      </c>
      <c r="C907" s="267">
        <f>SUM(D907:E907)</f>
        <v>0</v>
      </c>
      <c r="D907" s="268">
        <f>F907+H907</f>
        <v>0</v>
      </c>
      <c r="E907" s="269"/>
      <c r="F907" s="287">
        <v>0</v>
      </c>
      <c r="G907" s="269"/>
      <c r="H907" s="287"/>
      <c r="I907" s="291"/>
    </row>
    <row r="908" spans="1:9" ht="12.75" hidden="1">
      <c r="A908" s="257"/>
      <c r="B908" s="258" t="s">
        <v>257</v>
      </c>
      <c r="C908" s="416">
        <f>SUM(C909)</f>
        <v>0</v>
      </c>
      <c r="D908" s="417">
        <f>SUM(D909)</f>
        <v>0</v>
      </c>
      <c r="E908" s="263"/>
      <c r="F908" s="262"/>
      <c r="G908" s="263"/>
      <c r="H908" s="262">
        <f>SUM(H909)</f>
        <v>0</v>
      </c>
      <c r="I908" s="264"/>
    </row>
    <row r="909" spans="1:9" s="273" customFormat="1" ht="12" hidden="1">
      <c r="A909" s="265"/>
      <c r="B909" s="266" t="s">
        <v>270</v>
      </c>
      <c r="C909" s="267">
        <f>SUM(D909:E909)</f>
        <v>0</v>
      </c>
      <c r="D909" s="268">
        <f>F909+H909</f>
        <v>0</v>
      </c>
      <c r="E909" s="269"/>
      <c r="F909" s="287"/>
      <c r="G909" s="269"/>
      <c r="H909" s="287">
        <v>0</v>
      </c>
      <c r="I909" s="291"/>
    </row>
    <row r="910" spans="1:9" s="281" customFormat="1" ht="15.75" customHeight="1">
      <c r="A910" s="312">
        <v>92118</v>
      </c>
      <c r="B910" s="434" t="s">
        <v>390</v>
      </c>
      <c r="C910" s="288">
        <f>C911+C914</f>
        <v>2283300</v>
      </c>
      <c r="D910" s="191">
        <f>D911+D914</f>
        <v>2283300</v>
      </c>
      <c r="E910" s="289"/>
      <c r="F910" s="475"/>
      <c r="G910" s="476"/>
      <c r="H910" s="512">
        <f>H911+H914</f>
        <v>2283300</v>
      </c>
      <c r="I910" s="193"/>
    </row>
    <row r="911" spans="1:9" s="281" customFormat="1" ht="12.75">
      <c r="A911" s="332"/>
      <c r="B911" s="258" t="s">
        <v>300</v>
      </c>
      <c r="C911" s="259">
        <f>C912</f>
        <v>1926300</v>
      </c>
      <c r="D911" s="260">
        <f>D912</f>
        <v>1926300</v>
      </c>
      <c r="E911" s="261"/>
      <c r="F911" s="262"/>
      <c r="G911" s="263"/>
      <c r="H911" s="335">
        <f>H912</f>
        <v>1926300</v>
      </c>
      <c r="I911" s="284"/>
    </row>
    <row r="912" spans="1:9" s="281" customFormat="1" ht="13.5" customHeight="1">
      <c r="A912" s="257"/>
      <c r="B912" s="266" t="s">
        <v>391</v>
      </c>
      <c r="C912" s="267">
        <f>SUM(D912:E912)</f>
        <v>1926300</v>
      </c>
      <c r="D912" s="268">
        <f>F912+H912</f>
        <v>1926300</v>
      </c>
      <c r="E912" s="269"/>
      <c r="F912" s="287"/>
      <c r="G912" s="269"/>
      <c r="H912" s="287">
        <v>1926300</v>
      </c>
      <c r="I912" s="291"/>
    </row>
    <row r="913" spans="1:9" s="281" customFormat="1" ht="12" hidden="1">
      <c r="A913" s="257"/>
      <c r="B913" s="266" t="s">
        <v>289</v>
      </c>
      <c r="C913" s="267">
        <f>SUM(D913:E913)</f>
        <v>0</v>
      </c>
      <c r="D913" s="268">
        <f>F913+H913</f>
        <v>0</v>
      </c>
      <c r="E913" s="269"/>
      <c r="F913" s="287"/>
      <c r="G913" s="269"/>
      <c r="H913" s="287"/>
      <c r="I913" s="291"/>
    </row>
    <row r="914" spans="1:9" s="281" customFormat="1" ht="12.75">
      <c r="A914" s="257"/>
      <c r="B914" s="258" t="s">
        <v>257</v>
      </c>
      <c r="C914" s="416">
        <f>SUM(C915)</f>
        <v>357000</v>
      </c>
      <c r="D914" s="417">
        <f>SUM(D915)</f>
        <v>357000</v>
      </c>
      <c r="E914" s="263"/>
      <c r="F914" s="262"/>
      <c r="G914" s="263"/>
      <c r="H914" s="262">
        <f>SUM(H915)</f>
        <v>357000</v>
      </c>
      <c r="I914" s="264"/>
    </row>
    <row r="915" spans="1:9" s="281" customFormat="1" ht="13.5" customHeight="1">
      <c r="A915" s="265"/>
      <c r="B915" s="266" t="s">
        <v>270</v>
      </c>
      <c r="C915" s="267">
        <f>SUM(D915:E915)</f>
        <v>357000</v>
      </c>
      <c r="D915" s="268">
        <f>F915+H915</f>
        <v>357000</v>
      </c>
      <c r="E915" s="269"/>
      <c r="F915" s="287"/>
      <c r="G915" s="269"/>
      <c r="H915" s="287">
        <v>357000</v>
      </c>
      <c r="I915" s="291"/>
    </row>
    <row r="916" spans="1:9" s="635" customFormat="1" ht="16.5" customHeight="1">
      <c r="A916" s="459"/>
      <c r="B916" s="343" t="s">
        <v>274</v>
      </c>
      <c r="C916" s="630">
        <f>SUM(D916:E916)</f>
        <v>357000</v>
      </c>
      <c r="D916" s="631">
        <f>F916+H916</f>
        <v>357000</v>
      </c>
      <c r="E916" s="348"/>
      <c r="F916" s="347"/>
      <c r="G916" s="346"/>
      <c r="H916" s="349">
        <v>357000</v>
      </c>
      <c r="I916" s="461"/>
    </row>
    <row r="917" spans="1:9" ht="24.75" customHeight="1">
      <c r="A917" s="312">
        <v>92120</v>
      </c>
      <c r="B917" s="434" t="s">
        <v>392</v>
      </c>
      <c r="C917" s="288">
        <f>C918+C924</f>
        <v>792603</v>
      </c>
      <c r="D917" s="191">
        <f>D918+D924</f>
        <v>792603</v>
      </c>
      <c r="E917" s="289"/>
      <c r="F917" s="290">
        <f>F918+F924</f>
        <v>792603</v>
      </c>
      <c r="G917" s="289"/>
      <c r="H917" s="290"/>
      <c r="I917" s="193"/>
    </row>
    <row r="918" spans="1:9" ht="16.5" customHeight="1">
      <c r="A918" s="332"/>
      <c r="B918" s="258" t="s">
        <v>300</v>
      </c>
      <c r="C918" s="259">
        <f>SUM(C919:C922)</f>
        <v>792603</v>
      </c>
      <c r="D918" s="260">
        <f>SUM(D919:D922)</f>
        <v>792603</v>
      </c>
      <c r="E918" s="261"/>
      <c r="F918" s="283">
        <f>SUM(F919:F922)</f>
        <v>792603</v>
      </c>
      <c r="G918" s="261"/>
      <c r="H918" s="283"/>
      <c r="I918" s="284"/>
    </row>
    <row r="919" spans="1:9" s="415" customFormat="1" ht="13.5" customHeight="1">
      <c r="A919" s="265"/>
      <c r="B919" s="266" t="s">
        <v>286</v>
      </c>
      <c r="C919" s="267">
        <f>SUM(D919:E919)</f>
        <v>5890</v>
      </c>
      <c r="D919" s="268">
        <f>F919+H919</f>
        <v>5890</v>
      </c>
      <c r="E919" s="269"/>
      <c r="F919" s="287">
        <v>5890</v>
      </c>
      <c r="G919" s="269"/>
      <c r="H919" s="287"/>
      <c r="I919" s="291"/>
    </row>
    <row r="920" spans="1:9" s="415" customFormat="1" ht="12">
      <c r="A920" s="265"/>
      <c r="B920" s="266" t="s">
        <v>287</v>
      </c>
      <c r="C920" s="267"/>
      <c r="D920" s="268"/>
      <c r="E920" s="269"/>
      <c r="F920" s="287"/>
      <c r="G920" s="269"/>
      <c r="H920" s="287"/>
      <c r="I920" s="291"/>
    </row>
    <row r="921" spans="1:9" s="415" customFormat="1" ht="12">
      <c r="A921" s="265"/>
      <c r="B921" s="266" t="s">
        <v>391</v>
      </c>
      <c r="C921" s="267">
        <f>SUM(D921:E921)</f>
        <v>468603</v>
      </c>
      <c r="D921" s="268">
        <f>F921+H921</f>
        <v>468603</v>
      </c>
      <c r="E921" s="269"/>
      <c r="F921" s="287">
        <v>468603</v>
      </c>
      <c r="G921" s="269"/>
      <c r="H921" s="287"/>
      <c r="I921" s="291"/>
    </row>
    <row r="922" spans="1:9" s="281" customFormat="1" ht="12.75" customHeight="1">
      <c r="A922" s="257"/>
      <c r="B922" s="522" t="s">
        <v>262</v>
      </c>
      <c r="C922" s="267">
        <f>SUM(D922:E922)</f>
        <v>318110</v>
      </c>
      <c r="D922" s="268">
        <f>F922+H922</f>
        <v>318110</v>
      </c>
      <c r="E922" s="269"/>
      <c r="F922" s="287">
        <v>318110</v>
      </c>
      <c r="G922" s="269"/>
      <c r="H922" s="287"/>
      <c r="I922" s="291"/>
    </row>
    <row r="923" spans="1:9" s="281" customFormat="1" ht="14.25" customHeight="1">
      <c r="A923" s="257"/>
      <c r="B923" s="522" t="s">
        <v>289</v>
      </c>
      <c r="C923" s="267">
        <f>SUM(D923:E923)</f>
        <v>300000</v>
      </c>
      <c r="D923" s="268">
        <f>F923+H923</f>
        <v>300000</v>
      </c>
      <c r="E923" s="269"/>
      <c r="F923" s="287">
        <v>300000</v>
      </c>
      <c r="G923" s="269"/>
      <c r="H923" s="287"/>
      <c r="I923" s="291"/>
    </row>
    <row r="924" spans="1:9" s="281" customFormat="1" ht="10.5" customHeight="1" hidden="1">
      <c r="A924" s="257"/>
      <c r="B924" s="258" t="s">
        <v>257</v>
      </c>
      <c r="C924" s="416">
        <f>SUM(C925)</f>
        <v>0</v>
      </c>
      <c r="D924" s="417">
        <f>SUM(D925)</f>
        <v>0</v>
      </c>
      <c r="E924" s="263"/>
      <c r="F924" s="262">
        <f>F925</f>
        <v>0</v>
      </c>
      <c r="G924" s="263"/>
      <c r="H924" s="262"/>
      <c r="I924" s="264"/>
    </row>
    <row r="925" spans="1:9" s="281" customFormat="1" ht="9.75" customHeight="1" hidden="1">
      <c r="A925" s="396"/>
      <c r="B925" s="315" t="s">
        <v>258</v>
      </c>
      <c r="C925" s="382">
        <f>SUM(D925:E925)</f>
        <v>0</v>
      </c>
      <c r="D925" s="383">
        <f>F925+H925</f>
        <v>0</v>
      </c>
      <c r="E925" s="384"/>
      <c r="F925" s="385"/>
      <c r="G925" s="384"/>
      <c r="H925" s="385"/>
      <c r="I925" s="392"/>
    </row>
    <row r="926" spans="1:9" ht="18" customHeight="1">
      <c r="A926" s="312">
        <v>92195</v>
      </c>
      <c r="B926" s="434" t="s">
        <v>268</v>
      </c>
      <c r="C926" s="288">
        <f>C927</f>
        <v>1134638</v>
      </c>
      <c r="D926" s="191">
        <f>D927</f>
        <v>1134638</v>
      </c>
      <c r="E926" s="289"/>
      <c r="F926" s="290">
        <f>F927</f>
        <v>1134638</v>
      </c>
      <c r="G926" s="289"/>
      <c r="H926" s="290"/>
      <c r="I926" s="193"/>
    </row>
    <row r="927" spans="1:9" ht="15.75" customHeight="1">
      <c r="A927" s="332"/>
      <c r="B927" s="258" t="s">
        <v>300</v>
      </c>
      <c r="C927" s="259">
        <f>SUM(C928:C931)</f>
        <v>1134638</v>
      </c>
      <c r="D927" s="260">
        <f>SUM(D928:D931)</f>
        <v>1134638</v>
      </c>
      <c r="E927" s="261"/>
      <c r="F927" s="283">
        <f>SUM(F928:F931)</f>
        <v>1134638</v>
      </c>
      <c r="G927" s="261"/>
      <c r="H927" s="283"/>
      <c r="I927" s="284"/>
    </row>
    <row r="928" spans="1:9" ht="12">
      <c r="A928" s="332"/>
      <c r="B928" s="266" t="s">
        <v>286</v>
      </c>
      <c r="C928" s="267">
        <f>SUM(D928:E928)</f>
        <v>84432</v>
      </c>
      <c r="D928" s="268">
        <f>F928+H928</f>
        <v>84432</v>
      </c>
      <c r="E928" s="261"/>
      <c r="F928" s="283">
        <v>84432</v>
      </c>
      <c r="G928" s="261"/>
      <c r="H928" s="283"/>
      <c r="I928" s="284"/>
    </row>
    <row r="929" spans="1:9" ht="12">
      <c r="A929" s="332"/>
      <c r="B929" s="266" t="s">
        <v>287</v>
      </c>
      <c r="C929" s="267"/>
      <c r="D929" s="268"/>
      <c r="E929" s="261"/>
      <c r="F929" s="283"/>
      <c r="G929" s="261"/>
      <c r="H929" s="283"/>
      <c r="I929" s="284"/>
    </row>
    <row r="930" spans="1:9" s="273" customFormat="1" ht="12.75" customHeight="1">
      <c r="A930" s="265"/>
      <c r="B930" s="266" t="s">
        <v>391</v>
      </c>
      <c r="C930" s="267">
        <f>SUM(D930:E930)</f>
        <v>316000</v>
      </c>
      <c r="D930" s="268">
        <f>F930+H930</f>
        <v>316000</v>
      </c>
      <c r="E930" s="269"/>
      <c r="F930" s="287">
        <v>316000</v>
      </c>
      <c r="G930" s="269"/>
      <c r="H930" s="287"/>
      <c r="I930" s="291"/>
    </row>
    <row r="931" spans="1:9" s="281" customFormat="1" ht="15.75" customHeight="1" thickBot="1">
      <c r="A931" s="381"/>
      <c r="B931" s="587" t="s">
        <v>262</v>
      </c>
      <c r="C931" s="382">
        <f>SUM(D931:E931)</f>
        <v>734206</v>
      </c>
      <c r="D931" s="383">
        <f>F931+H931</f>
        <v>734206</v>
      </c>
      <c r="E931" s="384"/>
      <c r="F931" s="385">
        <v>734206</v>
      </c>
      <c r="G931" s="398"/>
      <c r="H931" s="399"/>
      <c r="I931" s="400"/>
    </row>
    <row r="932" spans="1:9" s="281" customFormat="1" ht="13.5" customHeight="1" hidden="1" thickBot="1">
      <c r="A932" s="494">
        <v>925</v>
      </c>
      <c r="B932" s="2333" t="s">
        <v>393</v>
      </c>
      <c r="C932" s="495">
        <f>C933</f>
        <v>0</v>
      </c>
      <c r="D932" s="496"/>
      <c r="E932" s="497">
        <f>E933</f>
        <v>0</v>
      </c>
      <c r="F932" s="499"/>
      <c r="G932" s="497"/>
      <c r="H932" s="499"/>
      <c r="I932" s="500"/>
    </row>
    <row r="933" spans="1:9" ht="13.5" customHeight="1" hidden="1" thickTop="1">
      <c r="A933" s="360">
        <v>92595</v>
      </c>
      <c r="B933" s="428" t="s">
        <v>268</v>
      </c>
      <c r="C933" s="429">
        <f>C934</f>
        <v>0</v>
      </c>
      <c r="D933" s="430"/>
      <c r="E933" s="431">
        <f>E934</f>
        <v>0</v>
      </c>
      <c r="F933" s="432"/>
      <c r="G933" s="431"/>
      <c r="H933" s="432"/>
      <c r="I933" s="433"/>
    </row>
    <row r="934" spans="1:9" ht="13.5" customHeight="1" hidden="1">
      <c r="A934" s="332"/>
      <c r="B934" s="258" t="s">
        <v>300</v>
      </c>
      <c r="C934" s="259">
        <f>C935</f>
        <v>0</v>
      </c>
      <c r="D934" s="260"/>
      <c r="E934" s="261">
        <f>E935</f>
        <v>0</v>
      </c>
      <c r="F934" s="283"/>
      <c r="G934" s="261"/>
      <c r="H934" s="283"/>
      <c r="I934" s="284"/>
    </row>
    <row r="935" spans="1:9" s="281" customFormat="1" ht="13.5" customHeight="1" hidden="1" thickBot="1">
      <c r="A935" s="257"/>
      <c r="B935" s="266" t="s">
        <v>262</v>
      </c>
      <c r="C935" s="267">
        <f>SUM(D935:E935)</f>
        <v>0</v>
      </c>
      <c r="D935" s="268"/>
      <c r="E935" s="269">
        <f>G935+I935</f>
        <v>0</v>
      </c>
      <c r="F935" s="270"/>
      <c r="G935" s="271"/>
      <c r="H935" s="270"/>
      <c r="I935" s="272"/>
    </row>
    <row r="936" spans="1:9" s="281" customFormat="1" ht="13.5" customHeight="1" hidden="1">
      <c r="A936" s="257"/>
      <c r="B936" s="266"/>
      <c r="C936" s="267"/>
      <c r="D936" s="268"/>
      <c r="E936" s="269"/>
      <c r="F936" s="270"/>
      <c r="G936" s="271"/>
      <c r="H936" s="270"/>
      <c r="I936" s="272"/>
    </row>
    <row r="937" spans="1:9" s="281" customFormat="1" ht="13.5" customHeight="1" hidden="1">
      <c r="A937" s="257"/>
      <c r="B937" s="266"/>
      <c r="C937" s="267"/>
      <c r="D937" s="268"/>
      <c r="E937" s="269"/>
      <c r="F937" s="270"/>
      <c r="G937" s="271"/>
      <c r="H937" s="270"/>
      <c r="I937" s="272"/>
    </row>
    <row r="938" spans="1:9" s="281" customFormat="1" ht="13.5" customHeight="1" hidden="1" thickBot="1">
      <c r="A938" s="257"/>
      <c r="B938" s="266"/>
      <c r="C938" s="267"/>
      <c r="D938" s="268"/>
      <c r="E938" s="269"/>
      <c r="F938" s="270"/>
      <c r="G938" s="271"/>
      <c r="H938" s="270"/>
      <c r="I938" s="272"/>
    </row>
    <row r="939" spans="1:9" s="256" customFormat="1" ht="31.5" customHeight="1" thickBot="1" thickTop="1">
      <c r="A939" s="311">
        <v>926</v>
      </c>
      <c r="B939" s="625" t="s">
        <v>174</v>
      </c>
      <c r="C939" s="252">
        <f>C950+C961+C964</f>
        <v>19975830</v>
      </c>
      <c r="D939" s="253">
        <f>D950+D961+D964</f>
        <v>19975830</v>
      </c>
      <c r="E939" s="254"/>
      <c r="F939" s="255">
        <f>F950+F961+F964</f>
        <v>19975830</v>
      </c>
      <c r="G939" s="254"/>
      <c r="H939" s="255"/>
      <c r="I939" s="200"/>
    </row>
    <row r="940" spans="1:9" s="256" customFormat="1" ht="15" customHeight="1" thickTop="1">
      <c r="A940" s="317"/>
      <c r="B940" s="567" t="s">
        <v>300</v>
      </c>
      <c r="C940" s="319">
        <f>D940+E940</f>
        <v>4465163</v>
      </c>
      <c r="D940" s="320">
        <f>F940+H940</f>
        <v>4465163</v>
      </c>
      <c r="E940" s="321"/>
      <c r="F940" s="337">
        <f>F962+F965</f>
        <v>4465163</v>
      </c>
      <c r="G940" s="321"/>
      <c r="H940" s="337"/>
      <c r="I940" s="338"/>
    </row>
    <row r="941" spans="1:9" s="273" customFormat="1" ht="12" customHeight="1">
      <c r="A941" s="608"/>
      <c r="B941" s="266" t="s">
        <v>286</v>
      </c>
      <c r="C941" s="327">
        <f>D941+E941</f>
        <v>12500</v>
      </c>
      <c r="D941" s="328">
        <f>F941+H941</f>
        <v>12500</v>
      </c>
      <c r="E941" s="271"/>
      <c r="F941" s="329">
        <f>F966</f>
        <v>12500</v>
      </c>
      <c r="G941" s="269"/>
      <c r="H941" s="287"/>
      <c r="I941" s="291"/>
    </row>
    <row r="942" spans="1:9" s="273" customFormat="1" ht="10.5" customHeight="1">
      <c r="A942" s="608"/>
      <c r="B942" s="266" t="s">
        <v>287</v>
      </c>
      <c r="C942" s="327"/>
      <c r="D942" s="328"/>
      <c r="E942" s="271"/>
      <c r="F942" s="329"/>
      <c r="G942" s="269"/>
      <c r="H942" s="287"/>
      <c r="I942" s="291"/>
    </row>
    <row r="943" spans="1:9" s="341" customFormat="1" ht="11.25" customHeight="1">
      <c r="A943" s="339"/>
      <c r="B943" s="522" t="s">
        <v>273</v>
      </c>
      <c r="C943" s="327">
        <f aca="true" t="shared" si="44" ref="C943:C948">D943</f>
        <v>4273000</v>
      </c>
      <c r="D943" s="328">
        <f aca="true" t="shared" si="45" ref="D943:D949">F943+H943</f>
        <v>4273000</v>
      </c>
      <c r="E943" s="271"/>
      <c r="F943" s="270">
        <f>F963+F968</f>
        <v>4273000</v>
      </c>
      <c r="G943" s="418"/>
      <c r="H943" s="419"/>
      <c r="I943" s="420"/>
    </row>
    <row r="944" spans="1:9" s="341" customFormat="1" ht="12" customHeight="1">
      <c r="A944" s="339"/>
      <c r="B944" s="522" t="s">
        <v>262</v>
      </c>
      <c r="C944" s="327">
        <f t="shared" si="44"/>
        <v>315663</v>
      </c>
      <c r="D944" s="328">
        <f t="shared" si="45"/>
        <v>315663</v>
      </c>
      <c r="E944" s="271"/>
      <c r="F944" s="270">
        <f>F969+F953</f>
        <v>315663</v>
      </c>
      <c r="G944" s="418"/>
      <c r="H944" s="419"/>
      <c r="I944" s="420"/>
    </row>
    <row r="945" spans="1:9" s="256" customFormat="1" ht="15" customHeight="1">
      <c r="A945" s="317"/>
      <c r="B945" s="567" t="s">
        <v>257</v>
      </c>
      <c r="C945" s="319">
        <f t="shared" si="44"/>
        <v>15374667</v>
      </c>
      <c r="D945" s="320">
        <f t="shared" si="45"/>
        <v>15374667</v>
      </c>
      <c r="E945" s="321"/>
      <c r="F945" s="337">
        <f>F955+F970</f>
        <v>15374667</v>
      </c>
      <c r="G945" s="321"/>
      <c r="H945" s="337"/>
      <c r="I945" s="338"/>
    </row>
    <row r="946" spans="1:9" s="415" customFormat="1" ht="12" customHeight="1">
      <c r="A946" s="412"/>
      <c r="B946" s="522" t="s">
        <v>270</v>
      </c>
      <c r="C946" s="327">
        <f t="shared" si="44"/>
        <v>8196667</v>
      </c>
      <c r="D946" s="328">
        <f t="shared" si="45"/>
        <v>8196667</v>
      </c>
      <c r="E946" s="271"/>
      <c r="F946" s="270">
        <f>F956</f>
        <v>8196667</v>
      </c>
      <c r="G946" s="340"/>
      <c r="H946" s="413"/>
      <c r="I946" s="414"/>
    </row>
    <row r="947" spans="1:9" s="415" customFormat="1" ht="12" customHeight="1">
      <c r="A947" s="412"/>
      <c r="B947" s="266" t="s">
        <v>258</v>
      </c>
      <c r="C947" s="327">
        <f t="shared" si="44"/>
        <v>65000</v>
      </c>
      <c r="D947" s="328">
        <f t="shared" si="45"/>
        <v>65000</v>
      </c>
      <c r="E947" s="271"/>
      <c r="F947" s="270">
        <f>F972</f>
        <v>65000</v>
      </c>
      <c r="G947" s="1830"/>
      <c r="H947" s="413"/>
      <c r="I947" s="414"/>
    </row>
    <row r="948" spans="1:9" s="415" customFormat="1" ht="12" customHeight="1">
      <c r="A948" s="412"/>
      <c r="B948" s="343" t="s">
        <v>274</v>
      </c>
      <c r="C948" s="327">
        <f t="shared" si="44"/>
        <v>65000</v>
      </c>
      <c r="D948" s="328">
        <f t="shared" si="45"/>
        <v>65000</v>
      </c>
      <c r="E948" s="271"/>
      <c r="F948" s="270">
        <f>F973</f>
        <v>65000</v>
      </c>
      <c r="G948" s="1830"/>
      <c r="H948" s="413"/>
      <c r="I948" s="414"/>
    </row>
    <row r="949" spans="1:9" s="330" customFormat="1" ht="12" customHeight="1">
      <c r="A949" s="644"/>
      <c r="B949" s="315" t="s">
        <v>275</v>
      </c>
      <c r="C949" s="473">
        <f>D949+E949</f>
        <v>7113000</v>
      </c>
      <c r="D949" s="474">
        <f t="shared" si="45"/>
        <v>7113000</v>
      </c>
      <c r="E949" s="398"/>
      <c r="F949" s="399">
        <f>F957</f>
        <v>7113000</v>
      </c>
      <c r="G949" s="383"/>
      <c r="H949" s="385"/>
      <c r="I949" s="392"/>
    </row>
    <row r="950" spans="1:9" ht="14.25" customHeight="1">
      <c r="A950" s="360">
        <v>92601</v>
      </c>
      <c r="B950" s="645" t="s">
        <v>394</v>
      </c>
      <c r="C950" s="429">
        <f>C951+C955</f>
        <v>15445667</v>
      </c>
      <c r="D950" s="430">
        <f>D951+D955</f>
        <v>15445667</v>
      </c>
      <c r="E950" s="431"/>
      <c r="F950" s="432">
        <f>F951+F955</f>
        <v>15445667</v>
      </c>
      <c r="G950" s="431"/>
      <c r="H950" s="530"/>
      <c r="I950" s="531"/>
    </row>
    <row r="951" spans="1:9" ht="12" customHeight="1">
      <c r="A951" s="646"/>
      <c r="B951" s="647" t="s">
        <v>300</v>
      </c>
      <c r="C951" s="411">
        <f>SUM(C952:C953)</f>
        <v>136000</v>
      </c>
      <c r="D951" s="445">
        <f>SUM(D952:D953)</f>
        <v>136000</v>
      </c>
      <c r="E951" s="446"/>
      <c r="F951" s="507">
        <f>SUM(F952:F953)</f>
        <v>136000</v>
      </c>
      <c r="G951" s="446"/>
      <c r="H951" s="507"/>
      <c r="I951" s="178"/>
    </row>
    <row r="952" spans="1:9" s="281" customFormat="1" ht="12.75" customHeight="1" hidden="1">
      <c r="A952" s="257"/>
      <c r="B952" s="522" t="s">
        <v>391</v>
      </c>
      <c r="C952" s="267">
        <f>SUM(D952:E952)</f>
        <v>0</v>
      </c>
      <c r="D952" s="268">
        <f>F952+H952</f>
        <v>0</v>
      </c>
      <c r="E952" s="269"/>
      <c r="F952" s="287">
        <v>0</v>
      </c>
      <c r="G952" s="269"/>
      <c r="H952" s="287"/>
      <c r="I952" s="291"/>
    </row>
    <row r="953" spans="1:9" s="281" customFormat="1" ht="12" customHeight="1">
      <c r="A953" s="257"/>
      <c r="B953" s="522" t="s">
        <v>262</v>
      </c>
      <c r="C953" s="267">
        <f>SUM(D953:E953)</f>
        <v>136000</v>
      </c>
      <c r="D953" s="268">
        <f>F953+H953</f>
        <v>136000</v>
      </c>
      <c r="E953" s="269"/>
      <c r="F953" s="287">
        <v>136000</v>
      </c>
      <c r="G953" s="269"/>
      <c r="H953" s="287"/>
      <c r="I953" s="291"/>
    </row>
    <row r="954" spans="1:9" s="281" customFormat="1" ht="12.75" customHeight="1" hidden="1">
      <c r="A954" s="257"/>
      <c r="B954" s="522" t="s">
        <v>269</v>
      </c>
      <c r="C954" s="267">
        <f>SUM(D954:E954)</f>
        <v>0</v>
      </c>
      <c r="D954" s="268">
        <f>F954+H954</f>
        <v>0</v>
      </c>
      <c r="E954" s="269"/>
      <c r="F954" s="287">
        <v>0</v>
      </c>
      <c r="G954" s="269"/>
      <c r="H954" s="287"/>
      <c r="I954" s="291"/>
    </row>
    <row r="955" spans="1:9" ht="12" customHeight="1">
      <c r="A955" s="257"/>
      <c r="B955" s="577" t="s">
        <v>257</v>
      </c>
      <c r="C955" s="416">
        <f>SUM(C956:C957)</f>
        <v>15309667</v>
      </c>
      <c r="D955" s="417">
        <f>SUM(D956:D957)</f>
        <v>15309667</v>
      </c>
      <c r="E955" s="263"/>
      <c r="F955" s="262">
        <f>SUM(F956:F957)</f>
        <v>15309667</v>
      </c>
      <c r="G955" s="263"/>
      <c r="H955" s="262"/>
      <c r="I955" s="264"/>
    </row>
    <row r="956" spans="1:9" s="273" customFormat="1" ht="11.25" customHeight="1">
      <c r="A956" s="265"/>
      <c r="B956" s="522" t="s">
        <v>270</v>
      </c>
      <c r="C956" s="267">
        <f>SUM(D956:E956)</f>
        <v>8196667</v>
      </c>
      <c r="D956" s="268">
        <f>F956+H956</f>
        <v>8196667</v>
      </c>
      <c r="E956" s="269"/>
      <c r="F956" s="287">
        <v>8196667</v>
      </c>
      <c r="G956" s="269"/>
      <c r="H956" s="287"/>
      <c r="I956" s="291"/>
    </row>
    <row r="957" spans="1:9" s="273" customFormat="1" ht="13.5" customHeight="1">
      <c r="A957" s="396"/>
      <c r="B957" s="315" t="s">
        <v>275</v>
      </c>
      <c r="C957" s="382">
        <f>D957+E957</f>
        <v>7113000</v>
      </c>
      <c r="D957" s="383">
        <f>F957+H957</f>
        <v>7113000</v>
      </c>
      <c r="E957" s="384"/>
      <c r="F957" s="385">
        <v>7113000</v>
      </c>
      <c r="G957" s="384"/>
      <c r="H957" s="385"/>
      <c r="I957" s="392"/>
    </row>
    <row r="958" spans="1:9" s="281" customFormat="1" ht="24" hidden="1">
      <c r="A958" s="360">
        <v>92604</v>
      </c>
      <c r="B958" s="645" t="s">
        <v>395</v>
      </c>
      <c r="C958" s="429">
        <f>SUM(C959)</f>
        <v>0</v>
      </c>
      <c r="D958" s="430">
        <f>SUM(D959)</f>
        <v>0</v>
      </c>
      <c r="E958" s="431"/>
      <c r="F958" s="432">
        <f>SUM(F959)</f>
        <v>0</v>
      </c>
      <c r="G958" s="431"/>
      <c r="H958" s="432"/>
      <c r="I958" s="433"/>
    </row>
    <row r="959" spans="1:9" ht="0.75" customHeight="1" hidden="1">
      <c r="A959" s="332"/>
      <c r="B959" s="258" t="s">
        <v>300</v>
      </c>
      <c r="C959" s="259">
        <f>C960</f>
        <v>0</v>
      </c>
      <c r="D959" s="260">
        <f>D960</f>
        <v>0</v>
      </c>
      <c r="E959" s="261"/>
      <c r="F959" s="283">
        <f>F960</f>
        <v>0</v>
      </c>
      <c r="G959" s="261"/>
      <c r="H959" s="283"/>
      <c r="I959" s="284"/>
    </row>
    <row r="960" spans="1:9" s="281" customFormat="1" ht="17.25" customHeight="1" hidden="1">
      <c r="A960" s="381"/>
      <c r="B960" s="315" t="s">
        <v>258</v>
      </c>
      <c r="C960" s="382">
        <f>SUM(D960:E960)</f>
        <v>0</v>
      </c>
      <c r="D960" s="383">
        <f>F960+H960</f>
        <v>0</v>
      </c>
      <c r="E960" s="384"/>
      <c r="F960" s="399">
        <v>0</v>
      </c>
      <c r="G960" s="398"/>
      <c r="H960" s="399"/>
      <c r="I960" s="400"/>
    </row>
    <row r="961" spans="1:9" s="281" customFormat="1" ht="33" customHeight="1">
      <c r="A961" s="312">
        <v>92605</v>
      </c>
      <c r="B961" s="434" t="s">
        <v>396</v>
      </c>
      <c r="C961" s="288">
        <f>C962</f>
        <v>3543000</v>
      </c>
      <c r="D961" s="191">
        <f>D962</f>
        <v>3543000</v>
      </c>
      <c r="E961" s="289"/>
      <c r="F961" s="290">
        <f>F962</f>
        <v>3543000</v>
      </c>
      <c r="G961" s="289"/>
      <c r="H961" s="290"/>
      <c r="I961" s="193"/>
    </row>
    <row r="962" spans="1:9" ht="12.75" customHeight="1">
      <c r="A962" s="332"/>
      <c r="B962" s="258" t="s">
        <v>300</v>
      </c>
      <c r="C962" s="259">
        <f>SUM(C963:C963)</f>
        <v>3543000</v>
      </c>
      <c r="D962" s="260">
        <f>SUM(D963:D963)</f>
        <v>3543000</v>
      </c>
      <c r="E962" s="261"/>
      <c r="F962" s="283">
        <f>SUM(F963:F963)</f>
        <v>3543000</v>
      </c>
      <c r="G962" s="261"/>
      <c r="H962" s="283"/>
      <c r="I962" s="284"/>
    </row>
    <row r="963" spans="1:9" s="273" customFormat="1" ht="11.25" customHeight="1">
      <c r="A963" s="412"/>
      <c r="B963" s="266" t="s">
        <v>273</v>
      </c>
      <c r="C963" s="267">
        <f>SUM(D963:E963)</f>
        <v>3543000</v>
      </c>
      <c r="D963" s="268">
        <f>F963+H963</f>
        <v>3543000</v>
      </c>
      <c r="E963" s="269"/>
      <c r="F963" s="287">
        <v>3543000</v>
      </c>
      <c r="G963" s="269"/>
      <c r="H963" s="287"/>
      <c r="I963" s="291"/>
    </row>
    <row r="964" spans="1:9" ht="14.25" customHeight="1">
      <c r="A964" s="312">
        <v>92695</v>
      </c>
      <c r="B964" s="434" t="s">
        <v>397</v>
      </c>
      <c r="C964" s="288">
        <f>C965+C970</f>
        <v>987163</v>
      </c>
      <c r="D964" s="191">
        <f>D965+D970</f>
        <v>987163</v>
      </c>
      <c r="E964" s="289"/>
      <c r="F964" s="290">
        <f>F965+F970</f>
        <v>987163</v>
      </c>
      <c r="G964" s="289"/>
      <c r="H964" s="290"/>
      <c r="I964" s="193"/>
    </row>
    <row r="965" spans="1:9" ht="11.25" customHeight="1">
      <c r="A965" s="332"/>
      <c r="B965" s="258" t="s">
        <v>300</v>
      </c>
      <c r="C965" s="259">
        <f>SUM(C966:C969)</f>
        <v>922163</v>
      </c>
      <c r="D965" s="260">
        <f>SUM(D966:D969)</f>
        <v>922163</v>
      </c>
      <c r="E965" s="446"/>
      <c r="F965" s="507">
        <f>SUM(F966:F969)</f>
        <v>922163</v>
      </c>
      <c r="G965" s="549"/>
      <c r="H965" s="283"/>
      <c r="I965" s="284"/>
    </row>
    <row r="966" spans="1:9" s="415" customFormat="1" ht="13.5" customHeight="1">
      <c r="A966" s="265"/>
      <c r="B966" s="266" t="s">
        <v>286</v>
      </c>
      <c r="C966" s="267">
        <f>SUM(D966:E966)</f>
        <v>12500</v>
      </c>
      <c r="D966" s="268">
        <f>F966+H966</f>
        <v>12500</v>
      </c>
      <c r="E966" s="269"/>
      <c r="F966" s="287">
        <v>12500</v>
      </c>
      <c r="G966" s="269"/>
      <c r="H966" s="287"/>
      <c r="I966" s="291"/>
    </row>
    <row r="967" spans="1:9" s="415" customFormat="1" ht="10.5" customHeight="1">
      <c r="A967" s="265"/>
      <c r="B967" s="266" t="s">
        <v>287</v>
      </c>
      <c r="C967" s="267"/>
      <c r="D967" s="268"/>
      <c r="E967" s="269"/>
      <c r="F967" s="287"/>
      <c r="G967" s="269"/>
      <c r="H967" s="287"/>
      <c r="I967" s="291"/>
    </row>
    <row r="968" spans="1:9" s="415" customFormat="1" ht="12" customHeight="1">
      <c r="A968" s="265"/>
      <c r="B968" s="266" t="s">
        <v>273</v>
      </c>
      <c r="C968" s="267">
        <f>SUM(D968:E968)</f>
        <v>730000</v>
      </c>
      <c r="D968" s="268">
        <f>F968+H968</f>
        <v>730000</v>
      </c>
      <c r="E968" s="269"/>
      <c r="F968" s="287">
        <v>730000</v>
      </c>
      <c r="G968" s="477"/>
      <c r="H968" s="287"/>
      <c r="I968" s="291"/>
    </row>
    <row r="969" spans="1:9" s="281" customFormat="1" ht="11.25" customHeight="1">
      <c r="A969" s="257"/>
      <c r="B969" s="266" t="s">
        <v>262</v>
      </c>
      <c r="C969" s="267">
        <f>SUM(D969:E969)</f>
        <v>179663</v>
      </c>
      <c r="D969" s="268">
        <f>F969+H969</f>
        <v>179663</v>
      </c>
      <c r="E969" s="269"/>
      <c r="F969" s="287">
        <v>179663</v>
      </c>
      <c r="G969" s="436"/>
      <c r="H969" s="329"/>
      <c r="I969" s="272"/>
    </row>
    <row r="970" spans="1:9" s="281" customFormat="1" ht="13.5" customHeight="1">
      <c r="A970" s="257"/>
      <c r="B970" s="258" t="s">
        <v>257</v>
      </c>
      <c r="C970" s="259">
        <f>C972</f>
        <v>65000</v>
      </c>
      <c r="D970" s="260">
        <f>D972</f>
        <v>65000</v>
      </c>
      <c r="E970" s="261"/>
      <c r="F970" s="283">
        <f>F972</f>
        <v>65000</v>
      </c>
      <c r="G970" s="436"/>
      <c r="H970" s="329"/>
      <c r="I970" s="272"/>
    </row>
    <row r="971" spans="1:9" s="281" customFormat="1" ht="12.75" customHeight="1" hidden="1">
      <c r="A971" s="257"/>
      <c r="B971" s="266" t="s">
        <v>270</v>
      </c>
      <c r="C971" s="267">
        <f>SUM(D971:E971)</f>
        <v>0</v>
      </c>
      <c r="D971" s="268">
        <f>F971+H971</f>
        <v>0</v>
      </c>
      <c r="E971" s="269"/>
      <c r="F971" s="270"/>
      <c r="G971" s="436"/>
      <c r="H971" s="329"/>
      <c r="I971" s="272"/>
    </row>
    <row r="972" spans="1:9" s="281" customFormat="1" ht="11.25" customHeight="1">
      <c r="A972" s="257"/>
      <c r="B972" s="266" t="s">
        <v>258</v>
      </c>
      <c r="C972" s="267">
        <f>SUM(D972:E972)</f>
        <v>65000</v>
      </c>
      <c r="D972" s="287">
        <f>F972+H972</f>
        <v>65000</v>
      </c>
      <c r="E972" s="269"/>
      <c r="F972" s="287">
        <v>65000</v>
      </c>
      <c r="G972" s="436"/>
      <c r="H972" s="329"/>
      <c r="I972" s="272"/>
    </row>
    <row r="973" spans="1:9" s="281" customFormat="1" ht="12.75" customHeight="1" thickBot="1">
      <c r="A973" s="257"/>
      <c r="B973" s="343" t="s">
        <v>274</v>
      </c>
      <c r="C973" s="267">
        <f>SUM(D973:E973)</f>
        <v>65000</v>
      </c>
      <c r="D973" s="313">
        <f>F973+H973</f>
        <v>65000</v>
      </c>
      <c r="E973" s="269"/>
      <c r="F973" s="287">
        <v>65000</v>
      </c>
      <c r="G973" s="436"/>
      <c r="H973" s="329"/>
      <c r="I973" s="272"/>
    </row>
    <row r="974" spans="1:9" ht="18" customHeight="1" thickBot="1" thickTop="1">
      <c r="A974" s="478"/>
      <c r="B974" s="648" t="s">
        <v>126</v>
      </c>
      <c r="C974" s="1951">
        <f>C12+C25+C33+C88+C100+C142+C178+C242+C257+C315+C321+C325+C337+C494+C507+C570+C674+C710+C792+C846+C939</f>
        <v>416373264.83</v>
      </c>
      <c r="D974" s="580">
        <f>D12+D25+D33+D88+D100+D142+D178+D242+D257+D315+D321+D325+D337+D494+D507+D570+D674+D710+D792+D846+D939</f>
        <v>386642512</v>
      </c>
      <c r="E974" s="1950">
        <f>E33+E25+E792+E100+E337+E494+E846+E507+E570+E939+E88+E178+E257+E321+E325+E710+E18+E12+E142+E932+E236+E674+E315+E243+E248+E252</f>
        <v>29730752.83</v>
      </c>
      <c r="F974" s="255">
        <f>F33+F25+F792+F100+F337+F494+F846+F507+F570+F939+F88+F178+F257+F321+F325+F710+F18+F12+F142+F932+F236+F674+F315+F243+F248</f>
        <v>256741247</v>
      </c>
      <c r="G974" s="1953">
        <f>G33+G25+G792+G100+G337+G494+G846+G507+G570+G939+G88+G178+G257+G321+G325+G710+G18+G12+G142+G932+G236+G674+G315+G243+G248+G252</f>
        <v>20139108.83</v>
      </c>
      <c r="H974" s="316">
        <f>H33+H25+H792+H100+H337+H494+H846+H507+H570+H939+H88+H178+H257+H321+H325+H710+H18+H12+H142+H932+H236+H674+H315+H243+H248</f>
        <v>129901265</v>
      </c>
      <c r="I974" s="200">
        <f>I33+I25+I792+I100+I337+I494+I846+I507+I570+I939+I88+I178+I257+I321+I325+I710+I18+I12+I142+I932+I236+I674+I315+I243+I248</f>
        <v>9591644</v>
      </c>
    </row>
    <row r="975" spans="1:9" s="650" customFormat="1" ht="16.5" customHeight="1" thickTop="1">
      <c r="A975" s="2334"/>
      <c r="B975" s="2335" t="s">
        <v>261</v>
      </c>
      <c r="C975" s="1962">
        <f>E975+D975</f>
        <v>313664839.83</v>
      </c>
      <c r="D975" s="1839">
        <f>D46+D16+D23+D27+D51+D56+D64+D71+D80+D93+D113+D124+D134+D151+D156+D159+D162+D169+D176+D190+D195+D205+D208+D217+D230+D244+D250+D280+D291+D294+D317+D323+D327+D330+D335+D351+D361+D373+D384+D390+D400+D417+D427+D433+D449+D458+D466+D475+D478+D484+D496+D500+D523+D534+D540+D556+D562+D581+D590+D593+D600+D606+D765+D615+D618+D623+D629+D636+D645+D652+D658+D664+D685+D691+D695+D702+D721+D727+D741+D747+D756+D770+D781+D784+D803+D815+D819+D824+D831+D837+D870+D876+D885+D894+D905+D911+D918+D927+D951+D962+D965+D97+D367+D518+D224+D705+D406+D307+D778+D303+D271</f>
        <v>284540272</v>
      </c>
      <c r="E975" s="1954">
        <f>E23+E16+E27+E51+E56+E64+E71+E80+E93+E113+E124+E134+E151+E156+E159+E162+E169+E176+E190+E195+E205+E208+E217+E230+E244+E250+E280+E291+E294+E317+E323+E330+E335+E351+E361+E373+E384+E390+E400+E417+E427+E433+E449+E458+E466+E475+E478+E484+E496+E500+E523+E534+E540+E556+E562+E581+E590+E593+E600+E606+E765+E615+E618+E623+E629+E636+E645+E652+E658+E664+E685+E691+E695+E721+E727+E741+E747+E756+E770+E781+E784+E803+E815+E819+E824+E831+E837+E870+E876+E885+E894+E905+E911+E918+E927+E951+E962+E965+E97+E367+E518+E224+E705+E406+E307+E778+E303+E252</f>
        <v>29124567.83</v>
      </c>
      <c r="F975" s="649">
        <f>F976+F978+F981+F982</f>
        <v>186371453</v>
      </c>
      <c r="G975" s="1954">
        <f>G976+G978+G982</f>
        <v>20139108.83</v>
      </c>
      <c r="H975" s="649">
        <f>H976+H978+H982</f>
        <v>98168819</v>
      </c>
      <c r="I975" s="1840">
        <f>I976+I978+I982</f>
        <v>8985459</v>
      </c>
    </row>
    <row r="976" spans="1:9" s="292" customFormat="1" ht="12.75" customHeight="1">
      <c r="A976" s="2336"/>
      <c r="B976" s="266" t="s">
        <v>286</v>
      </c>
      <c r="C976" s="1963">
        <f>SUM(E976+D976)</f>
        <v>129938798</v>
      </c>
      <c r="D976" s="651">
        <f>D35+D102+D144+D180+D245+D259+D318+D339+D509+D572+D676+D712+D794+D848+D941</f>
        <v>121292700</v>
      </c>
      <c r="E976" s="1955">
        <f>E35+E102+E144+E180+E245+E259+E318+E339+E509+E572+E676+E712+E794+E848+E941+E254</f>
        <v>8646098</v>
      </c>
      <c r="F976" s="653">
        <f>F35+F102+F144+F180+F245+F259+F318+F339+F509+F572+F676+F712+F794+F848+F941</f>
        <v>75226046</v>
      </c>
      <c r="G976" s="1955">
        <f>G35+G102+G144+G180+G245+G259+G318+G339+G509+G572+G676+G712+G794+G848+G941+G254</f>
        <v>1931994</v>
      </c>
      <c r="H976" s="653">
        <f>H35+H102+H144+H180+H245+H259+H318+H339+H509+H572+H676+H712+H794+H848+H941</f>
        <v>46066654</v>
      </c>
      <c r="I976" s="654">
        <f>I35+I102+I144+I180+I245+I259+I318+I339+I509+I572+I676+I712+I794+I848+I941</f>
        <v>6714104</v>
      </c>
    </row>
    <row r="977" spans="1:9" s="292" customFormat="1" ht="12.75" customHeight="1">
      <c r="A977" s="2336"/>
      <c r="B977" s="266" t="s">
        <v>287</v>
      </c>
      <c r="C977" s="1963"/>
      <c r="D977" s="651"/>
      <c r="E977" s="1955"/>
      <c r="F977" s="653"/>
      <c r="G977" s="1955"/>
      <c r="H977" s="653"/>
      <c r="I977" s="654"/>
    </row>
    <row r="978" spans="1:9" s="292" customFormat="1" ht="12">
      <c r="A978" s="2336"/>
      <c r="B978" s="266" t="s">
        <v>273</v>
      </c>
      <c r="C978" s="1963">
        <f>E978+D978</f>
        <v>62571107</v>
      </c>
      <c r="D978" s="667">
        <f>H978+F978</f>
        <v>62352107</v>
      </c>
      <c r="E978" s="1955">
        <f>E94+E114+E233+E292+E354+E376+E393+E420+E436+E481+E487+E501+E524+E535+E543+E563+E584+E603+E668+E686+E787+E873+E877+E888+E897+E906+E912+E952+E963+E199+E519+E648+E370+E692+E409+E596+E98+E779</f>
        <v>219000</v>
      </c>
      <c r="F978" s="651">
        <f>F94+F114+F233+F292+F354+F376+F393+F420+F436+F481+F487+F497+F501+F524+F535+F543+F563+F584+F603+F668+F686+F787+F873+F877+F888+F897+F906+F912+F921+F952+F963+F199+F519+F648+F370+F692+F409+F596+F98+F779+F47+F806+F968+F930+F825</f>
        <v>39580329</v>
      </c>
      <c r="G978" s="1956">
        <f>G94+G114+G233+G292+G354+G376+G393+G420+G436+G481+G487+G501+G524+G535+G543+G563+G584+G603+G668+G686+G787+G873+G877+G888+G897+G906+G912+G952+G963+G199+G519+G648+G370+G692+G409+G596+G98+G779</f>
        <v>219000</v>
      </c>
      <c r="H978" s="653">
        <f>H94+H114+H233+H292+H354+H376+H393+H420+H436+H481+H487+H501+H524+H535+H543+H563+H584+H603+H668+H686+H703+H787+H873+H877+H888+H897+H906+H912+H952+H963+H199+H519+H648+H370+H692+H409+H596+H98+H779+H708</f>
        <v>22771778</v>
      </c>
      <c r="I978" s="1841"/>
    </row>
    <row r="979" spans="1:9" s="657" customFormat="1" ht="11.25" customHeight="1" hidden="1">
      <c r="A979" s="2337"/>
      <c r="B979" s="343" t="s">
        <v>398</v>
      </c>
      <c r="C979" s="1964">
        <f>C115+C864+C913+C907+C878</f>
        <v>0</v>
      </c>
      <c r="D979" s="1842">
        <f>D115+D864+D913+D907+D878</f>
        <v>0</v>
      </c>
      <c r="E979" s="1960"/>
      <c r="F979" s="656">
        <f>F115+F864+F913+F907+F878</f>
        <v>0</v>
      </c>
      <c r="G979" s="1957"/>
      <c r="H979" s="1843">
        <f>H115+H864+H913+H907+H878</f>
        <v>0</v>
      </c>
      <c r="I979" s="1844"/>
    </row>
    <row r="980" spans="1:9" s="285" customFormat="1" ht="12" hidden="1">
      <c r="A980" s="2338"/>
      <c r="B980" s="258"/>
      <c r="C980" s="1965"/>
      <c r="D980" s="666"/>
      <c r="E980" s="1961"/>
      <c r="F980" s="658"/>
      <c r="G980" s="1958"/>
      <c r="H980" s="1846"/>
      <c r="I980" s="1847"/>
    </row>
    <row r="981" spans="1:9" s="285" customFormat="1" ht="12">
      <c r="A981" s="2338"/>
      <c r="B981" s="266" t="s">
        <v>399</v>
      </c>
      <c r="C981" s="1965">
        <f>C324</f>
        <v>4250000</v>
      </c>
      <c r="D981" s="666">
        <f>D324</f>
        <v>4250000</v>
      </c>
      <c r="E981" s="1961"/>
      <c r="F981" s="658">
        <f>F324</f>
        <v>4250000</v>
      </c>
      <c r="G981" s="1958"/>
      <c r="H981" s="1846"/>
      <c r="I981" s="1847"/>
    </row>
    <row r="982" spans="1:9" s="292" customFormat="1" ht="13.5" customHeight="1">
      <c r="A982" s="2336"/>
      <c r="B982" s="266" t="s">
        <v>262</v>
      </c>
      <c r="C982" s="1963">
        <f>E982+D982</f>
        <v>116904934.83</v>
      </c>
      <c r="D982" s="667">
        <f>F982+H982</f>
        <v>96645465</v>
      </c>
      <c r="E982" s="1955">
        <f>E17+E24+E28+E38+E91+E105+E146+E183+E247+E263+E320+E331+E336+E342+E498+E502+E512+E575+E679+E715+E797+E851+E944+E256</f>
        <v>20259469.83</v>
      </c>
      <c r="F982" s="651">
        <f>F17+F24+F28+F38+F91+F105+F146+F183+F247+F263+F320+F328+F331+F336+F342+F498+F502+F512+F575+F679+F715+F797+F851+F944</f>
        <v>67315078</v>
      </c>
      <c r="G982" s="1955">
        <f>G17+G24+G28+G38+G91+G105+G146+G183+G247+G263+G320+G331+G336+G342+G498+G502+G512+G575+G679+G715+G797+G851+G944+G256</f>
        <v>17988114.83</v>
      </c>
      <c r="H982" s="653">
        <f>H17+H24+H28+H38+H91+H105+H146+H183+H247+H263+H320+H331+H336+H342+H498+H502+H512+H575+H679+H715+H797+H851+H944</f>
        <v>29330387</v>
      </c>
      <c r="I982" s="654">
        <f>I17+I24+I28+I38+I91+I105+I146+I183+I247+I263+I320+I331+I336+I342+I498+I502+I512+I575+I679+I715+I797+I851+I944</f>
        <v>2271355</v>
      </c>
    </row>
    <row r="983" spans="1:9" s="292" customFormat="1" ht="10.5" customHeight="1">
      <c r="A983" s="2336"/>
      <c r="B983" s="266" t="s">
        <v>128</v>
      </c>
      <c r="C983" s="1963"/>
      <c r="D983" s="667"/>
      <c r="E983" s="1955"/>
      <c r="F983" s="1848"/>
      <c r="G983" s="1955"/>
      <c r="H983" s="651"/>
      <c r="I983" s="654"/>
    </row>
    <row r="984" spans="1:9" s="661" customFormat="1" ht="25.5" customHeight="1">
      <c r="A984" s="2339"/>
      <c r="B984" s="659" t="s">
        <v>400</v>
      </c>
      <c r="C984" s="1966">
        <f>D984+E984</f>
        <v>359670</v>
      </c>
      <c r="D984" s="1849"/>
      <c r="E984" s="1959">
        <f>G984+I984</f>
        <v>359670</v>
      </c>
      <c r="F984" s="660"/>
      <c r="G984" s="1959">
        <f>G172+G222+G887+G489</f>
        <v>304100</v>
      </c>
      <c r="H984" s="660"/>
      <c r="I984" s="1850">
        <f>I172+I222+I220+I667+I673+I310+I312</f>
        <v>55570</v>
      </c>
    </row>
    <row r="985" spans="1:9" s="285" customFormat="1" ht="12.75" customHeight="1">
      <c r="A985" s="2338"/>
      <c r="B985" s="258" t="s">
        <v>401</v>
      </c>
      <c r="C985" s="1965">
        <f>SUM(E985+D985)</f>
        <v>7390705</v>
      </c>
      <c r="D985" s="666">
        <f>H985+F985</f>
        <v>7323205</v>
      </c>
      <c r="E985" s="1961">
        <f>E60+E66+E73+E212+E228+E285+E356+E365+E388+E404+E422+E431+E438+E462+E470+E490+E586+E598+E640+E725+E731+E760+E827+E833+E841+E923+E29+E84+E395+E789+E808+E453+E650+E751+E774+E817+E411+E656+E305</f>
        <v>67500</v>
      </c>
      <c r="F985" s="1846">
        <f>F60+F66+F73+F212+F228+F285+F356+F365+F388+F404+F422+F431+F438+F462+F470+F490+F586+F598+F640+F725+F731+F760+F827+F833+F841+F923+F29+F84+F395+F789+F808+F453+F650+F751+F774+F817+F411+F656+F138+F545+F305+F565</f>
        <v>5528295</v>
      </c>
      <c r="G985" s="1845">
        <f>G60+G66+G73+G212+G228+G285+G356+G365+G388+G404+G422+G431+G438+G462+G470+G490+G586+G598+G640+G725+G731+G760+G827+G833+G841+G923+G29+G84+G395+G789+G808+G453+G650+G751+G774+G817+G411+G656+G138+G545+G305</f>
        <v>2500</v>
      </c>
      <c r="H985" s="666">
        <f>H60+H66+H73+H212+H228+H285+H356+H365+H388+H404+H422+H431+H438+H462+H470+H490+H586+H598+H640+H725+H731+H760+H827+H833+H841+H923+H29+H84+H395+H789+H808+H453+H650+H751+H774+H817+H411+H656+H745</f>
        <v>1794910</v>
      </c>
      <c r="I985" s="1847">
        <f>I60+I66+I73+I212+I228+I285+I356+I365+I388+I404+I422+I431+I438+I462+I470+I490+I586+I598+I640+I725+I731+I760+I827+I833+I841+I923+I29+I84+I395+I789+I808+I453+I650+I751+I774+I817+I411+I656</f>
        <v>65000</v>
      </c>
    </row>
    <row r="986" spans="1:9" s="663" customFormat="1" ht="0.75" customHeight="1" hidden="1">
      <c r="A986" s="2340"/>
      <c r="B986" s="464" t="s">
        <v>402</v>
      </c>
      <c r="C986" s="1967">
        <f>C979+C985</f>
        <v>7390705</v>
      </c>
      <c r="D986" s="1851">
        <f>D979+D985</f>
        <v>7323205</v>
      </c>
      <c r="E986" s="1970"/>
      <c r="F986" s="662">
        <f>F979+F985</f>
        <v>5528295</v>
      </c>
      <c r="G986" s="1852"/>
      <c r="H986" s="1851">
        <f>H979+H985</f>
        <v>1794910</v>
      </c>
      <c r="I986" s="1853"/>
    </row>
    <row r="987" spans="1:9" s="650" customFormat="1" ht="15.75" customHeight="1">
      <c r="A987" s="2334"/>
      <c r="B987" s="2335" t="s">
        <v>257</v>
      </c>
      <c r="C987" s="1968">
        <f>E987+D987</f>
        <v>102708425</v>
      </c>
      <c r="D987" s="664">
        <f>D30+D61+D67+D85+D128+D131+D139+D201+D213+D357+D423+D552+D633+D641+D670+D699+D737+D809+D812+D834+D842+D879+D900+D908+D914+D924+D955+D286+D53+D74+D117+D396+D491+D566+D761+D790+D276+D828+D173+D77+D439+D471+D889+D412+D775+D332+D587+D821+D166+D752+D313+D732+D546+D687+D378+D48+D503+D537+D299+D463+D970</f>
        <v>102102240</v>
      </c>
      <c r="E987" s="1971">
        <f>E61+E67+E85+E128+E131+E139+E213+E357+E423+E552+E633+E641+E670+E699+E737+E809+E834+E842+E879+E900+E908+E914+E924+E955+E286+E53+E74+E117+E396+E491+E566+E761+E790+E276+E828+E173+E77+E439+E471+E889+E412+E775+E332+E587+E821+E166+E752+E313+E732+E611</f>
        <v>606185</v>
      </c>
      <c r="F987" s="664">
        <f>F30+F61+F67+F85+F128+F131+F139+F213+F357+F423+F552+F633+F641+F670+F699+F737+F809+F834+F842+F879+F900+F908+F914+F924+F955+F286+F53+F74+F117+F396+F491+F566+F761+F790+F276+F828+F173+F77+F439+F471+F889+F412+F775+F332+F587+F821+F166+F752+F313+F732+F546+F687+F378+F48+F503+F537+F299+F970+F812</f>
        <v>70369794</v>
      </c>
      <c r="G987" s="1854"/>
      <c r="H987" s="1855">
        <f>H61+H67+H85+H128+H131+H139+H213+H357+H423+H552+H633+H641+H670+H699+H737+H809+H834+H842+H879+H900+H908+H914+H924+H955+H286+H53+H74+H117+H396+H491+H566+H761+H790+H276+H828+H173+H77+H439+H471+H889+H412+H775+H332+H587+H821+H166+H752+H313+H732+H464+H201</f>
        <v>31732446</v>
      </c>
      <c r="I987" s="1856">
        <f>I61+I67+I85+I128+I131+I139+I213+I357+I423+I552+I633+I641+I670+I699+I737+I809+I834+I842+I879+I900+I908+I914+I924+I955+I286+I53+I74+I117+I396+I491+I566+I761+I790+I276+I828+I173+I77+I439+I471+I889+I412+I775+I332+I587+I821+I166+I752+I313+I732</f>
        <v>606185</v>
      </c>
    </row>
    <row r="988" spans="1:9" s="292" customFormat="1" ht="13.5" customHeight="1">
      <c r="A988" s="2336"/>
      <c r="B988" s="266" t="s">
        <v>258</v>
      </c>
      <c r="C988" s="1963">
        <f>E988+D988</f>
        <v>4148984</v>
      </c>
      <c r="D988" s="667">
        <f>F988+H988</f>
        <v>3603799</v>
      </c>
      <c r="E988" s="1955">
        <f>E215+E634+E643+E700+E738+E925+E960+E87+E903+E493+E129+E288+E359+E398+E425+E441+E473+E672+E890+E167+E414+E588+E754+E733+E613+E882</f>
        <v>545185</v>
      </c>
      <c r="F988" s="651">
        <f>F215+F634+F643+F700+F738+F925+F960+F87+F903+F493+F129+F288+F359+F398+F425+F441+F473+F672+F890+F167+F414+F588+F754+F733+F882+F278+F464+F381+F972+F554+F569+F32</f>
        <v>3046458</v>
      </c>
      <c r="G988" s="667"/>
      <c r="H988" s="653">
        <f>H215+H634+H643+H700+H738+H925+H960+H87+H903+H493+H129+H288+H359+H398+H425+H441+H473+H672+H890+H167+H414+H588+H754+H733+H882+H278+H464</f>
        <v>557341</v>
      </c>
      <c r="I988" s="654">
        <f>I215+I634+I643+I700+I738+I925+I960+I87+I903+I493+I129+I288+I359+I398+I425+I441+I473+I672+I890+I167+I414+I588+I754+I733+I882</f>
        <v>545185</v>
      </c>
    </row>
    <row r="989" spans="1:9" s="285" customFormat="1" ht="12.75" customHeight="1">
      <c r="A989" s="2338"/>
      <c r="B989" s="258" t="s">
        <v>274</v>
      </c>
      <c r="C989" s="1963">
        <f>E989+D989</f>
        <v>498300</v>
      </c>
      <c r="D989" s="667">
        <f>F989+H989</f>
        <v>430300</v>
      </c>
      <c r="E989" s="1955">
        <f>E883</f>
        <v>68000</v>
      </c>
      <c r="F989" s="666">
        <f>F382+F973</f>
        <v>90300</v>
      </c>
      <c r="G989" s="1845"/>
      <c r="H989" s="666">
        <f>H289+H883+H891</f>
        <v>340000</v>
      </c>
      <c r="I989" s="1847">
        <f>I883</f>
        <v>68000</v>
      </c>
    </row>
    <row r="990" spans="1:9" s="292" customFormat="1" ht="13.5" customHeight="1">
      <c r="A990" s="2336"/>
      <c r="B990" s="266" t="s">
        <v>270</v>
      </c>
      <c r="C990" s="1963">
        <f>SUM(D990+E990)</f>
        <v>83420291</v>
      </c>
      <c r="D990" s="667">
        <f>H990+F990</f>
        <v>83359291</v>
      </c>
      <c r="E990" s="1955">
        <f>E62+E68+E140+E358+E424+E553+E671+E810+E835+E843+E880+E901+E909+E956+E287+E75+E118+E397+E492+E567+E762+E791+E86+E829+E277+E915+E174+E78+E440+E642+E892+E413+E776+E333+E822+E214+E472+E314+E612</f>
        <v>61000</v>
      </c>
      <c r="F990" s="667">
        <f>F31+F62+F68+F140+F358+F424+F553+F671+F810+F835+F843+F880+F901+F909+F956+F287+F75+F118+F397+F492+F567+F762+F791+F86+F829+F277+F915+F174+F78+F440+F642+F892+F413+F776+F333+F822+F214+F472+F314+F547+F688+F379+F49+F504+F813</f>
        <v>52193336</v>
      </c>
      <c r="G990" s="652"/>
      <c r="H990" s="653">
        <f>H62+H68+H140+H358+H424+H553+H671+H810+H835+H843+H880+H901+H909+H956+H287+H75+H118+H397+H492+H567+H762+H791+H86+H829+H277+H915+H174+H78+H440+H642+H892+H413+H776+H333+H822+H214+H472+H314+H739+H753+H202</f>
        <v>31165955</v>
      </c>
      <c r="I990" s="654">
        <f>I62+I68+I140+I358+I424+I553+I671+I810+I835+I843+I880+I901+I909+I956+I287+I75+I118+I397+I492+I567+I762+I791+I86+I829+I277+I915+I174+I78+I440+I642+I892+I413+I776+I333+I822+I214+I472+I314</f>
        <v>61000</v>
      </c>
    </row>
    <row r="991" spans="1:9" s="285" customFormat="1" ht="13.5" customHeight="1">
      <c r="A991" s="2338"/>
      <c r="B991" s="258" t="s">
        <v>274</v>
      </c>
      <c r="C991" s="1965">
        <f>D991+E991</f>
        <v>2395600</v>
      </c>
      <c r="D991" s="666">
        <f>F991+H991</f>
        <v>2395600</v>
      </c>
      <c r="E991" s="1845"/>
      <c r="F991" s="666">
        <f>F902+F119+F916+F380+F689+F505+F844+F568</f>
        <v>1862000</v>
      </c>
      <c r="G991" s="1845"/>
      <c r="H991" s="666">
        <f>H916+H203</f>
        <v>533600</v>
      </c>
      <c r="I991" s="1847"/>
    </row>
    <row r="992" spans="1:9" s="292" customFormat="1" ht="13.5" customHeight="1" thickBot="1">
      <c r="A992" s="2341"/>
      <c r="B992" s="2342" t="s">
        <v>275</v>
      </c>
      <c r="C992" s="1969">
        <f>C132+C141+C54+C957+C506</f>
        <v>15130000</v>
      </c>
      <c r="D992" s="668">
        <f>D132+D141+D54+D957+D506</f>
        <v>15130000</v>
      </c>
      <c r="E992" s="1857"/>
      <c r="F992" s="668">
        <f>F132+F141+F54+F957+F506</f>
        <v>15130000</v>
      </c>
      <c r="G992" s="1857"/>
      <c r="H992" s="1858"/>
      <c r="I992" s="1859"/>
    </row>
    <row r="993" spans="1:9" ht="12.75" thickTop="1">
      <c r="A993" s="669"/>
      <c r="B993" s="670"/>
      <c r="C993" s="216"/>
      <c r="D993" s="216"/>
      <c r="E993" s="216"/>
      <c r="F993" s="216"/>
      <c r="G993" s="216"/>
      <c r="H993" s="216"/>
      <c r="I993" s="216"/>
    </row>
    <row r="994" spans="1:9" ht="12.75">
      <c r="A994" s="87" t="s">
        <v>403</v>
      </c>
      <c r="B994" s="670"/>
      <c r="C994" s="216"/>
      <c r="D994" s="216"/>
      <c r="E994" s="216"/>
      <c r="F994" s="216"/>
      <c r="G994" s="216"/>
      <c r="H994" s="216"/>
      <c r="I994" s="216"/>
    </row>
    <row r="995" spans="1:9" ht="12.75">
      <c r="A995" s="87" t="s">
        <v>181</v>
      </c>
      <c r="B995" s="670"/>
      <c r="C995" s="216"/>
      <c r="D995" s="216"/>
      <c r="E995" s="216"/>
      <c r="F995" s="216"/>
      <c r="G995" s="216"/>
      <c r="H995" s="216"/>
      <c r="I995" s="216"/>
    </row>
    <row r="996" spans="1:9" ht="12.75">
      <c r="A996" s="87" t="s">
        <v>40</v>
      </c>
      <c r="B996" s="670"/>
      <c r="C996" s="216"/>
      <c r="D996" s="216"/>
      <c r="E996" s="216"/>
      <c r="F996" s="216"/>
      <c r="G996" s="435"/>
      <c r="H996" s="216"/>
      <c r="I996" s="435"/>
    </row>
    <row r="997" spans="1:9" ht="12.75">
      <c r="A997" s="669"/>
      <c r="B997" s="670"/>
      <c r="C997" s="216"/>
      <c r="D997" s="216"/>
      <c r="E997" s="216"/>
      <c r="F997" s="216"/>
      <c r="G997" s="435"/>
      <c r="H997" s="216"/>
      <c r="I997" s="435"/>
    </row>
    <row r="998" spans="1:9" ht="12.75">
      <c r="A998" s="669"/>
      <c r="B998" s="670"/>
      <c r="C998" s="216"/>
      <c r="D998" s="216"/>
      <c r="E998" s="216"/>
      <c r="F998" s="216"/>
      <c r="G998" s="435"/>
      <c r="H998" s="216"/>
      <c r="I998" s="435"/>
    </row>
    <row r="999" spans="1:9" ht="12.75">
      <c r="A999" s="669"/>
      <c r="B999" s="670"/>
      <c r="C999" s="216"/>
      <c r="D999" s="216"/>
      <c r="E999" s="216"/>
      <c r="F999" s="216"/>
      <c r="G999" s="435"/>
      <c r="H999" s="216"/>
      <c r="I999" s="435"/>
    </row>
    <row r="1000" spans="1:9" ht="12.75">
      <c r="A1000" s="669"/>
      <c r="B1000" s="670"/>
      <c r="C1000" s="216"/>
      <c r="D1000" s="216"/>
      <c r="E1000" s="216"/>
      <c r="F1000" s="216"/>
      <c r="G1000" s="435"/>
      <c r="H1000" s="216"/>
      <c r="I1000" s="435"/>
    </row>
    <row r="1001" spans="1:9" ht="12.75">
      <c r="A1001" s="669"/>
      <c r="B1001" s="670"/>
      <c r="C1001" s="216"/>
      <c r="D1001" s="216"/>
      <c r="E1001" s="216"/>
      <c r="F1001" s="216"/>
      <c r="G1001" s="435"/>
      <c r="H1001" s="216"/>
      <c r="I1001" s="435"/>
    </row>
    <row r="1002" spans="1:9" ht="12.75">
      <c r="A1002" s="669"/>
      <c r="B1002" s="670"/>
      <c r="C1002" s="216"/>
      <c r="D1002" s="216"/>
      <c r="E1002" s="216"/>
      <c r="F1002" s="216"/>
      <c r="G1002" s="435"/>
      <c r="H1002" s="216"/>
      <c r="I1002" s="435"/>
    </row>
    <row r="1003" spans="1:9" ht="12.75">
      <c r="A1003" s="669"/>
      <c r="B1003" s="670"/>
      <c r="C1003" s="216"/>
      <c r="D1003" s="216"/>
      <c r="E1003" s="216"/>
      <c r="F1003" s="216"/>
      <c r="G1003" s="435"/>
      <c r="H1003" s="216"/>
      <c r="I1003" s="435"/>
    </row>
    <row r="1004" spans="1:9" ht="12.75">
      <c r="A1004" s="669"/>
      <c r="B1004" s="670"/>
      <c r="C1004" s="216"/>
      <c r="D1004" s="216"/>
      <c r="E1004" s="216"/>
      <c r="F1004" s="216"/>
      <c r="G1004" s="435"/>
      <c r="H1004" s="216"/>
      <c r="I1004" s="435"/>
    </row>
    <row r="1005" spans="1:9" ht="12.75">
      <c r="A1005" s="669"/>
      <c r="B1005" s="670"/>
      <c r="C1005" s="216"/>
      <c r="D1005" s="216"/>
      <c r="E1005" s="216"/>
      <c r="F1005" s="216"/>
      <c r="G1005" s="435"/>
      <c r="H1005" s="216"/>
      <c r="I1005" s="435"/>
    </row>
    <row r="1006" spans="1:9" ht="12.75">
      <c r="A1006" s="669"/>
      <c r="B1006" s="670"/>
      <c r="C1006" s="216"/>
      <c r="D1006" s="216"/>
      <c r="E1006" s="216"/>
      <c r="F1006" s="216"/>
      <c r="G1006" s="435"/>
      <c r="H1006" s="216"/>
      <c r="I1006" s="435"/>
    </row>
    <row r="1007" spans="1:9" ht="12.75">
      <c r="A1007" s="669"/>
      <c r="B1007" s="670"/>
      <c r="C1007" s="216"/>
      <c r="D1007" s="216"/>
      <c r="E1007" s="216"/>
      <c r="F1007" s="216"/>
      <c r="G1007" s="435"/>
      <c r="H1007" s="216"/>
      <c r="I1007" s="435"/>
    </row>
    <row r="1008" spans="1:9" ht="12.75">
      <c r="A1008" s="669"/>
      <c r="B1008" s="670"/>
      <c r="C1008" s="216"/>
      <c r="D1008" s="216"/>
      <c r="E1008" s="216"/>
      <c r="F1008" s="216"/>
      <c r="G1008" s="435"/>
      <c r="H1008" s="216"/>
      <c r="I1008" s="435"/>
    </row>
    <row r="1009" spans="1:9" ht="12.75">
      <c r="A1009" s="669"/>
      <c r="B1009" s="670"/>
      <c r="C1009" s="216"/>
      <c r="D1009" s="216"/>
      <c r="E1009" s="216"/>
      <c r="F1009" s="216"/>
      <c r="G1009" s="435"/>
      <c r="H1009" s="216"/>
      <c r="I1009" s="435"/>
    </row>
    <row r="1010" spans="1:9" ht="12.75">
      <c r="A1010" s="669"/>
      <c r="B1010" s="670"/>
      <c r="C1010" s="216"/>
      <c r="D1010" s="216"/>
      <c r="E1010" s="216"/>
      <c r="F1010" s="216"/>
      <c r="G1010" s="435"/>
      <c r="H1010" s="216"/>
      <c r="I1010" s="435"/>
    </row>
    <row r="1011" spans="1:9" ht="12.75">
      <c r="A1011" s="669"/>
      <c r="B1011" s="670"/>
      <c r="C1011" s="216"/>
      <c r="D1011" s="216"/>
      <c r="E1011" s="216"/>
      <c r="F1011" s="216"/>
      <c r="G1011" s="435"/>
      <c r="H1011" s="216"/>
      <c r="I1011" s="435"/>
    </row>
    <row r="1012" spans="1:9" ht="12.75">
      <c r="A1012" s="669"/>
      <c r="B1012" s="670"/>
      <c r="C1012" s="216"/>
      <c r="D1012" s="216"/>
      <c r="E1012" s="216"/>
      <c r="F1012" s="216"/>
      <c r="G1012" s="435"/>
      <c r="H1012" s="216"/>
      <c r="I1012" s="435"/>
    </row>
    <row r="1013" spans="1:9" ht="12.75">
      <c r="A1013" s="669"/>
      <c r="B1013" s="670"/>
      <c r="C1013" s="216"/>
      <c r="D1013" s="216"/>
      <c r="E1013" s="216"/>
      <c r="F1013" s="216"/>
      <c r="G1013" s="435"/>
      <c r="H1013" s="216"/>
      <c r="I1013" s="435"/>
    </row>
    <row r="1014" spans="1:9" ht="12.75">
      <c r="A1014" s="669"/>
      <c r="B1014" s="670"/>
      <c r="C1014" s="216"/>
      <c r="D1014" s="216"/>
      <c r="E1014" s="216"/>
      <c r="F1014" s="216"/>
      <c r="G1014" s="435"/>
      <c r="H1014" s="216"/>
      <c r="I1014" s="435"/>
    </row>
    <row r="1015" spans="1:9" ht="12.75">
      <c r="A1015" s="669"/>
      <c r="B1015" s="670"/>
      <c r="C1015" s="216"/>
      <c r="D1015" s="216"/>
      <c r="E1015" s="216"/>
      <c r="F1015" s="216"/>
      <c r="G1015" s="435"/>
      <c r="H1015" s="216"/>
      <c r="I1015" s="435"/>
    </row>
    <row r="1016" spans="1:9" ht="12.75">
      <c r="A1016" s="669"/>
      <c r="B1016" s="670"/>
      <c r="C1016" s="216"/>
      <c r="D1016" s="216"/>
      <c r="E1016" s="216"/>
      <c r="F1016" s="216"/>
      <c r="G1016" s="435"/>
      <c r="H1016" s="216"/>
      <c r="I1016" s="435"/>
    </row>
    <row r="1017" spans="1:9" ht="12.75">
      <c r="A1017" s="669"/>
      <c r="B1017" s="670"/>
      <c r="C1017" s="216"/>
      <c r="D1017" s="216"/>
      <c r="E1017" s="216"/>
      <c r="F1017" s="216"/>
      <c r="G1017" s="435"/>
      <c r="H1017" s="216"/>
      <c r="I1017" s="435"/>
    </row>
    <row r="1018" spans="1:9" ht="12.75">
      <c r="A1018" s="669"/>
      <c r="B1018" s="670"/>
      <c r="C1018" s="216"/>
      <c r="D1018" s="216"/>
      <c r="E1018" s="216"/>
      <c r="F1018" s="216"/>
      <c r="G1018" s="435"/>
      <c r="H1018" s="216"/>
      <c r="I1018" s="435"/>
    </row>
    <row r="1019" spans="1:9" ht="12.75">
      <c r="A1019" s="669"/>
      <c r="B1019" s="670"/>
      <c r="C1019" s="216"/>
      <c r="D1019" s="216"/>
      <c r="E1019" s="216"/>
      <c r="F1019" s="216"/>
      <c r="G1019" s="435"/>
      <c r="H1019" s="216"/>
      <c r="I1019" s="435"/>
    </row>
    <row r="1020" spans="1:9" ht="12.75">
      <c r="A1020" s="669"/>
      <c r="B1020" s="670"/>
      <c r="C1020" s="216"/>
      <c r="D1020" s="216"/>
      <c r="E1020" s="216"/>
      <c r="F1020" s="216"/>
      <c r="G1020" s="435"/>
      <c r="H1020" s="216"/>
      <c r="I1020" s="435"/>
    </row>
    <row r="1021" spans="1:9" ht="12.75">
      <c r="A1021" s="669"/>
      <c r="B1021" s="670"/>
      <c r="C1021" s="216"/>
      <c r="D1021" s="216"/>
      <c r="E1021" s="216"/>
      <c r="F1021" s="216"/>
      <c r="G1021" s="435"/>
      <c r="H1021" s="216"/>
      <c r="I1021" s="435"/>
    </row>
    <row r="1022" spans="1:9" ht="12.75">
      <c r="A1022" s="669"/>
      <c r="B1022" s="670"/>
      <c r="C1022" s="216"/>
      <c r="D1022" s="216"/>
      <c r="E1022" s="216"/>
      <c r="F1022" s="216"/>
      <c r="G1022" s="435"/>
      <c r="H1022" s="216"/>
      <c r="I1022" s="435"/>
    </row>
    <row r="1023" spans="1:9" ht="12.75">
      <c r="A1023" s="669"/>
      <c r="B1023" s="670"/>
      <c r="C1023" s="216"/>
      <c r="D1023" s="216"/>
      <c r="E1023" s="216"/>
      <c r="F1023" s="216"/>
      <c r="G1023" s="435"/>
      <c r="H1023" s="216"/>
      <c r="I1023" s="435"/>
    </row>
    <row r="1024" spans="1:9" ht="12.75">
      <c r="A1024" s="669"/>
      <c r="B1024" s="670"/>
      <c r="C1024" s="216"/>
      <c r="D1024" s="216"/>
      <c r="E1024" s="216"/>
      <c r="F1024" s="216"/>
      <c r="G1024" s="435"/>
      <c r="H1024" s="216"/>
      <c r="I1024" s="435"/>
    </row>
    <row r="1025" spans="1:9" ht="12.75">
      <c r="A1025" s="669"/>
      <c r="B1025" s="670"/>
      <c r="C1025" s="216"/>
      <c r="D1025" s="216"/>
      <c r="E1025" s="216"/>
      <c r="F1025" s="216"/>
      <c r="G1025" s="435"/>
      <c r="H1025" s="216"/>
      <c r="I1025" s="435"/>
    </row>
    <row r="1026" spans="1:9" ht="12.75">
      <c r="A1026" s="669"/>
      <c r="B1026" s="670"/>
      <c r="C1026" s="216"/>
      <c r="D1026" s="216"/>
      <c r="E1026" s="216"/>
      <c r="F1026" s="216"/>
      <c r="G1026" s="435"/>
      <c r="H1026" s="216"/>
      <c r="I1026" s="435"/>
    </row>
    <row r="1027" spans="1:9" ht="12.75">
      <c r="A1027" s="669"/>
      <c r="B1027" s="670"/>
      <c r="C1027" s="216"/>
      <c r="D1027" s="216"/>
      <c r="E1027" s="216"/>
      <c r="F1027" s="216"/>
      <c r="G1027" s="435"/>
      <c r="H1027" s="216"/>
      <c r="I1027" s="435"/>
    </row>
    <row r="1028" spans="1:9" ht="12.75">
      <c r="A1028" s="669"/>
      <c r="B1028" s="670"/>
      <c r="C1028" s="216"/>
      <c r="D1028" s="216"/>
      <c r="E1028" s="216"/>
      <c r="F1028" s="216"/>
      <c r="G1028" s="435"/>
      <c r="H1028" s="216"/>
      <c r="I1028" s="435"/>
    </row>
    <row r="1029" spans="1:9" ht="12.75">
      <c r="A1029" s="669"/>
      <c r="B1029" s="670"/>
      <c r="C1029" s="216"/>
      <c r="D1029" s="216"/>
      <c r="E1029" s="216"/>
      <c r="F1029" s="216"/>
      <c r="G1029" s="435"/>
      <c r="H1029" s="216"/>
      <c r="I1029" s="435"/>
    </row>
    <row r="1030" spans="1:9" ht="12.75">
      <c r="A1030" s="669"/>
      <c r="B1030" s="670"/>
      <c r="C1030" s="216"/>
      <c r="D1030" s="216"/>
      <c r="E1030" s="216"/>
      <c r="F1030" s="216"/>
      <c r="G1030" s="435"/>
      <c r="H1030" s="216"/>
      <c r="I1030" s="435"/>
    </row>
    <row r="1031" spans="1:9" ht="12.75">
      <c r="A1031" s="669"/>
      <c r="B1031" s="670"/>
      <c r="C1031" s="216"/>
      <c r="D1031" s="216"/>
      <c r="E1031" s="216"/>
      <c r="F1031" s="216"/>
      <c r="G1031" s="435"/>
      <c r="H1031" s="216"/>
      <c r="I1031" s="435"/>
    </row>
    <row r="1032" spans="1:9" ht="12.75">
      <c r="A1032" s="669"/>
      <c r="B1032" s="670"/>
      <c r="C1032" s="216"/>
      <c r="D1032" s="216"/>
      <c r="E1032" s="216"/>
      <c r="F1032" s="216"/>
      <c r="G1032" s="435"/>
      <c r="H1032" s="216"/>
      <c r="I1032" s="435"/>
    </row>
    <row r="1033" spans="1:9" ht="12.75">
      <c r="A1033" s="669"/>
      <c r="B1033" s="670"/>
      <c r="C1033" s="216"/>
      <c r="D1033" s="216"/>
      <c r="E1033" s="216"/>
      <c r="F1033" s="216"/>
      <c r="G1033" s="435"/>
      <c r="H1033" s="216"/>
      <c r="I1033" s="435"/>
    </row>
    <row r="1034" spans="1:9" ht="12.75">
      <c r="A1034" s="669"/>
      <c r="B1034" s="670"/>
      <c r="C1034" s="216"/>
      <c r="D1034" s="216"/>
      <c r="E1034" s="216"/>
      <c r="F1034" s="216"/>
      <c r="G1034" s="435"/>
      <c r="H1034" s="216"/>
      <c r="I1034" s="435"/>
    </row>
    <row r="1035" spans="1:9" ht="12.75">
      <c r="A1035" s="669"/>
      <c r="B1035" s="670"/>
      <c r="C1035" s="216"/>
      <c r="D1035" s="216"/>
      <c r="E1035" s="216"/>
      <c r="F1035" s="216"/>
      <c r="G1035" s="435"/>
      <c r="H1035" s="216"/>
      <c r="I1035" s="435"/>
    </row>
    <row r="1036" spans="1:9" ht="12.75">
      <c r="A1036" s="669"/>
      <c r="B1036" s="670"/>
      <c r="C1036" s="216"/>
      <c r="D1036" s="216"/>
      <c r="E1036" s="216"/>
      <c r="F1036" s="216"/>
      <c r="G1036" s="435"/>
      <c r="H1036" s="216"/>
      <c r="I1036" s="435"/>
    </row>
    <row r="1037" spans="1:9" ht="12.75">
      <c r="A1037" s="669"/>
      <c r="B1037" s="670"/>
      <c r="C1037" s="216"/>
      <c r="D1037" s="216"/>
      <c r="E1037" s="216"/>
      <c r="F1037" s="216"/>
      <c r="G1037" s="435"/>
      <c r="H1037" s="216"/>
      <c r="I1037" s="435"/>
    </row>
    <row r="1038" spans="1:9" ht="12.75">
      <c r="A1038" s="669"/>
      <c r="B1038" s="670"/>
      <c r="C1038" s="216"/>
      <c r="D1038" s="216"/>
      <c r="E1038" s="216"/>
      <c r="F1038" s="216"/>
      <c r="G1038" s="435"/>
      <c r="H1038" s="216"/>
      <c r="I1038" s="435"/>
    </row>
    <row r="1039" spans="1:9" ht="12.75">
      <c r="A1039" s="669"/>
      <c r="B1039" s="670"/>
      <c r="C1039" s="216"/>
      <c r="D1039" s="216"/>
      <c r="E1039" s="216"/>
      <c r="F1039" s="216"/>
      <c r="G1039" s="435"/>
      <c r="H1039" s="216"/>
      <c r="I1039" s="435"/>
    </row>
    <row r="1040" spans="1:9" ht="12.75">
      <c r="A1040" s="669"/>
      <c r="B1040" s="670"/>
      <c r="C1040" s="216"/>
      <c r="D1040" s="216"/>
      <c r="E1040" s="216"/>
      <c r="F1040" s="216"/>
      <c r="G1040" s="435"/>
      <c r="H1040" s="216"/>
      <c r="I1040" s="435"/>
    </row>
    <row r="1041" spans="1:9" ht="12.75">
      <c r="A1041" s="669"/>
      <c r="B1041" s="670"/>
      <c r="C1041" s="216"/>
      <c r="D1041" s="216"/>
      <c r="E1041" s="216"/>
      <c r="F1041" s="216"/>
      <c r="G1041" s="435"/>
      <c r="H1041" s="216"/>
      <c r="I1041" s="435"/>
    </row>
    <row r="1042" spans="1:9" ht="12.75">
      <c r="A1042" s="669"/>
      <c r="B1042" s="670"/>
      <c r="C1042" s="216"/>
      <c r="D1042" s="216"/>
      <c r="E1042" s="216"/>
      <c r="F1042" s="216"/>
      <c r="G1042" s="435"/>
      <c r="H1042" s="216"/>
      <c r="I1042" s="435"/>
    </row>
    <row r="1043" spans="1:9" ht="12.75">
      <c r="A1043" s="669"/>
      <c r="B1043" s="670"/>
      <c r="C1043" s="216"/>
      <c r="D1043" s="216"/>
      <c r="E1043" s="216"/>
      <c r="F1043" s="216"/>
      <c r="G1043" s="435"/>
      <c r="H1043" s="216"/>
      <c r="I1043" s="435"/>
    </row>
    <row r="1044" spans="1:9" ht="12.75">
      <c r="A1044" s="669"/>
      <c r="B1044" s="670"/>
      <c r="C1044" s="216"/>
      <c r="D1044" s="216"/>
      <c r="E1044" s="216"/>
      <c r="F1044" s="216"/>
      <c r="G1044" s="435"/>
      <c r="H1044" s="216"/>
      <c r="I1044" s="435"/>
    </row>
    <row r="1045" spans="1:9" ht="12.75">
      <c r="A1045" s="669"/>
      <c r="B1045" s="670"/>
      <c r="C1045" s="216"/>
      <c r="D1045" s="216"/>
      <c r="E1045" s="216"/>
      <c r="F1045" s="216"/>
      <c r="G1045" s="435"/>
      <c r="H1045" s="216"/>
      <c r="I1045" s="435"/>
    </row>
    <row r="1046" spans="1:9" ht="12.75">
      <c r="A1046" s="669"/>
      <c r="B1046" s="670"/>
      <c r="C1046" s="216"/>
      <c r="D1046" s="216"/>
      <c r="E1046" s="216"/>
      <c r="F1046" s="216"/>
      <c r="G1046" s="435"/>
      <c r="H1046" s="216"/>
      <c r="I1046" s="435"/>
    </row>
    <row r="1047" spans="1:9" ht="12.75">
      <c r="A1047" s="669"/>
      <c r="B1047" s="670"/>
      <c r="C1047" s="216"/>
      <c r="D1047" s="216"/>
      <c r="E1047" s="216"/>
      <c r="F1047" s="216"/>
      <c r="G1047" s="435"/>
      <c r="H1047" s="216"/>
      <c r="I1047" s="435"/>
    </row>
    <row r="1048" spans="1:9" ht="12.75">
      <c r="A1048" s="669"/>
      <c r="B1048" s="670"/>
      <c r="C1048" s="216"/>
      <c r="D1048" s="216"/>
      <c r="E1048" s="216"/>
      <c r="F1048" s="216"/>
      <c r="G1048" s="435"/>
      <c r="H1048" s="216"/>
      <c r="I1048" s="435"/>
    </row>
    <row r="1049" spans="1:9" ht="12.75">
      <c r="A1049" s="669"/>
      <c r="B1049" s="670"/>
      <c r="C1049" s="216"/>
      <c r="D1049" s="216"/>
      <c r="E1049" s="216"/>
      <c r="F1049" s="216"/>
      <c r="G1049" s="435"/>
      <c r="H1049" s="216"/>
      <c r="I1049" s="435"/>
    </row>
    <row r="1050" spans="1:9" ht="12.75">
      <c r="A1050" s="669"/>
      <c r="B1050" s="670"/>
      <c r="C1050" s="216"/>
      <c r="D1050" s="216"/>
      <c r="E1050" s="216"/>
      <c r="F1050" s="216"/>
      <c r="G1050" s="435"/>
      <c r="H1050" s="216"/>
      <c r="I1050" s="435"/>
    </row>
    <row r="1051" spans="1:9" ht="12.75">
      <c r="A1051" s="669"/>
      <c r="B1051" s="670"/>
      <c r="C1051" s="216"/>
      <c r="D1051" s="216"/>
      <c r="E1051" s="216"/>
      <c r="F1051" s="216"/>
      <c r="G1051" s="435"/>
      <c r="H1051" s="216"/>
      <c r="I1051" s="435"/>
    </row>
    <row r="1052" spans="1:9" ht="12.75">
      <c r="A1052" s="669"/>
      <c r="B1052" s="670"/>
      <c r="C1052" s="216"/>
      <c r="D1052" s="216"/>
      <c r="E1052" s="216"/>
      <c r="F1052" s="216"/>
      <c r="G1052" s="435"/>
      <c r="H1052" s="216"/>
      <c r="I1052" s="435"/>
    </row>
    <row r="1053" spans="1:9" ht="12.75">
      <c r="A1053" s="669"/>
      <c r="B1053" s="670"/>
      <c r="C1053" s="216"/>
      <c r="D1053" s="216"/>
      <c r="E1053" s="216"/>
      <c r="F1053" s="216"/>
      <c r="G1053" s="435"/>
      <c r="H1053" s="216"/>
      <c r="I1053" s="435"/>
    </row>
    <row r="1054" spans="1:9" ht="12.75">
      <c r="A1054" s="669"/>
      <c r="B1054" s="670"/>
      <c r="C1054" s="216"/>
      <c r="D1054" s="216"/>
      <c r="E1054" s="216"/>
      <c r="F1054" s="216"/>
      <c r="G1054" s="435"/>
      <c r="H1054" s="216"/>
      <c r="I1054" s="435"/>
    </row>
    <row r="1055" spans="1:9" ht="12.75">
      <c r="A1055" s="669"/>
      <c r="B1055" s="670"/>
      <c r="C1055" s="216"/>
      <c r="D1055" s="216"/>
      <c r="E1055" s="216"/>
      <c r="F1055" s="216"/>
      <c r="G1055" s="435"/>
      <c r="H1055" s="216"/>
      <c r="I1055" s="435"/>
    </row>
    <row r="1056" spans="1:9" ht="12.75">
      <c r="A1056" s="669"/>
      <c r="B1056" s="670"/>
      <c r="C1056" s="216"/>
      <c r="D1056" s="216"/>
      <c r="E1056" s="216"/>
      <c r="F1056" s="216"/>
      <c r="G1056" s="435"/>
      <c r="H1056" s="216"/>
      <c r="I1056" s="435"/>
    </row>
    <row r="1057" spans="1:9" ht="12.75">
      <c r="A1057" s="669"/>
      <c r="B1057" s="670"/>
      <c r="C1057" s="216"/>
      <c r="D1057" s="216"/>
      <c r="E1057" s="216"/>
      <c r="F1057" s="216"/>
      <c r="G1057" s="435"/>
      <c r="H1057" s="216"/>
      <c r="I1057" s="435"/>
    </row>
    <row r="1058" spans="1:9" ht="12.75">
      <c r="A1058" s="669"/>
      <c r="B1058" s="670"/>
      <c r="C1058" s="216"/>
      <c r="D1058" s="216"/>
      <c r="E1058" s="216"/>
      <c r="F1058" s="216"/>
      <c r="G1058" s="435"/>
      <c r="H1058" s="216"/>
      <c r="I1058" s="435"/>
    </row>
    <row r="1059" spans="1:9" ht="12.75">
      <c r="A1059" s="669"/>
      <c r="B1059" s="670"/>
      <c r="C1059" s="216"/>
      <c r="D1059" s="216"/>
      <c r="E1059" s="216"/>
      <c r="F1059" s="216"/>
      <c r="G1059" s="435"/>
      <c r="H1059" s="216"/>
      <c r="I1059" s="435"/>
    </row>
    <row r="1060" spans="1:9" ht="12.75">
      <c r="A1060" s="669"/>
      <c r="B1060" s="670"/>
      <c r="C1060" s="216"/>
      <c r="D1060" s="216"/>
      <c r="E1060" s="216"/>
      <c r="F1060" s="216"/>
      <c r="G1060" s="435"/>
      <c r="H1060" s="216"/>
      <c r="I1060" s="435"/>
    </row>
    <row r="1061" spans="1:9" ht="12.75">
      <c r="A1061" s="669"/>
      <c r="B1061" s="670"/>
      <c r="C1061" s="216"/>
      <c r="D1061" s="216"/>
      <c r="E1061" s="216"/>
      <c r="F1061" s="216"/>
      <c r="G1061" s="435"/>
      <c r="H1061" s="216"/>
      <c r="I1061" s="435"/>
    </row>
    <row r="1062" spans="1:9" ht="12.75">
      <c r="A1062" s="669"/>
      <c r="B1062" s="670"/>
      <c r="C1062" s="216"/>
      <c r="D1062" s="216"/>
      <c r="E1062" s="216"/>
      <c r="F1062" s="216"/>
      <c r="G1062" s="435"/>
      <c r="H1062" s="216"/>
      <c r="I1062" s="435"/>
    </row>
    <row r="1063" spans="1:9" ht="12.75">
      <c r="A1063" s="669"/>
      <c r="B1063" s="670"/>
      <c r="C1063" s="216"/>
      <c r="D1063" s="216"/>
      <c r="E1063" s="216"/>
      <c r="F1063" s="216"/>
      <c r="G1063" s="435"/>
      <c r="H1063" s="216"/>
      <c r="I1063" s="435"/>
    </row>
    <row r="1064" spans="1:9" ht="12.75">
      <c r="A1064" s="669"/>
      <c r="B1064" s="670"/>
      <c r="C1064" s="216"/>
      <c r="D1064" s="216"/>
      <c r="E1064" s="216"/>
      <c r="F1064" s="216"/>
      <c r="G1064" s="435"/>
      <c r="H1064" s="216"/>
      <c r="I1064" s="435"/>
    </row>
    <row r="1065" spans="1:9" ht="12.75">
      <c r="A1065" s="669"/>
      <c r="B1065" s="670"/>
      <c r="C1065" s="216"/>
      <c r="D1065" s="216"/>
      <c r="E1065" s="216"/>
      <c r="F1065" s="216"/>
      <c r="G1065" s="435"/>
      <c r="H1065" s="216"/>
      <c r="I1065" s="435"/>
    </row>
    <row r="1066" spans="1:9" ht="12.75">
      <c r="A1066" s="669"/>
      <c r="B1066" s="670"/>
      <c r="C1066" s="216"/>
      <c r="D1066" s="216"/>
      <c r="E1066" s="216"/>
      <c r="F1066" s="216"/>
      <c r="G1066" s="435"/>
      <c r="H1066" s="216"/>
      <c r="I1066" s="435"/>
    </row>
    <row r="1067" spans="1:9" ht="12.75">
      <c r="A1067" s="669"/>
      <c r="B1067" s="670"/>
      <c r="C1067" s="216"/>
      <c r="D1067" s="216"/>
      <c r="E1067" s="216"/>
      <c r="F1067" s="216"/>
      <c r="G1067" s="435"/>
      <c r="H1067" s="216"/>
      <c r="I1067" s="435"/>
    </row>
    <row r="1068" spans="1:9" ht="12.75">
      <c r="A1068" s="669"/>
      <c r="B1068" s="670"/>
      <c r="C1068" s="216"/>
      <c r="D1068" s="216"/>
      <c r="E1068" s="216"/>
      <c r="F1068" s="216"/>
      <c r="G1068" s="435"/>
      <c r="H1068" s="216"/>
      <c r="I1068" s="435"/>
    </row>
    <row r="1069" spans="1:9" ht="12.75">
      <c r="A1069" s="669"/>
      <c r="B1069" s="670"/>
      <c r="C1069" s="216"/>
      <c r="D1069" s="216"/>
      <c r="E1069" s="216"/>
      <c r="F1069" s="216"/>
      <c r="G1069" s="435"/>
      <c r="H1069" s="216"/>
      <c r="I1069" s="435"/>
    </row>
    <row r="1070" spans="1:9" ht="12.75">
      <c r="A1070" s="669"/>
      <c r="B1070" s="670"/>
      <c r="C1070" s="216"/>
      <c r="D1070" s="216"/>
      <c r="E1070" s="216"/>
      <c r="F1070" s="216"/>
      <c r="G1070" s="435"/>
      <c r="H1070" s="216"/>
      <c r="I1070" s="435"/>
    </row>
    <row r="1071" spans="1:9" ht="12.75">
      <c r="A1071" s="669"/>
      <c r="B1071" s="670"/>
      <c r="C1071" s="216"/>
      <c r="D1071" s="216"/>
      <c r="E1071" s="216"/>
      <c r="F1071" s="216"/>
      <c r="G1071" s="435"/>
      <c r="H1071" s="216"/>
      <c r="I1071" s="435"/>
    </row>
    <row r="1072" spans="1:9" ht="12.75">
      <c r="A1072" s="669"/>
      <c r="B1072" s="670"/>
      <c r="C1072" s="216"/>
      <c r="D1072" s="216"/>
      <c r="E1072" s="216"/>
      <c r="F1072" s="216"/>
      <c r="G1072" s="435"/>
      <c r="H1072" s="216"/>
      <c r="I1072" s="435"/>
    </row>
    <row r="1073" spans="1:9" ht="12.75">
      <c r="A1073" s="669"/>
      <c r="B1073" s="670"/>
      <c r="C1073" s="216"/>
      <c r="D1073" s="216"/>
      <c r="E1073" s="216"/>
      <c r="F1073" s="216"/>
      <c r="G1073" s="435"/>
      <c r="H1073" s="216"/>
      <c r="I1073" s="435"/>
    </row>
    <row r="1074" spans="1:9" ht="12.75">
      <c r="A1074" s="669"/>
      <c r="B1074" s="670"/>
      <c r="C1074" s="216"/>
      <c r="D1074" s="216"/>
      <c r="E1074" s="216"/>
      <c r="F1074" s="216"/>
      <c r="G1074" s="435"/>
      <c r="H1074" s="216"/>
      <c r="I1074" s="435"/>
    </row>
    <row r="1075" spans="1:9" ht="12.75">
      <c r="A1075" s="669"/>
      <c r="B1075" s="670"/>
      <c r="C1075" s="216"/>
      <c r="D1075" s="216"/>
      <c r="E1075" s="216"/>
      <c r="F1075" s="216"/>
      <c r="G1075" s="435"/>
      <c r="H1075" s="216"/>
      <c r="I1075" s="435"/>
    </row>
    <row r="1076" spans="1:9" ht="12.75">
      <c r="A1076" s="669"/>
      <c r="B1076" s="670"/>
      <c r="C1076" s="216"/>
      <c r="D1076" s="216"/>
      <c r="E1076" s="216"/>
      <c r="F1076" s="216"/>
      <c r="G1076" s="435"/>
      <c r="H1076" s="216"/>
      <c r="I1076" s="435"/>
    </row>
    <row r="1077" spans="1:9" ht="12.75">
      <c r="A1077" s="669"/>
      <c r="B1077" s="670"/>
      <c r="C1077" s="216"/>
      <c r="D1077" s="216"/>
      <c r="E1077" s="216"/>
      <c r="F1077" s="216"/>
      <c r="G1077" s="435"/>
      <c r="H1077" s="216"/>
      <c r="I1077" s="435"/>
    </row>
    <row r="1078" spans="1:9" ht="12.75">
      <c r="A1078" s="669"/>
      <c r="B1078" s="670"/>
      <c r="C1078" s="216"/>
      <c r="D1078" s="216"/>
      <c r="E1078" s="216"/>
      <c r="F1078" s="216"/>
      <c r="G1078" s="435"/>
      <c r="H1078" s="216"/>
      <c r="I1078" s="435"/>
    </row>
    <row r="1079" spans="1:9" ht="12.75">
      <c r="A1079" s="669"/>
      <c r="B1079" s="670"/>
      <c r="C1079" s="216"/>
      <c r="D1079" s="216"/>
      <c r="E1079" s="216"/>
      <c r="F1079" s="216"/>
      <c r="G1079" s="435"/>
      <c r="H1079" s="216"/>
      <c r="I1079" s="435"/>
    </row>
    <row r="1080" spans="1:9" ht="12.75">
      <c r="A1080" s="669"/>
      <c r="B1080" s="670"/>
      <c r="C1080" s="216"/>
      <c r="D1080" s="216"/>
      <c r="E1080" s="216"/>
      <c r="F1080" s="216"/>
      <c r="G1080" s="435"/>
      <c r="H1080" s="216"/>
      <c r="I1080" s="435"/>
    </row>
    <row r="1081" spans="1:9" ht="12.75">
      <c r="A1081" s="669"/>
      <c r="B1081" s="670"/>
      <c r="C1081" s="216"/>
      <c r="D1081" s="216"/>
      <c r="E1081" s="216"/>
      <c r="F1081" s="216"/>
      <c r="G1081" s="435"/>
      <c r="H1081" s="216"/>
      <c r="I1081" s="435"/>
    </row>
    <row r="1082" spans="1:9" ht="12.75">
      <c r="A1082" s="669"/>
      <c r="B1082" s="670"/>
      <c r="C1082" s="216"/>
      <c r="D1082" s="216"/>
      <c r="E1082" s="216"/>
      <c r="F1082" s="216"/>
      <c r="G1082" s="435"/>
      <c r="H1082" s="216"/>
      <c r="I1082" s="435"/>
    </row>
    <row r="1083" spans="1:9" ht="12.75">
      <c r="A1083" s="669"/>
      <c r="B1083" s="670"/>
      <c r="C1083" s="216"/>
      <c r="D1083" s="216"/>
      <c r="E1083" s="216"/>
      <c r="F1083" s="216"/>
      <c r="G1083" s="435"/>
      <c r="H1083" s="216"/>
      <c r="I1083" s="435"/>
    </row>
    <row r="1084" spans="1:9" ht="12.75">
      <c r="A1084" s="669"/>
      <c r="B1084" s="670"/>
      <c r="C1084" s="216"/>
      <c r="D1084" s="216"/>
      <c r="E1084" s="216"/>
      <c r="F1084" s="216"/>
      <c r="G1084" s="435"/>
      <c r="H1084" s="216"/>
      <c r="I1084" s="435"/>
    </row>
    <row r="1085" spans="1:9" ht="12.75">
      <c r="A1085" s="669"/>
      <c r="B1085" s="670"/>
      <c r="C1085" s="216"/>
      <c r="D1085" s="216"/>
      <c r="E1085" s="216"/>
      <c r="F1085" s="216"/>
      <c r="G1085" s="435"/>
      <c r="H1085" s="216"/>
      <c r="I1085" s="435"/>
    </row>
    <row r="1086" spans="1:9" ht="12.75">
      <c r="A1086" s="669"/>
      <c r="B1086" s="670"/>
      <c r="C1086" s="216"/>
      <c r="D1086" s="216"/>
      <c r="E1086" s="216"/>
      <c r="F1086" s="216"/>
      <c r="G1086" s="435"/>
      <c r="H1086" s="216"/>
      <c r="I1086" s="435"/>
    </row>
    <row r="1087" spans="1:9" ht="12.75">
      <c r="A1087" s="669"/>
      <c r="B1087" s="670"/>
      <c r="C1087" s="216"/>
      <c r="D1087" s="216"/>
      <c r="E1087" s="216"/>
      <c r="F1087" s="216"/>
      <c r="G1087" s="435"/>
      <c r="H1087" s="216"/>
      <c r="I1087" s="435"/>
    </row>
    <row r="1088" spans="1:9" ht="12.75">
      <c r="A1088" s="669"/>
      <c r="B1088" s="670"/>
      <c r="C1088" s="216"/>
      <c r="D1088" s="216"/>
      <c r="E1088" s="216"/>
      <c r="F1088" s="216"/>
      <c r="G1088" s="435"/>
      <c r="H1088" s="216"/>
      <c r="I1088" s="435"/>
    </row>
    <row r="1089" spans="1:9" ht="12.75">
      <c r="A1089" s="669"/>
      <c r="B1089" s="670"/>
      <c r="C1089" s="216"/>
      <c r="D1089" s="216"/>
      <c r="E1089" s="216"/>
      <c r="F1089" s="216"/>
      <c r="G1089" s="435"/>
      <c r="H1089" s="216"/>
      <c r="I1089" s="435"/>
    </row>
    <row r="1090" spans="1:9" ht="12.75">
      <c r="A1090" s="669"/>
      <c r="B1090" s="670"/>
      <c r="C1090" s="216"/>
      <c r="D1090" s="216"/>
      <c r="E1090" s="216"/>
      <c r="F1090" s="216"/>
      <c r="G1090" s="435"/>
      <c r="H1090" s="216"/>
      <c r="I1090" s="435"/>
    </row>
    <row r="1091" spans="1:9" ht="12.75">
      <c r="A1091" s="669"/>
      <c r="B1091" s="670"/>
      <c r="C1091" s="216"/>
      <c r="D1091" s="216"/>
      <c r="E1091" s="216"/>
      <c r="F1091" s="216"/>
      <c r="G1091" s="435"/>
      <c r="H1091" s="216"/>
      <c r="I1091" s="435"/>
    </row>
    <row r="1092" spans="1:9" ht="12.75">
      <c r="A1092" s="669"/>
      <c r="B1092" s="670"/>
      <c r="C1092" s="216"/>
      <c r="D1092" s="216"/>
      <c r="E1092" s="216"/>
      <c r="F1092" s="216"/>
      <c r="G1092" s="435"/>
      <c r="H1092" s="216"/>
      <c r="I1092" s="435"/>
    </row>
    <row r="1093" spans="1:9" ht="12.75">
      <c r="A1093" s="669"/>
      <c r="B1093" s="670"/>
      <c r="C1093" s="216"/>
      <c r="D1093" s="216"/>
      <c r="E1093" s="216"/>
      <c r="F1093" s="216"/>
      <c r="G1093" s="435"/>
      <c r="H1093" s="216"/>
      <c r="I1093" s="435"/>
    </row>
    <row r="1094" spans="1:9" ht="12.75">
      <c r="A1094" s="669"/>
      <c r="B1094" s="670"/>
      <c r="C1094" s="216"/>
      <c r="D1094" s="216"/>
      <c r="E1094" s="216"/>
      <c r="F1094" s="216"/>
      <c r="G1094" s="435"/>
      <c r="H1094" s="216"/>
      <c r="I1094" s="435"/>
    </row>
    <row r="1095" spans="1:9" ht="12.75">
      <c r="A1095" s="669"/>
      <c r="B1095" s="670"/>
      <c r="C1095" s="216"/>
      <c r="D1095" s="216"/>
      <c r="E1095" s="216"/>
      <c r="F1095" s="216"/>
      <c r="G1095" s="435"/>
      <c r="H1095" s="216"/>
      <c r="I1095" s="435"/>
    </row>
    <row r="1096" spans="1:9" ht="12.75">
      <c r="A1096" s="669"/>
      <c r="B1096" s="670"/>
      <c r="C1096" s="216"/>
      <c r="D1096" s="216"/>
      <c r="E1096" s="216"/>
      <c r="F1096" s="216"/>
      <c r="G1096" s="435"/>
      <c r="H1096" s="216"/>
      <c r="I1096" s="435"/>
    </row>
    <row r="1097" spans="1:9" ht="12.75">
      <c r="A1097" s="669"/>
      <c r="B1097" s="670"/>
      <c r="C1097" s="216"/>
      <c r="D1097" s="216"/>
      <c r="E1097" s="216"/>
      <c r="F1097" s="216"/>
      <c r="G1097" s="435"/>
      <c r="H1097" s="216"/>
      <c r="I1097" s="435"/>
    </row>
    <row r="1098" spans="1:9" ht="12.75">
      <c r="A1098" s="669"/>
      <c r="B1098" s="670"/>
      <c r="C1098" s="216"/>
      <c r="D1098" s="216"/>
      <c r="E1098" s="216"/>
      <c r="F1098" s="216"/>
      <c r="G1098" s="435"/>
      <c r="H1098" s="216"/>
      <c r="I1098" s="435"/>
    </row>
    <row r="1099" spans="1:9" ht="12.75">
      <c r="A1099" s="669"/>
      <c r="B1099" s="670"/>
      <c r="C1099" s="216"/>
      <c r="D1099" s="216"/>
      <c r="E1099" s="216"/>
      <c r="F1099" s="216"/>
      <c r="G1099" s="435"/>
      <c r="H1099" s="216"/>
      <c r="I1099" s="435"/>
    </row>
    <row r="1100" spans="1:9" ht="12.75">
      <c r="A1100" s="669"/>
      <c r="B1100" s="670"/>
      <c r="C1100" s="216"/>
      <c r="D1100" s="216"/>
      <c r="E1100" s="216"/>
      <c r="F1100" s="216"/>
      <c r="G1100" s="435"/>
      <c r="H1100" s="216"/>
      <c r="I1100" s="435"/>
    </row>
    <row r="1101" spans="1:9" ht="12.75">
      <c r="A1101" s="669"/>
      <c r="B1101" s="670"/>
      <c r="C1101" s="216"/>
      <c r="D1101" s="216"/>
      <c r="E1101" s="216"/>
      <c r="F1101" s="216"/>
      <c r="G1101" s="435"/>
      <c r="H1101" s="216"/>
      <c r="I1101" s="435"/>
    </row>
    <row r="1102" spans="1:9" ht="12.75">
      <c r="A1102" s="669"/>
      <c r="B1102" s="670"/>
      <c r="C1102" s="216"/>
      <c r="D1102" s="216"/>
      <c r="E1102" s="216"/>
      <c r="F1102" s="216"/>
      <c r="G1102" s="435"/>
      <c r="H1102" s="216"/>
      <c r="I1102" s="435"/>
    </row>
    <row r="1103" spans="1:9" ht="12.75">
      <c r="A1103" s="669"/>
      <c r="B1103" s="670"/>
      <c r="C1103" s="216"/>
      <c r="D1103" s="216"/>
      <c r="E1103" s="216"/>
      <c r="F1103" s="216"/>
      <c r="G1103" s="435"/>
      <c r="H1103" s="216"/>
      <c r="I1103" s="435"/>
    </row>
    <row r="1104" spans="1:9" ht="12.75">
      <c r="A1104" s="669"/>
      <c r="B1104" s="670"/>
      <c r="C1104" s="216"/>
      <c r="D1104" s="216"/>
      <c r="E1104" s="216"/>
      <c r="F1104" s="216"/>
      <c r="G1104" s="435"/>
      <c r="H1104" s="216"/>
      <c r="I1104" s="435"/>
    </row>
    <row r="1105" spans="1:9" ht="12.75">
      <c r="A1105" s="669"/>
      <c r="B1105" s="670"/>
      <c r="C1105" s="216"/>
      <c r="D1105" s="216"/>
      <c r="E1105" s="216"/>
      <c r="F1105" s="216"/>
      <c r="G1105" s="435"/>
      <c r="H1105" s="216"/>
      <c r="I1105" s="435"/>
    </row>
    <row r="1106" spans="1:9" ht="12.75">
      <c r="A1106" s="669"/>
      <c r="B1106" s="670"/>
      <c r="C1106" s="216"/>
      <c r="D1106" s="216"/>
      <c r="E1106" s="216"/>
      <c r="F1106" s="216"/>
      <c r="G1106" s="435"/>
      <c r="H1106" s="216"/>
      <c r="I1106" s="435"/>
    </row>
    <row r="1107" spans="1:9" ht="12.75">
      <c r="A1107" s="669"/>
      <c r="B1107" s="670"/>
      <c r="C1107" s="216"/>
      <c r="D1107" s="216"/>
      <c r="E1107" s="216"/>
      <c r="F1107" s="216"/>
      <c r="G1107" s="435"/>
      <c r="H1107" s="216"/>
      <c r="I1107" s="435"/>
    </row>
    <row r="1108" spans="1:9" ht="12.75">
      <c r="A1108" s="669"/>
      <c r="B1108" s="670"/>
      <c r="C1108" s="216"/>
      <c r="D1108" s="216"/>
      <c r="E1108" s="216"/>
      <c r="F1108" s="216"/>
      <c r="G1108" s="435"/>
      <c r="H1108" s="216"/>
      <c r="I1108" s="435"/>
    </row>
    <row r="1109" spans="1:9" ht="12.75">
      <c r="A1109" s="669"/>
      <c r="B1109" s="670"/>
      <c r="C1109" s="216"/>
      <c r="D1109" s="216"/>
      <c r="E1109" s="216"/>
      <c r="F1109" s="216"/>
      <c r="G1109" s="435"/>
      <c r="H1109" s="216"/>
      <c r="I1109" s="435"/>
    </row>
    <row r="1110" spans="1:9" ht="12.75">
      <c r="A1110" s="669"/>
      <c r="B1110" s="670"/>
      <c r="C1110" s="216"/>
      <c r="D1110" s="216"/>
      <c r="E1110" s="216"/>
      <c r="F1110" s="216"/>
      <c r="G1110" s="435"/>
      <c r="H1110" s="216"/>
      <c r="I1110" s="435"/>
    </row>
    <row r="1111" spans="1:9" ht="12.75">
      <c r="A1111" s="669"/>
      <c r="B1111" s="670"/>
      <c r="C1111" s="216"/>
      <c r="D1111" s="216"/>
      <c r="E1111" s="216"/>
      <c r="F1111" s="216"/>
      <c r="G1111" s="435"/>
      <c r="H1111" s="216"/>
      <c r="I1111" s="435"/>
    </row>
    <row r="1112" spans="1:9" ht="12.75">
      <c r="A1112" s="669"/>
      <c r="B1112" s="670"/>
      <c r="C1112" s="216"/>
      <c r="D1112" s="216"/>
      <c r="E1112" s="216"/>
      <c r="F1112" s="216"/>
      <c r="G1112" s="435"/>
      <c r="H1112" s="216"/>
      <c r="I1112" s="435"/>
    </row>
    <row r="1113" spans="1:9" ht="12.75">
      <c r="A1113" s="669"/>
      <c r="B1113" s="670"/>
      <c r="C1113" s="216"/>
      <c r="D1113" s="216"/>
      <c r="E1113" s="216"/>
      <c r="F1113" s="216"/>
      <c r="G1113" s="435"/>
      <c r="H1113" s="216"/>
      <c r="I1113" s="435"/>
    </row>
    <row r="1114" spans="1:9" ht="12.75">
      <c r="A1114" s="669"/>
      <c r="B1114" s="670"/>
      <c r="C1114" s="216"/>
      <c r="D1114" s="216"/>
      <c r="E1114" s="216"/>
      <c r="F1114" s="216"/>
      <c r="G1114" s="435"/>
      <c r="H1114" s="216"/>
      <c r="I1114" s="435"/>
    </row>
    <row r="1115" spans="1:9" ht="12.75">
      <c r="A1115" s="669"/>
      <c r="B1115" s="670"/>
      <c r="C1115" s="216"/>
      <c r="D1115" s="216"/>
      <c r="E1115" s="216"/>
      <c r="F1115" s="216"/>
      <c r="G1115" s="435"/>
      <c r="H1115" s="216"/>
      <c r="I1115" s="435"/>
    </row>
    <row r="1116" spans="1:9" ht="12.75">
      <c r="A1116" s="669"/>
      <c r="B1116" s="670"/>
      <c r="C1116" s="216"/>
      <c r="D1116" s="216"/>
      <c r="E1116" s="216"/>
      <c r="F1116" s="216"/>
      <c r="G1116" s="435"/>
      <c r="H1116" s="216"/>
      <c r="I1116" s="435"/>
    </row>
    <row r="1117" spans="1:9" ht="12.75">
      <c r="A1117" s="669"/>
      <c r="B1117" s="670"/>
      <c r="C1117" s="216"/>
      <c r="D1117" s="216"/>
      <c r="E1117" s="216"/>
      <c r="F1117" s="216"/>
      <c r="G1117" s="435"/>
      <c r="H1117" s="216"/>
      <c r="I1117" s="435"/>
    </row>
    <row r="1118" spans="1:9" ht="12.75">
      <c r="A1118" s="669"/>
      <c r="B1118" s="670"/>
      <c r="C1118" s="216"/>
      <c r="D1118" s="216"/>
      <c r="E1118" s="216"/>
      <c r="F1118" s="216"/>
      <c r="G1118" s="435"/>
      <c r="H1118" s="216"/>
      <c r="I1118" s="435"/>
    </row>
    <row r="1119" spans="1:9" ht="12.75">
      <c r="A1119" s="669"/>
      <c r="B1119" s="670"/>
      <c r="C1119" s="216"/>
      <c r="D1119" s="216"/>
      <c r="E1119" s="216"/>
      <c r="F1119" s="216"/>
      <c r="G1119" s="435"/>
      <c r="H1119" s="216"/>
      <c r="I1119" s="435"/>
    </row>
    <row r="1120" spans="1:9" ht="12.75">
      <c r="A1120" s="669"/>
      <c r="B1120" s="670"/>
      <c r="C1120" s="216"/>
      <c r="D1120" s="216"/>
      <c r="E1120" s="216"/>
      <c r="F1120" s="216"/>
      <c r="G1120" s="435"/>
      <c r="H1120" s="216"/>
      <c r="I1120" s="435"/>
    </row>
    <row r="1121" spans="1:9" ht="12.75">
      <c r="A1121" s="669"/>
      <c r="B1121" s="670"/>
      <c r="C1121" s="216"/>
      <c r="D1121" s="216"/>
      <c r="E1121" s="216"/>
      <c r="F1121" s="216"/>
      <c r="G1121" s="435"/>
      <c r="H1121" s="216"/>
      <c r="I1121" s="435"/>
    </row>
    <row r="1122" spans="1:9" ht="12.75">
      <c r="A1122" s="669"/>
      <c r="B1122" s="670"/>
      <c r="C1122" s="216"/>
      <c r="D1122" s="216"/>
      <c r="E1122" s="216"/>
      <c r="F1122" s="216"/>
      <c r="G1122" s="435"/>
      <c r="H1122" s="216"/>
      <c r="I1122" s="435"/>
    </row>
    <row r="1123" spans="1:9" ht="12.75">
      <c r="A1123" s="669"/>
      <c r="B1123" s="670"/>
      <c r="C1123" s="216"/>
      <c r="D1123" s="216"/>
      <c r="E1123" s="216"/>
      <c r="F1123" s="216"/>
      <c r="G1123" s="435"/>
      <c r="H1123" s="216"/>
      <c r="I1123" s="435"/>
    </row>
    <row r="1124" spans="1:9" ht="12.75">
      <c r="A1124" s="669"/>
      <c r="B1124" s="670"/>
      <c r="C1124" s="216"/>
      <c r="D1124" s="216"/>
      <c r="E1124" s="216"/>
      <c r="F1124" s="216"/>
      <c r="G1124" s="435"/>
      <c r="H1124" s="216"/>
      <c r="I1124" s="435"/>
    </row>
    <row r="1125" spans="1:9" ht="12.75">
      <c r="A1125" s="669"/>
      <c r="B1125" s="670"/>
      <c r="C1125" s="216"/>
      <c r="D1125" s="216"/>
      <c r="E1125" s="216"/>
      <c r="F1125" s="216"/>
      <c r="G1125" s="435"/>
      <c r="H1125" s="216"/>
      <c r="I1125" s="435"/>
    </row>
    <row r="1126" spans="1:9" ht="12.75">
      <c r="A1126" s="669"/>
      <c r="B1126" s="670"/>
      <c r="C1126" s="216"/>
      <c r="D1126" s="216"/>
      <c r="E1126" s="216"/>
      <c r="F1126" s="216"/>
      <c r="G1126" s="435"/>
      <c r="H1126" s="216"/>
      <c r="I1126" s="435"/>
    </row>
    <row r="1127" spans="1:9" ht="12.75">
      <c r="A1127" s="669"/>
      <c r="B1127" s="670"/>
      <c r="C1127" s="216"/>
      <c r="D1127" s="216"/>
      <c r="E1127" s="216"/>
      <c r="F1127" s="216"/>
      <c r="G1127" s="435"/>
      <c r="H1127" s="216"/>
      <c r="I1127" s="435"/>
    </row>
    <row r="1128" spans="1:9" ht="12.75">
      <c r="A1128" s="669"/>
      <c r="B1128" s="670"/>
      <c r="C1128" s="216"/>
      <c r="D1128" s="216"/>
      <c r="E1128" s="216"/>
      <c r="F1128" s="216"/>
      <c r="G1128" s="435"/>
      <c r="H1128" s="216"/>
      <c r="I1128" s="435"/>
    </row>
    <row r="1129" spans="1:9" ht="12.75">
      <c r="A1129" s="669"/>
      <c r="B1129" s="670"/>
      <c r="C1129" s="216"/>
      <c r="D1129" s="216"/>
      <c r="E1129" s="216"/>
      <c r="F1129" s="216"/>
      <c r="G1129" s="435"/>
      <c r="H1129" s="216"/>
      <c r="I1129" s="435"/>
    </row>
    <row r="1130" spans="1:9" ht="12.75">
      <c r="A1130" s="669"/>
      <c r="B1130" s="670"/>
      <c r="C1130" s="216"/>
      <c r="D1130" s="216"/>
      <c r="E1130" s="216"/>
      <c r="F1130" s="216"/>
      <c r="G1130" s="435"/>
      <c r="H1130" s="216"/>
      <c r="I1130" s="435"/>
    </row>
    <row r="1131" spans="1:9" ht="12.75">
      <c r="A1131" s="669"/>
      <c r="B1131" s="670"/>
      <c r="C1131" s="216"/>
      <c r="D1131" s="216"/>
      <c r="E1131" s="216"/>
      <c r="F1131" s="216"/>
      <c r="G1131" s="435"/>
      <c r="H1131" s="216"/>
      <c r="I1131" s="435"/>
    </row>
    <row r="1132" spans="1:9" ht="12.75">
      <c r="A1132" s="669"/>
      <c r="B1132" s="670"/>
      <c r="C1132" s="216"/>
      <c r="D1132" s="216"/>
      <c r="E1132" s="216"/>
      <c r="F1132" s="216"/>
      <c r="G1132" s="435"/>
      <c r="H1132" s="216"/>
      <c r="I1132" s="435"/>
    </row>
    <row r="1133" spans="1:9" ht="12.75">
      <c r="A1133" s="669"/>
      <c r="B1133" s="670"/>
      <c r="C1133" s="216"/>
      <c r="D1133" s="216"/>
      <c r="E1133" s="216"/>
      <c r="F1133" s="216"/>
      <c r="G1133" s="435"/>
      <c r="H1133" s="216"/>
      <c r="I1133" s="435"/>
    </row>
    <row r="1134" spans="1:9" ht="12.75">
      <c r="A1134" s="669"/>
      <c r="B1134" s="670"/>
      <c r="C1134" s="216"/>
      <c r="D1134" s="216"/>
      <c r="E1134" s="216"/>
      <c r="F1134" s="216"/>
      <c r="G1134" s="435"/>
      <c r="H1134" s="216"/>
      <c r="I1134" s="435"/>
    </row>
    <row r="1135" spans="1:9" ht="12.75">
      <c r="A1135" s="669"/>
      <c r="B1135" s="670"/>
      <c r="C1135" s="216"/>
      <c r="D1135" s="216"/>
      <c r="E1135" s="216"/>
      <c r="F1135" s="216"/>
      <c r="G1135" s="435"/>
      <c r="H1135" s="216"/>
      <c r="I1135" s="435"/>
    </row>
    <row r="1136" spans="1:9" ht="12.75">
      <c r="A1136" s="669"/>
      <c r="B1136" s="670"/>
      <c r="C1136" s="216"/>
      <c r="D1136" s="216"/>
      <c r="E1136" s="216"/>
      <c r="F1136" s="216"/>
      <c r="G1136" s="435"/>
      <c r="H1136" s="216"/>
      <c r="I1136" s="435"/>
    </row>
    <row r="1137" spans="1:9" ht="12.75">
      <c r="A1137" s="669"/>
      <c r="B1137" s="670"/>
      <c r="C1137" s="216"/>
      <c r="D1137" s="216"/>
      <c r="E1137" s="216"/>
      <c r="F1137" s="216"/>
      <c r="G1137" s="435"/>
      <c r="H1137" s="216"/>
      <c r="I1137" s="435"/>
    </row>
    <row r="1138" spans="1:9" ht="12.75">
      <c r="A1138" s="669"/>
      <c r="B1138" s="670"/>
      <c r="C1138" s="216"/>
      <c r="D1138" s="216"/>
      <c r="E1138" s="216"/>
      <c r="F1138" s="216"/>
      <c r="G1138" s="435"/>
      <c r="H1138" s="216"/>
      <c r="I1138" s="435"/>
    </row>
    <row r="1139" spans="1:9" ht="12.75">
      <c r="A1139" s="669"/>
      <c r="B1139" s="670"/>
      <c r="C1139" s="216"/>
      <c r="D1139" s="216"/>
      <c r="E1139" s="216"/>
      <c r="F1139" s="216"/>
      <c r="G1139" s="435"/>
      <c r="H1139" s="216"/>
      <c r="I1139" s="435"/>
    </row>
    <row r="1140" spans="1:9" ht="12.75">
      <c r="A1140" s="669"/>
      <c r="B1140" s="670"/>
      <c r="C1140" s="216"/>
      <c r="D1140" s="216"/>
      <c r="E1140" s="216"/>
      <c r="F1140" s="216"/>
      <c r="G1140" s="435"/>
      <c r="H1140" s="216"/>
      <c r="I1140" s="435"/>
    </row>
    <row r="1141" spans="1:9" ht="12.75">
      <c r="A1141" s="669"/>
      <c r="B1141" s="670"/>
      <c r="C1141" s="216"/>
      <c r="D1141" s="216"/>
      <c r="E1141" s="216"/>
      <c r="F1141" s="216"/>
      <c r="G1141" s="435"/>
      <c r="H1141" s="216"/>
      <c r="I1141" s="435"/>
    </row>
    <row r="1142" spans="1:9" ht="12.75">
      <c r="A1142" s="669"/>
      <c r="B1142" s="670"/>
      <c r="C1142" s="216"/>
      <c r="D1142" s="216"/>
      <c r="E1142" s="216"/>
      <c r="F1142" s="216"/>
      <c r="G1142" s="435"/>
      <c r="H1142" s="216"/>
      <c r="I1142" s="435"/>
    </row>
    <row r="1143" spans="1:9" ht="12.75">
      <c r="A1143" s="669"/>
      <c r="B1143" s="670"/>
      <c r="C1143" s="216"/>
      <c r="D1143" s="216"/>
      <c r="E1143" s="216"/>
      <c r="F1143" s="216"/>
      <c r="G1143" s="435"/>
      <c r="H1143" s="216"/>
      <c r="I1143" s="435"/>
    </row>
    <row r="1144" spans="1:9" ht="12.75">
      <c r="A1144" s="669"/>
      <c r="B1144" s="670"/>
      <c r="C1144" s="216"/>
      <c r="D1144" s="216"/>
      <c r="E1144" s="216"/>
      <c r="F1144" s="216"/>
      <c r="G1144" s="435"/>
      <c r="H1144" s="216"/>
      <c r="I1144" s="435"/>
    </row>
    <row r="1145" spans="1:9" ht="12.75">
      <c r="A1145" s="669"/>
      <c r="B1145" s="670"/>
      <c r="C1145" s="216"/>
      <c r="D1145" s="216"/>
      <c r="E1145" s="216"/>
      <c r="F1145" s="216"/>
      <c r="G1145" s="435"/>
      <c r="H1145" s="216"/>
      <c r="I1145" s="435"/>
    </row>
    <row r="1146" spans="1:9" ht="12.75">
      <c r="A1146" s="669"/>
      <c r="B1146" s="670"/>
      <c r="C1146" s="216"/>
      <c r="D1146" s="216"/>
      <c r="E1146" s="216"/>
      <c r="F1146" s="216"/>
      <c r="G1146" s="435"/>
      <c r="H1146" s="216"/>
      <c r="I1146" s="435"/>
    </row>
    <row r="1147" spans="1:9" ht="12.75">
      <c r="A1147" s="669"/>
      <c r="B1147" s="670"/>
      <c r="C1147" s="216"/>
      <c r="D1147" s="216"/>
      <c r="E1147" s="216"/>
      <c r="F1147" s="216"/>
      <c r="G1147" s="435"/>
      <c r="H1147" s="216"/>
      <c r="I1147" s="435"/>
    </row>
    <row r="1148" spans="1:9" ht="12.75">
      <c r="A1148" s="669"/>
      <c r="B1148" s="670"/>
      <c r="C1148" s="216"/>
      <c r="D1148" s="216"/>
      <c r="E1148" s="216"/>
      <c r="F1148" s="216"/>
      <c r="G1148" s="435"/>
      <c r="H1148" s="216"/>
      <c r="I1148" s="435"/>
    </row>
    <row r="1149" spans="1:9" ht="12.75">
      <c r="A1149" s="669"/>
      <c r="B1149" s="670"/>
      <c r="C1149" s="216"/>
      <c r="D1149" s="216"/>
      <c r="E1149" s="216"/>
      <c r="F1149" s="216"/>
      <c r="G1149" s="435"/>
      <c r="H1149" s="216"/>
      <c r="I1149" s="435"/>
    </row>
    <row r="1150" spans="1:9" ht="12.75">
      <c r="A1150" s="669"/>
      <c r="B1150" s="670"/>
      <c r="C1150" s="216"/>
      <c r="D1150" s="216"/>
      <c r="E1150" s="216"/>
      <c r="F1150" s="216"/>
      <c r="G1150" s="435"/>
      <c r="H1150" s="216"/>
      <c r="I1150" s="435"/>
    </row>
    <row r="1151" spans="1:9" ht="12.75">
      <c r="A1151" s="669"/>
      <c r="B1151" s="670"/>
      <c r="C1151" s="216"/>
      <c r="D1151" s="216"/>
      <c r="E1151" s="216"/>
      <c r="F1151" s="216"/>
      <c r="G1151" s="435"/>
      <c r="H1151" s="216"/>
      <c r="I1151" s="435"/>
    </row>
    <row r="1152" spans="1:9" ht="12.75">
      <c r="A1152" s="669"/>
      <c r="B1152" s="670"/>
      <c r="C1152" s="216"/>
      <c r="D1152" s="216"/>
      <c r="E1152" s="216"/>
      <c r="F1152" s="216"/>
      <c r="G1152" s="435"/>
      <c r="H1152" s="216"/>
      <c r="I1152" s="435"/>
    </row>
    <row r="1153" spans="1:9" ht="12.75">
      <c r="A1153" s="669"/>
      <c r="B1153" s="670"/>
      <c r="C1153" s="216"/>
      <c r="D1153" s="216"/>
      <c r="E1153" s="216"/>
      <c r="F1153" s="216"/>
      <c r="G1153" s="435"/>
      <c r="H1153" s="216"/>
      <c r="I1153" s="435"/>
    </row>
    <row r="1154" spans="1:9" ht="12.75">
      <c r="A1154" s="669"/>
      <c r="B1154" s="670"/>
      <c r="C1154" s="216"/>
      <c r="D1154" s="216"/>
      <c r="E1154" s="216"/>
      <c r="F1154" s="216"/>
      <c r="G1154" s="435"/>
      <c r="H1154" s="216"/>
      <c r="I1154" s="435"/>
    </row>
    <row r="1155" spans="1:9" ht="12.75">
      <c r="A1155" s="669"/>
      <c r="B1155" s="670"/>
      <c r="C1155" s="216"/>
      <c r="D1155" s="216"/>
      <c r="E1155" s="216"/>
      <c r="F1155" s="216"/>
      <c r="G1155" s="435"/>
      <c r="H1155" s="216"/>
      <c r="I1155" s="435"/>
    </row>
    <row r="1156" spans="1:9" ht="12.75">
      <c r="A1156" s="669"/>
      <c r="B1156" s="670"/>
      <c r="C1156" s="216"/>
      <c r="D1156" s="216"/>
      <c r="E1156" s="216"/>
      <c r="F1156" s="216"/>
      <c r="G1156" s="435"/>
      <c r="H1156" s="216"/>
      <c r="I1156" s="435"/>
    </row>
    <row r="1157" spans="1:9" ht="12.75">
      <c r="A1157" s="669"/>
      <c r="B1157" s="670"/>
      <c r="C1157" s="216"/>
      <c r="D1157" s="216"/>
      <c r="E1157" s="216"/>
      <c r="F1157" s="216"/>
      <c r="G1157" s="435"/>
      <c r="H1157" s="216"/>
      <c r="I1157" s="435"/>
    </row>
    <row r="1158" spans="1:9" ht="12.75">
      <c r="A1158" s="669"/>
      <c r="B1158" s="670"/>
      <c r="C1158" s="216"/>
      <c r="D1158" s="216"/>
      <c r="E1158" s="216"/>
      <c r="F1158" s="216"/>
      <c r="G1158" s="435"/>
      <c r="H1158" s="216"/>
      <c r="I1158" s="435"/>
    </row>
    <row r="1159" spans="1:9" ht="12.75">
      <c r="A1159" s="669"/>
      <c r="B1159" s="670"/>
      <c r="C1159" s="216"/>
      <c r="D1159" s="216"/>
      <c r="E1159" s="216"/>
      <c r="F1159" s="216"/>
      <c r="G1159" s="435"/>
      <c r="H1159" s="216"/>
      <c r="I1159" s="435"/>
    </row>
    <row r="1160" spans="1:9" ht="12.75">
      <c r="A1160" s="669"/>
      <c r="B1160" s="670"/>
      <c r="C1160" s="216"/>
      <c r="D1160" s="216"/>
      <c r="E1160" s="216"/>
      <c r="F1160" s="216"/>
      <c r="G1160" s="435"/>
      <c r="H1160" s="216"/>
      <c r="I1160" s="435"/>
    </row>
    <row r="1161" spans="1:9" ht="12.75">
      <c r="A1161" s="669"/>
      <c r="B1161" s="670"/>
      <c r="C1161" s="216"/>
      <c r="D1161" s="216"/>
      <c r="E1161" s="216"/>
      <c r="F1161" s="216"/>
      <c r="G1161" s="435"/>
      <c r="H1161" s="216"/>
      <c r="I1161" s="435"/>
    </row>
    <row r="1162" spans="1:9" ht="12.75">
      <c r="A1162" s="669"/>
      <c r="B1162" s="670"/>
      <c r="C1162" s="216"/>
      <c r="D1162" s="216"/>
      <c r="E1162" s="216"/>
      <c r="F1162" s="216"/>
      <c r="G1162" s="435"/>
      <c r="H1162" s="216"/>
      <c r="I1162" s="435"/>
    </row>
    <row r="1163" spans="1:9" ht="12.75">
      <c r="A1163" s="669"/>
      <c r="B1163" s="670"/>
      <c r="C1163" s="216"/>
      <c r="D1163" s="216"/>
      <c r="E1163" s="216"/>
      <c r="F1163" s="216"/>
      <c r="G1163" s="435"/>
      <c r="H1163" s="216"/>
      <c r="I1163" s="435"/>
    </row>
    <row r="1164" spans="1:9" ht="12.75">
      <c r="A1164" s="669"/>
      <c r="B1164" s="670"/>
      <c r="C1164" s="216"/>
      <c r="D1164" s="216"/>
      <c r="E1164" s="216"/>
      <c r="F1164" s="216"/>
      <c r="G1164" s="435"/>
      <c r="H1164" s="216"/>
      <c r="I1164" s="435"/>
    </row>
    <row r="1165" spans="1:9" ht="12.75">
      <c r="A1165" s="669"/>
      <c r="B1165" s="670"/>
      <c r="C1165" s="216"/>
      <c r="D1165" s="216"/>
      <c r="E1165" s="216"/>
      <c r="F1165" s="216"/>
      <c r="G1165" s="435"/>
      <c r="H1165" s="216"/>
      <c r="I1165" s="435"/>
    </row>
    <row r="1166" spans="1:9" ht="12.75">
      <c r="A1166" s="669"/>
      <c r="B1166" s="670"/>
      <c r="C1166" s="216"/>
      <c r="D1166" s="216"/>
      <c r="E1166" s="216"/>
      <c r="F1166" s="216"/>
      <c r="G1166" s="435"/>
      <c r="H1166" s="216"/>
      <c r="I1166" s="435"/>
    </row>
    <row r="1167" spans="1:9" ht="12.75">
      <c r="A1167" s="669"/>
      <c r="B1167" s="670"/>
      <c r="C1167" s="216"/>
      <c r="D1167" s="216"/>
      <c r="E1167" s="216"/>
      <c r="F1167" s="216"/>
      <c r="G1167" s="435"/>
      <c r="H1167" s="216"/>
      <c r="I1167" s="435"/>
    </row>
    <row r="1168" spans="1:9" ht="12.75">
      <c r="A1168" s="669"/>
      <c r="B1168" s="670"/>
      <c r="C1168" s="216"/>
      <c r="D1168" s="216"/>
      <c r="E1168" s="216"/>
      <c r="F1168" s="216"/>
      <c r="G1168" s="435"/>
      <c r="H1168" s="216"/>
      <c r="I1168" s="435"/>
    </row>
    <row r="1169" spans="1:9" ht="12.75">
      <c r="A1169" s="669"/>
      <c r="B1169" s="670"/>
      <c r="C1169" s="216"/>
      <c r="D1169" s="216"/>
      <c r="E1169" s="216"/>
      <c r="F1169" s="216"/>
      <c r="G1169" s="435"/>
      <c r="H1169" s="216"/>
      <c r="I1169" s="435"/>
    </row>
    <row r="1170" spans="1:9" ht="12.75">
      <c r="A1170" s="669"/>
      <c r="B1170" s="670"/>
      <c r="C1170" s="216"/>
      <c r="D1170" s="216"/>
      <c r="E1170" s="216"/>
      <c r="F1170" s="216"/>
      <c r="G1170" s="435"/>
      <c r="H1170" s="216"/>
      <c r="I1170" s="435"/>
    </row>
    <row r="1171" spans="1:9" ht="12.75">
      <c r="A1171" s="669"/>
      <c r="B1171" s="670"/>
      <c r="C1171" s="216"/>
      <c r="D1171" s="216"/>
      <c r="E1171" s="216"/>
      <c r="F1171" s="216"/>
      <c r="G1171" s="435"/>
      <c r="H1171" s="216"/>
      <c r="I1171" s="435"/>
    </row>
    <row r="1172" spans="1:9" ht="12.75">
      <c r="A1172" s="669"/>
      <c r="B1172" s="670"/>
      <c r="C1172" s="216"/>
      <c r="D1172" s="216"/>
      <c r="E1172" s="216"/>
      <c r="F1172" s="216"/>
      <c r="G1172" s="435"/>
      <c r="H1172" s="216"/>
      <c r="I1172" s="435"/>
    </row>
    <row r="1173" spans="1:9" ht="12.75">
      <c r="A1173" s="669"/>
      <c r="B1173" s="670"/>
      <c r="C1173" s="216"/>
      <c r="D1173" s="216"/>
      <c r="E1173" s="216"/>
      <c r="F1173" s="216"/>
      <c r="G1173" s="435"/>
      <c r="H1173" s="216"/>
      <c r="I1173" s="435"/>
    </row>
    <row r="1174" spans="1:9" ht="12.75">
      <c r="A1174" s="669"/>
      <c r="B1174" s="670"/>
      <c r="C1174" s="216"/>
      <c r="D1174" s="216"/>
      <c r="E1174" s="216"/>
      <c r="F1174" s="216"/>
      <c r="G1174" s="435"/>
      <c r="H1174" s="216"/>
      <c r="I1174" s="435"/>
    </row>
    <row r="1175" spans="1:9" ht="12.75">
      <c r="A1175" s="669"/>
      <c r="B1175" s="670"/>
      <c r="C1175" s="216"/>
      <c r="D1175" s="216"/>
      <c r="E1175" s="216"/>
      <c r="F1175" s="216"/>
      <c r="G1175" s="435"/>
      <c r="H1175" s="216"/>
      <c r="I1175" s="435"/>
    </row>
    <row r="1176" spans="1:9" ht="12.75">
      <c r="A1176" s="669"/>
      <c r="B1176" s="670"/>
      <c r="C1176" s="216"/>
      <c r="D1176" s="216"/>
      <c r="E1176" s="216"/>
      <c r="F1176" s="216"/>
      <c r="G1176" s="435"/>
      <c r="H1176" s="216"/>
      <c r="I1176" s="435"/>
    </row>
    <row r="1177" spans="1:9" ht="12.75">
      <c r="A1177" s="669"/>
      <c r="B1177" s="670"/>
      <c r="C1177" s="216"/>
      <c r="D1177" s="216"/>
      <c r="E1177" s="216"/>
      <c r="F1177" s="216"/>
      <c r="G1177" s="435"/>
      <c r="H1177" s="216"/>
      <c r="I1177" s="435"/>
    </row>
    <row r="1178" spans="1:9" ht="12.75">
      <c r="A1178" s="669"/>
      <c r="B1178" s="670"/>
      <c r="C1178" s="216"/>
      <c r="D1178" s="216"/>
      <c r="E1178" s="216"/>
      <c r="F1178" s="216"/>
      <c r="G1178" s="435"/>
      <c r="H1178" s="216"/>
      <c r="I1178" s="435"/>
    </row>
    <row r="1179" spans="1:9" ht="12.75">
      <c r="A1179" s="669"/>
      <c r="B1179" s="670"/>
      <c r="C1179" s="216"/>
      <c r="D1179" s="216"/>
      <c r="E1179" s="216"/>
      <c r="F1179" s="216"/>
      <c r="G1179" s="435"/>
      <c r="H1179" s="216"/>
      <c r="I1179" s="435"/>
    </row>
    <row r="1180" spans="1:9" ht="12.75">
      <c r="A1180" s="669"/>
      <c r="B1180" s="670"/>
      <c r="C1180" s="216"/>
      <c r="D1180" s="216"/>
      <c r="E1180" s="216"/>
      <c r="F1180" s="216"/>
      <c r="G1180" s="435"/>
      <c r="H1180" s="216"/>
      <c r="I1180" s="435"/>
    </row>
    <row r="1181" spans="1:9" ht="12.75">
      <c r="A1181" s="669"/>
      <c r="B1181" s="670"/>
      <c r="C1181" s="216"/>
      <c r="D1181" s="216"/>
      <c r="E1181" s="216"/>
      <c r="F1181" s="216"/>
      <c r="G1181" s="435"/>
      <c r="H1181" s="216"/>
      <c r="I1181" s="435"/>
    </row>
    <row r="1182" spans="1:9" ht="12.75">
      <c r="A1182" s="669"/>
      <c r="B1182" s="670"/>
      <c r="C1182" s="216"/>
      <c r="D1182" s="216"/>
      <c r="E1182" s="216"/>
      <c r="F1182" s="216"/>
      <c r="G1182" s="435"/>
      <c r="H1182" s="216"/>
      <c r="I1182" s="435"/>
    </row>
    <row r="1183" spans="1:9" ht="12.75">
      <c r="A1183" s="669"/>
      <c r="B1183" s="670"/>
      <c r="C1183" s="216"/>
      <c r="D1183" s="216"/>
      <c r="E1183" s="216"/>
      <c r="F1183" s="216"/>
      <c r="G1183" s="435"/>
      <c r="H1183" s="216"/>
      <c r="I1183" s="435"/>
    </row>
    <row r="1184" spans="1:9" ht="12.75">
      <c r="A1184" s="669"/>
      <c r="B1184" s="670"/>
      <c r="C1184" s="216"/>
      <c r="D1184" s="216"/>
      <c r="E1184" s="216"/>
      <c r="F1184" s="216"/>
      <c r="G1184" s="435"/>
      <c r="H1184" s="216"/>
      <c r="I1184" s="435"/>
    </row>
    <row r="1185" spans="1:9" ht="12.75">
      <c r="A1185" s="669"/>
      <c r="B1185" s="670"/>
      <c r="C1185" s="216"/>
      <c r="D1185" s="216"/>
      <c r="E1185" s="216"/>
      <c r="F1185" s="216"/>
      <c r="G1185" s="435"/>
      <c r="H1185" s="216"/>
      <c r="I1185" s="435"/>
    </row>
    <row r="1186" spans="1:9" ht="12.75">
      <c r="A1186" s="669"/>
      <c r="B1186" s="670"/>
      <c r="C1186" s="216"/>
      <c r="D1186" s="216"/>
      <c r="E1186" s="216"/>
      <c r="F1186" s="216"/>
      <c r="G1186" s="435"/>
      <c r="H1186" s="216"/>
      <c r="I1186" s="435"/>
    </row>
    <row r="1187" spans="1:9" ht="12.75">
      <c r="A1187" s="669"/>
      <c r="B1187" s="670"/>
      <c r="C1187" s="216"/>
      <c r="D1187" s="216"/>
      <c r="E1187" s="216"/>
      <c r="F1187" s="216"/>
      <c r="G1187" s="435"/>
      <c r="H1187" s="216"/>
      <c r="I1187" s="435"/>
    </row>
    <row r="1188" spans="1:9" ht="12.75">
      <c r="A1188" s="669"/>
      <c r="B1188" s="670"/>
      <c r="C1188" s="216"/>
      <c r="D1188" s="216"/>
      <c r="E1188" s="216"/>
      <c r="F1188" s="216"/>
      <c r="G1188" s="435"/>
      <c r="H1188" s="216"/>
      <c r="I1188" s="435"/>
    </row>
    <row r="1189" spans="1:9" ht="12.75">
      <c r="A1189" s="669"/>
      <c r="B1189" s="670"/>
      <c r="C1189" s="216"/>
      <c r="D1189" s="216"/>
      <c r="E1189" s="216"/>
      <c r="F1189" s="216"/>
      <c r="G1189" s="435"/>
      <c r="H1189" s="216"/>
      <c r="I1189" s="435"/>
    </row>
    <row r="1190" spans="1:9" ht="12.75">
      <c r="A1190" s="669"/>
      <c r="B1190" s="670"/>
      <c r="C1190" s="216"/>
      <c r="D1190" s="216"/>
      <c r="E1190" s="216"/>
      <c r="F1190" s="216"/>
      <c r="G1190" s="435"/>
      <c r="H1190" s="216"/>
      <c r="I1190" s="435"/>
    </row>
    <row r="1191" spans="1:9" ht="12.75">
      <c r="A1191" s="669"/>
      <c r="B1191" s="670"/>
      <c r="C1191" s="216"/>
      <c r="D1191" s="216"/>
      <c r="E1191" s="216"/>
      <c r="F1191" s="216"/>
      <c r="G1191" s="435"/>
      <c r="H1191" s="216"/>
      <c r="I1191" s="435"/>
    </row>
    <row r="1192" spans="1:9" ht="12.75">
      <c r="A1192" s="669"/>
      <c r="B1192" s="670"/>
      <c r="C1192" s="216"/>
      <c r="D1192" s="216"/>
      <c r="E1192" s="216"/>
      <c r="F1192" s="216"/>
      <c r="G1192" s="435"/>
      <c r="H1192" s="216"/>
      <c r="I1192" s="435"/>
    </row>
    <row r="1193" spans="1:9" ht="12.75">
      <c r="A1193" s="669"/>
      <c r="B1193" s="670"/>
      <c r="C1193" s="216"/>
      <c r="D1193" s="216"/>
      <c r="E1193" s="216"/>
      <c r="F1193" s="216"/>
      <c r="G1193" s="435"/>
      <c r="H1193" s="216"/>
      <c r="I1193" s="435"/>
    </row>
    <row r="1194" spans="1:9" ht="12.75">
      <c r="A1194" s="669"/>
      <c r="B1194" s="670"/>
      <c r="C1194" s="216"/>
      <c r="D1194" s="216"/>
      <c r="E1194" s="216"/>
      <c r="F1194" s="216"/>
      <c r="G1194" s="435"/>
      <c r="H1194" s="216"/>
      <c r="I1194" s="435"/>
    </row>
    <row r="1195" spans="1:9" ht="12.75">
      <c r="A1195" s="669"/>
      <c r="B1195" s="670"/>
      <c r="C1195" s="216"/>
      <c r="D1195" s="216"/>
      <c r="E1195" s="216"/>
      <c r="F1195" s="216"/>
      <c r="G1195" s="435"/>
      <c r="H1195" s="216"/>
      <c r="I1195" s="435"/>
    </row>
    <row r="1196" spans="1:9" ht="12.75">
      <c r="A1196" s="669"/>
      <c r="B1196" s="670"/>
      <c r="C1196" s="216"/>
      <c r="D1196" s="216"/>
      <c r="E1196" s="216"/>
      <c r="F1196" s="216"/>
      <c r="G1196" s="435"/>
      <c r="H1196" s="216"/>
      <c r="I1196" s="435"/>
    </row>
    <row r="1197" spans="1:9" ht="12.75">
      <c r="A1197" s="669"/>
      <c r="B1197" s="670"/>
      <c r="C1197" s="216"/>
      <c r="D1197" s="216"/>
      <c r="E1197" s="216"/>
      <c r="F1197" s="216"/>
      <c r="G1197" s="435"/>
      <c r="H1197" s="216"/>
      <c r="I1197" s="435"/>
    </row>
    <row r="1198" spans="1:9" ht="12.75">
      <c r="A1198" s="669"/>
      <c r="B1198" s="670"/>
      <c r="C1198" s="216"/>
      <c r="D1198" s="216"/>
      <c r="E1198" s="216"/>
      <c r="F1198" s="216"/>
      <c r="G1198" s="435"/>
      <c r="H1198" s="216"/>
      <c r="I1198" s="435"/>
    </row>
    <row r="1199" spans="1:9" ht="12.75">
      <c r="A1199" s="669"/>
      <c r="B1199" s="670"/>
      <c r="C1199" s="216"/>
      <c r="D1199" s="216"/>
      <c r="E1199" s="216"/>
      <c r="F1199" s="216"/>
      <c r="G1199" s="435"/>
      <c r="H1199" s="216"/>
      <c r="I1199" s="435"/>
    </row>
    <row r="1200" spans="1:9" ht="12.75">
      <c r="A1200" s="669"/>
      <c r="B1200" s="670"/>
      <c r="C1200" s="216"/>
      <c r="D1200" s="216"/>
      <c r="E1200" s="216"/>
      <c r="F1200" s="216"/>
      <c r="G1200" s="435"/>
      <c r="H1200" s="216"/>
      <c r="I1200" s="435"/>
    </row>
    <row r="1201" spans="1:9" ht="12.75">
      <c r="A1201" s="669"/>
      <c r="B1201" s="670"/>
      <c r="C1201" s="216"/>
      <c r="D1201" s="216"/>
      <c r="E1201" s="216"/>
      <c r="F1201" s="216"/>
      <c r="G1201" s="435"/>
      <c r="H1201" s="216"/>
      <c r="I1201" s="435"/>
    </row>
    <row r="1202" spans="1:9" ht="12.75">
      <c r="A1202" s="669"/>
      <c r="B1202" s="670"/>
      <c r="C1202" s="216"/>
      <c r="D1202" s="216"/>
      <c r="E1202" s="216"/>
      <c r="F1202" s="216"/>
      <c r="G1202" s="435"/>
      <c r="H1202" s="216"/>
      <c r="I1202" s="435"/>
    </row>
    <row r="1203" spans="1:9" ht="12.75">
      <c r="A1203" s="669"/>
      <c r="B1203" s="670"/>
      <c r="C1203" s="216"/>
      <c r="D1203" s="216"/>
      <c r="E1203" s="216"/>
      <c r="F1203" s="216"/>
      <c r="G1203" s="435"/>
      <c r="H1203" s="216"/>
      <c r="I1203" s="435"/>
    </row>
    <row r="1204" spans="1:9" ht="12.75">
      <c r="A1204" s="669"/>
      <c r="B1204" s="670"/>
      <c r="C1204" s="216"/>
      <c r="D1204" s="216"/>
      <c r="E1204" s="216"/>
      <c r="F1204" s="216"/>
      <c r="G1204" s="435"/>
      <c r="H1204" s="216"/>
      <c r="I1204" s="435"/>
    </row>
    <row r="1205" spans="1:9" ht="12.75">
      <c r="A1205" s="669"/>
      <c r="B1205" s="670"/>
      <c r="C1205" s="216"/>
      <c r="D1205" s="216"/>
      <c r="E1205" s="216"/>
      <c r="F1205" s="216"/>
      <c r="G1205" s="435"/>
      <c r="H1205" s="216"/>
      <c r="I1205" s="435"/>
    </row>
    <row r="1206" spans="1:9" ht="12.75">
      <c r="A1206" s="669"/>
      <c r="B1206" s="670"/>
      <c r="C1206" s="216"/>
      <c r="D1206" s="216"/>
      <c r="E1206" s="216"/>
      <c r="F1206" s="216"/>
      <c r="G1206" s="435"/>
      <c r="H1206" s="216"/>
      <c r="I1206" s="435"/>
    </row>
    <row r="1207" spans="1:9" ht="12.75">
      <c r="A1207" s="669"/>
      <c r="B1207" s="670"/>
      <c r="C1207" s="216"/>
      <c r="D1207" s="216"/>
      <c r="E1207" s="216"/>
      <c r="F1207" s="216"/>
      <c r="G1207" s="435"/>
      <c r="H1207" s="216"/>
      <c r="I1207" s="435"/>
    </row>
    <row r="1208" spans="1:9" ht="12.75">
      <c r="A1208" s="669"/>
      <c r="B1208" s="670"/>
      <c r="C1208" s="216"/>
      <c r="D1208" s="216"/>
      <c r="E1208" s="216"/>
      <c r="F1208" s="216"/>
      <c r="G1208" s="435"/>
      <c r="H1208" s="216"/>
      <c r="I1208" s="435"/>
    </row>
    <row r="1209" spans="1:9" ht="12.75">
      <c r="A1209" s="669"/>
      <c r="B1209" s="670"/>
      <c r="C1209" s="216"/>
      <c r="D1209" s="216"/>
      <c r="E1209" s="216"/>
      <c r="F1209" s="216"/>
      <c r="G1209" s="435"/>
      <c r="H1209" s="216"/>
      <c r="I1209" s="435"/>
    </row>
    <row r="1210" spans="1:9" ht="12.75">
      <c r="A1210" s="669"/>
      <c r="B1210" s="670"/>
      <c r="C1210" s="216"/>
      <c r="D1210" s="216"/>
      <c r="E1210" s="216"/>
      <c r="F1210" s="216"/>
      <c r="G1210" s="435"/>
      <c r="H1210" s="216"/>
      <c r="I1210" s="435"/>
    </row>
    <row r="1211" spans="1:9" ht="12.75">
      <c r="A1211" s="669"/>
      <c r="B1211" s="670"/>
      <c r="C1211" s="216"/>
      <c r="D1211" s="216"/>
      <c r="E1211" s="216"/>
      <c r="F1211" s="216"/>
      <c r="G1211" s="435"/>
      <c r="H1211" s="216"/>
      <c r="I1211" s="435"/>
    </row>
    <row r="1212" spans="1:9" ht="12.75">
      <c r="A1212" s="669"/>
      <c r="B1212" s="670"/>
      <c r="C1212" s="216"/>
      <c r="D1212" s="216"/>
      <c r="E1212" s="216"/>
      <c r="F1212" s="216"/>
      <c r="G1212" s="435"/>
      <c r="H1212" s="216"/>
      <c r="I1212" s="435"/>
    </row>
    <row r="1213" spans="1:9" ht="12.75">
      <c r="A1213" s="669"/>
      <c r="B1213" s="670"/>
      <c r="C1213" s="216"/>
      <c r="D1213" s="216"/>
      <c r="E1213" s="216"/>
      <c r="F1213" s="216"/>
      <c r="G1213" s="435"/>
      <c r="H1213" s="216"/>
      <c r="I1213" s="435"/>
    </row>
    <row r="1214" spans="1:9" ht="12.75">
      <c r="A1214" s="669"/>
      <c r="B1214" s="670"/>
      <c r="C1214" s="216"/>
      <c r="D1214" s="216"/>
      <c r="E1214" s="216"/>
      <c r="F1214" s="216"/>
      <c r="G1214" s="435"/>
      <c r="H1214" s="216"/>
      <c r="I1214" s="435"/>
    </row>
    <row r="1215" spans="1:9" ht="12.75">
      <c r="A1215" s="669"/>
      <c r="B1215" s="670"/>
      <c r="C1215" s="216"/>
      <c r="D1215" s="216"/>
      <c r="E1215" s="216"/>
      <c r="F1215" s="216"/>
      <c r="G1215" s="435"/>
      <c r="H1215" s="216"/>
      <c r="I1215" s="435"/>
    </row>
    <row r="1216" spans="1:9" ht="12.75">
      <c r="A1216" s="669"/>
      <c r="B1216" s="670"/>
      <c r="C1216" s="216"/>
      <c r="D1216" s="216"/>
      <c r="E1216" s="216"/>
      <c r="F1216" s="216"/>
      <c r="G1216" s="435"/>
      <c r="H1216" s="216"/>
      <c r="I1216" s="435"/>
    </row>
    <row r="1217" spans="1:9" ht="12.75">
      <c r="A1217" s="669"/>
      <c r="B1217" s="670"/>
      <c r="C1217" s="216"/>
      <c r="D1217" s="216"/>
      <c r="E1217" s="216"/>
      <c r="F1217" s="216"/>
      <c r="G1217" s="435"/>
      <c r="H1217" s="216"/>
      <c r="I1217" s="435"/>
    </row>
    <row r="1218" spans="1:9" ht="12.75">
      <c r="A1218" s="669"/>
      <c r="B1218" s="670"/>
      <c r="C1218" s="216"/>
      <c r="D1218" s="216"/>
      <c r="E1218" s="216"/>
      <c r="F1218" s="216"/>
      <c r="G1218" s="435"/>
      <c r="H1218" s="216"/>
      <c r="I1218" s="435"/>
    </row>
    <row r="1219" spans="1:9" ht="12.75">
      <c r="A1219" s="669"/>
      <c r="B1219" s="670"/>
      <c r="C1219" s="216"/>
      <c r="D1219" s="216"/>
      <c r="E1219" s="216"/>
      <c r="F1219" s="216"/>
      <c r="G1219" s="435"/>
      <c r="H1219" s="216"/>
      <c r="I1219" s="435"/>
    </row>
    <row r="1220" spans="1:9" ht="12.75">
      <c r="A1220" s="669"/>
      <c r="B1220" s="670"/>
      <c r="C1220" s="216"/>
      <c r="D1220" s="216"/>
      <c r="E1220" s="216"/>
      <c r="F1220" s="216"/>
      <c r="G1220" s="435"/>
      <c r="H1220" s="216"/>
      <c r="I1220" s="435"/>
    </row>
    <row r="1221" spans="1:9" ht="12.75">
      <c r="A1221" s="669"/>
      <c r="B1221" s="670"/>
      <c r="C1221" s="216"/>
      <c r="D1221" s="216"/>
      <c r="E1221" s="216"/>
      <c r="F1221" s="216"/>
      <c r="G1221" s="435"/>
      <c r="H1221" s="216"/>
      <c r="I1221" s="435"/>
    </row>
    <row r="1222" spans="1:9" ht="12.75">
      <c r="A1222" s="669"/>
      <c r="B1222" s="670"/>
      <c r="C1222" s="216"/>
      <c r="D1222" s="216"/>
      <c r="E1222" s="216"/>
      <c r="F1222" s="216"/>
      <c r="G1222" s="435"/>
      <c r="H1222" s="216"/>
      <c r="I1222" s="435"/>
    </row>
    <row r="1223" spans="1:9" ht="12.75">
      <c r="A1223" s="669"/>
      <c r="B1223" s="670"/>
      <c r="C1223" s="216"/>
      <c r="D1223" s="216"/>
      <c r="E1223" s="216"/>
      <c r="F1223" s="216"/>
      <c r="G1223" s="435"/>
      <c r="H1223" s="216"/>
      <c r="I1223" s="435"/>
    </row>
    <row r="1224" spans="1:9" ht="12.75">
      <c r="A1224" s="669"/>
      <c r="B1224" s="670"/>
      <c r="C1224" s="216"/>
      <c r="D1224" s="216"/>
      <c r="E1224" s="216"/>
      <c r="F1224" s="216"/>
      <c r="G1224" s="435"/>
      <c r="H1224" s="216"/>
      <c r="I1224" s="435"/>
    </row>
    <row r="1225" spans="1:9" ht="12.75">
      <c r="A1225" s="669"/>
      <c r="B1225" s="670"/>
      <c r="C1225" s="216"/>
      <c r="D1225" s="216"/>
      <c r="E1225" s="216"/>
      <c r="F1225" s="216"/>
      <c r="G1225" s="435"/>
      <c r="H1225" s="216"/>
      <c r="I1225" s="435"/>
    </row>
    <row r="1226" spans="1:9" ht="12.75">
      <c r="A1226" s="669"/>
      <c r="B1226" s="670"/>
      <c r="C1226" s="216"/>
      <c r="D1226" s="216"/>
      <c r="E1226" s="216"/>
      <c r="F1226" s="216"/>
      <c r="G1226" s="435"/>
      <c r="H1226" s="216"/>
      <c r="I1226" s="435"/>
    </row>
    <row r="1227" spans="1:9" ht="12.75">
      <c r="A1227" s="669"/>
      <c r="B1227" s="670"/>
      <c r="C1227" s="216"/>
      <c r="D1227" s="216"/>
      <c r="E1227" s="216"/>
      <c r="F1227" s="216"/>
      <c r="G1227" s="435"/>
      <c r="H1227" s="216"/>
      <c r="I1227" s="435"/>
    </row>
    <row r="1228" spans="1:9" ht="12.75">
      <c r="A1228" s="669"/>
      <c r="B1228" s="670"/>
      <c r="C1228" s="216"/>
      <c r="D1228" s="216"/>
      <c r="E1228" s="216"/>
      <c r="F1228" s="216"/>
      <c r="G1228" s="435"/>
      <c r="H1228" s="216"/>
      <c r="I1228" s="435"/>
    </row>
    <row r="1229" spans="1:9" ht="12.75">
      <c r="A1229" s="669"/>
      <c r="B1229" s="670"/>
      <c r="C1229" s="216"/>
      <c r="D1229" s="216"/>
      <c r="E1229" s="216"/>
      <c r="F1229" s="216"/>
      <c r="G1229" s="435"/>
      <c r="H1229" s="216"/>
      <c r="I1229" s="435"/>
    </row>
    <row r="1230" spans="1:9" ht="12.75">
      <c r="A1230" s="669"/>
      <c r="B1230" s="670"/>
      <c r="C1230" s="216"/>
      <c r="D1230" s="216"/>
      <c r="E1230" s="216"/>
      <c r="F1230" s="216"/>
      <c r="G1230" s="435"/>
      <c r="H1230" s="216"/>
      <c r="I1230" s="435"/>
    </row>
    <row r="1231" spans="1:9" ht="12.75">
      <c r="A1231" s="669"/>
      <c r="B1231" s="670"/>
      <c r="C1231" s="216"/>
      <c r="D1231" s="216"/>
      <c r="E1231" s="216"/>
      <c r="F1231" s="216"/>
      <c r="G1231" s="435"/>
      <c r="H1231" s="216"/>
      <c r="I1231" s="435"/>
    </row>
    <row r="1232" spans="1:9" ht="12.75">
      <c r="A1232" s="669"/>
      <c r="B1232" s="670"/>
      <c r="C1232" s="216"/>
      <c r="D1232" s="216"/>
      <c r="E1232" s="216"/>
      <c r="F1232" s="216"/>
      <c r="G1232" s="435"/>
      <c r="H1232" s="216"/>
      <c r="I1232" s="435"/>
    </row>
    <row r="1233" spans="1:9" ht="12.75">
      <c r="A1233" s="669"/>
      <c r="B1233" s="670"/>
      <c r="C1233" s="216"/>
      <c r="D1233" s="216"/>
      <c r="E1233" s="216"/>
      <c r="F1233" s="216"/>
      <c r="G1233" s="435"/>
      <c r="H1233" s="216"/>
      <c r="I1233" s="435"/>
    </row>
    <row r="1234" spans="1:9" ht="12.75">
      <c r="A1234" s="669"/>
      <c r="B1234" s="670"/>
      <c r="C1234" s="216"/>
      <c r="D1234" s="216"/>
      <c r="E1234" s="216"/>
      <c r="F1234" s="216"/>
      <c r="G1234" s="435"/>
      <c r="H1234" s="216"/>
      <c r="I1234" s="435"/>
    </row>
    <row r="1235" spans="1:9" ht="12.75">
      <c r="A1235" s="669"/>
      <c r="B1235" s="670"/>
      <c r="C1235" s="216"/>
      <c r="D1235" s="216"/>
      <c r="E1235" s="216"/>
      <c r="F1235" s="216"/>
      <c r="G1235" s="435"/>
      <c r="H1235" s="216"/>
      <c r="I1235" s="435"/>
    </row>
    <row r="1236" spans="1:9" ht="12.75">
      <c r="A1236" s="669"/>
      <c r="B1236" s="670"/>
      <c r="C1236" s="216"/>
      <c r="D1236" s="216"/>
      <c r="E1236" s="216"/>
      <c r="F1236" s="216"/>
      <c r="G1236" s="435"/>
      <c r="H1236" s="216"/>
      <c r="I1236" s="435"/>
    </row>
    <row r="1237" spans="1:9" ht="12.75">
      <c r="A1237" s="669"/>
      <c r="B1237" s="670"/>
      <c r="C1237" s="216"/>
      <c r="D1237" s="216"/>
      <c r="E1237" s="216"/>
      <c r="F1237" s="216"/>
      <c r="G1237" s="435"/>
      <c r="H1237" s="216"/>
      <c r="I1237" s="435"/>
    </row>
    <row r="1238" spans="1:9" ht="12.75">
      <c r="A1238" s="669"/>
      <c r="B1238" s="670"/>
      <c r="C1238" s="216"/>
      <c r="D1238" s="216"/>
      <c r="E1238" s="216"/>
      <c r="F1238" s="216"/>
      <c r="G1238" s="435"/>
      <c r="H1238" s="216"/>
      <c r="I1238" s="435"/>
    </row>
    <row r="1239" spans="1:9" ht="12.75">
      <c r="A1239" s="669"/>
      <c r="B1239" s="670"/>
      <c r="C1239" s="216"/>
      <c r="D1239" s="216"/>
      <c r="E1239" s="216"/>
      <c r="F1239" s="216"/>
      <c r="G1239" s="435"/>
      <c r="H1239" s="216"/>
      <c r="I1239" s="435"/>
    </row>
    <row r="1240" spans="1:9" ht="12.75">
      <c r="A1240" s="669"/>
      <c r="B1240" s="670"/>
      <c r="C1240" s="216"/>
      <c r="D1240" s="216"/>
      <c r="E1240" s="216"/>
      <c r="F1240" s="216"/>
      <c r="G1240" s="435"/>
      <c r="H1240" s="216"/>
      <c r="I1240" s="435"/>
    </row>
    <row r="1241" spans="1:9" ht="12.75">
      <c r="A1241" s="669"/>
      <c r="B1241" s="670"/>
      <c r="C1241" s="216"/>
      <c r="D1241" s="216"/>
      <c r="E1241" s="216"/>
      <c r="F1241" s="216"/>
      <c r="G1241" s="435"/>
      <c r="H1241" s="216"/>
      <c r="I1241" s="435"/>
    </row>
    <row r="1242" spans="1:9" ht="12.75">
      <c r="A1242" s="669"/>
      <c r="B1242" s="670"/>
      <c r="C1242" s="216"/>
      <c r="D1242" s="216"/>
      <c r="E1242" s="216"/>
      <c r="F1242" s="216"/>
      <c r="G1242" s="435"/>
      <c r="H1242" s="216"/>
      <c r="I1242" s="435"/>
    </row>
    <row r="1243" spans="1:9" ht="12.75">
      <c r="A1243" s="669"/>
      <c r="B1243" s="670"/>
      <c r="C1243" s="216"/>
      <c r="D1243" s="216"/>
      <c r="E1243" s="216"/>
      <c r="F1243" s="216"/>
      <c r="G1243" s="435"/>
      <c r="H1243" s="216"/>
      <c r="I1243" s="435"/>
    </row>
    <row r="1244" spans="1:9" ht="12.75">
      <c r="A1244" s="669"/>
      <c r="B1244" s="670"/>
      <c r="C1244" s="216"/>
      <c r="D1244" s="216"/>
      <c r="E1244" s="216"/>
      <c r="F1244" s="216"/>
      <c r="G1244" s="435"/>
      <c r="H1244" s="216"/>
      <c r="I1244" s="435"/>
    </row>
    <row r="1245" spans="1:9" ht="12.75">
      <c r="A1245" s="669"/>
      <c r="B1245" s="670"/>
      <c r="C1245" s="216"/>
      <c r="D1245" s="216"/>
      <c r="E1245" s="216"/>
      <c r="F1245" s="216"/>
      <c r="G1245" s="435"/>
      <c r="H1245" s="216"/>
      <c r="I1245" s="435"/>
    </row>
    <row r="1246" spans="1:9" ht="12.75">
      <c r="A1246" s="669"/>
      <c r="B1246" s="670"/>
      <c r="C1246" s="216"/>
      <c r="D1246" s="216"/>
      <c r="E1246" s="216"/>
      <c r="F1246" s="216"/>
      <c r="G1246" s="435"/>
      <c r="H1246" s="216"/>
      <c r="I1246" s="435"/>
    </row>
    <row r="1247" spans="1:9" ht="12.75">
      <c r="A1247" s="669"/>
      <c r="B1247" s="670"/>
      <c r="C1247" s="216"/>
      <c r="D1247" s="216"/>
      <c r="E1247" s="216"/>
      <c r="F1247" s="216"/>
      <c r="G1247" s="435"/>
      <c r="H1247" s="216"/>
      <c r="I1247" s="435"/>
    </row>
    <row r="1248" spans="1:9" ht="12.75">
      <c r="A1248" s="669"/>
      <c r="B1248" s="670"/>
      <c r="C1248" s="216"/>
      <c r="D1248" s="216"/>
      <c r="E1248" s="216"/>
      <c r="F1248" s="216"/>
      <c r="G1248" s="435"/>
      <c r="H1248" s="216"/>
      <c r="I1248" s="435"/>
    </row>
    <row r="1249" spans="1:9" ht="12.75">
      <c r="A1249" s="669"/>
      <c r="B1249" s="670"/>
      <c r="C1249" s="216"/>
      <c r="D1249" s="216"/>
      <c r="E1249" s="216"/>
      <c r="F1249" s="216"/>
      <c r="G1249" s="435"/>
      <c r="H1249" s="216"/>
      <c r="I1249" s="435"/>
    </row>
    <row r="1250" spans="1:9" ht="12.75">
      <c r="A1250" s="669"/>
      <c r="B1250" s="670"/>
      <c r="C1250" s="216"/>
      <c r="D1250" s="216"/>
      <c r="E1250" s="216"/>
      <c r="F1250" s="216"/>
      <c r="G1250" s="435"/>
      <c r="H1250" s="216"/>
      <c r="I1250" s="435"/>
    </row>
    <row r="1251" spans="1:9" ht="12.75">
      <c r="A1251" s="669"/>
      <c r="B1251" s="670"/>
      <c r="C1251" s="216"/>
      <c r="D1251" s="216"/>
      <c r="E1251" s="216"/>
      <c r="F1251" s="216"/>
      <c r="G1251" s="435"/>
      <c r="H1251" s="216"/>
      <c r="I1251" s="435"/>
    </row>
    <row r="1252" spans="1:9" ht="12.75">
      <c r="A1252" s="669"/>
      <c r="B1252" s="670"/>
      <c r="C1252" s="216"/>
      <c r="D1252" s="216"/>
      <c r="E1252" s="216"/>
      <c r="F1252" s="216"/>
      <c r="G1252" s="435"/>
      <c r="H1252" s="216"/>
      <c r="I1252" s="435"/>
    </row>
    <row r="1253" spans="1:9" ht="12.75">
      <c r="A1253" s="669"/>
      <c r="B1253" s="670"/>
      <c r="C1253" s="216"/>
      <c r="D1253" s="216"/>
      <c r="E1253" s="216"/>
      <c r="F1253" s="216"/>
      <c r="G1253" s="435"/>
      <c r="H1253" s="216"/>
      <c r="I1253" s="435"/>
    </row>
    <row r="1254" spans="1:9" ht="12.75">
      <c r="A1254" s="669"/>
      <c r="B1254" s="670"/>
      <c r="C1254" s="216"/>
      <c r="D1254" s="216"/>
      <c r="E1254" s="216"/>
      <c r="F1254" s="216"/>
      <c r="G1254" s="435"/>
      <c r="H1254" s="216"/>
      <c r="I1254" s="435"/>
    </row>
    <row r="1255" spans="1:9" ht="12.75">
      <c r="A1255" s="669"/>
      <c r="B1255" s="670"/>
      <c r="C1255" s="216"/>
      <c r="D1255" s="216"/>
      <c r="E1255" s="216"/>
      <c r="F1255" s="216"/>
      <c r="G1255" s="435"/>
      <c r="H1255" s="216"/>
      <c r="I1255" s="435"/>
    </row>
    <row r="1256" spans="1:9" ht="12.75">
      <c r="A1256" s="669"/>
      <c r="B1256" s="670"/>
      <c r="C1256" s="216"/>
      <c r="D1256" s="216"/>
      <c r="E1256" s="216"/>
      <c r="F1256" s="216"/>
      <c r="G1256" s="435"/>
      <c r="H1256" s="216"/>
      <c r="I1256" s="435"/>
    </row>
    <row r="1257" spans="1:9" ht="12.75">
      <c r="A1257" s="669"/>
      <c r="B1257" s="670"/>
      <c r="C1257" s="216"/>
      <c r="D1257" s="216"/>
      <c r="E1257" s="216"/>
      <c r="F1257" s="216"/>
      <c r="G1257" s="435"/>
      <c r="H1257" s="216"/>
      <c r="I1257" s="435"/>
    </row>
    <row r="1258" spans="1:9" ht="12.75">
      <c r="A1258" s="669"/>
      <c r="B1258" s="670"/>
      <c r="C1258" s="216"/>
      <c r="D1258" s="216"/>
      <c r="E1258" s="216"/>
      <c r="F1258" s="216"/>
      <c r="G1258" s="435"/>
      <c r="H1258" s="216"/>
      <c r="I1258" s="435"/>
    </row>
    <row r="1259" spans="1:9" ht="12.75">
      <c r="A1259" s="669"/>
      <c r="B1259" s="670"/>
      <c r="C1259" s="216"/>
      <c r="D1259" s="216"/>
      <c r="E1259" s="216"/>
      <c r="F1259" s="216"/>
      <c r="G1259" s="435"/>
      <c r="H1259" s="216"/>
      <c r="I1259" s="435"/>
    </row>
    <row r="1260" spans="1:9" ht="12.75">
      <c r="A1260" s="669"/>
      <c r="B1260" s="670"/>
      <c r="C1260" s="216"/>
      <c r="D1260" s="216"/>
      <c r="E1260" s="216"/>
      <c r="F1260" s="216"/>
      <c r="G1260" s="435"/>
      <c r="H1260" s="216"/>
      <c r="I1260" s="435"/>
    </row>
    <row r="1261" spans="1:9" ht="12.75">
      <c r="A1261" s="669"/>
      <c r="B1261" s="670"/>
      <c r="C1261" s="216"/>
      <c r="D1261" s="216"/>
      <c r="E1261" s="216"/>
      <c r="F1261" s="216"/>
      <c r="G1261" s="435"/>
      <c r="H1261" s="216"/>
      <c r="I1261" s="435"/>
    </row>
    <row r="1262" spans="1:9" ht="12.75">
      <c r="A1262" s="669"/>
      <c r="B1262" s="670"/>
      <c r="C1262" s="216"/>
      <c r="D1262" s="216"/>
      <c r="E1262" s="216"/>
      <c r="F1262" s="216"/>
      <c r="G1262" s="435"/>
      <c r="H1262" s="216"/>
      <c r="I1262" s="435"/>
    </row>
    <row r="1263" spans="1:9" ht="12.75">
      <c r="A1263" s="669"/>
      <c r="B1263" s="670"/>
      <c r="C1263" s="216"/>
      <c r="D1263" s="216"/>
      <c r="E1263" s="216"/>
      <c r="F1263" s="216"/>
      <c r="G1263" s="435"/>
      <c r="H1263" s="216"/>
      <c r="I1263" s="435"/>
    </row>
    <row r="1264" spans="1:9" ht="12.75">
      <c r="A1264" s="669"/>
      <c r="B1264" s="670"/>
      <c r="C1264" s="216"/>
      <c r="D1264" s="216"/>
      <c r="E1264" s="216"/>
      <c r="F1264" s="216"/>
      <c r="G1264" s="435"/>
      <c r="H1264" s="216"/>
      <c r="I1264" s="435"/>
    </row>
    <row r="1265" spans="1:9" ht="12.75">
      <c r="A1265" s="669"/>
      <c r="B1265" s="670"/>
      <c r="C1265" s="216"/>
      <c r="D1265" s="216"/>
      <c r="E1265" s="216"/>
      <c r="F1265" s="216"/>
      <c r="G1265" s="435"/>
      <c r="H1265" s="216"/>
      <c r="I1265" s="435"/>
    </row>
    <row r="1266" spans="1:9" ht="12.75">
      <c r="A1266" s="669"/>
      <c r="B1266" s="670"/>
      <c r="C1266" s="216"/>
      <c r="D1266" s="216"/>
      <c r="E1266" s="216"/>
      <c r="F1266" s="216"/>
      <c r="G1266" s="435"/>
      <c r="H1266" s="216"/>
      <c r="I1266" s="435"/>
    </row>
    <row r="1267" spans="1:9" ht="12.75">
      <c r="A1267" s="669"/>
      <c r="B1267" s="670"/>
      <c r="C1267" s="216"/>
      <c r="D1267" s="216"/>
      <c r="E1267" s="216"/>
      <c r="F1267" s="216"/>
      <c r="G1267" s="435"/>
      <c r="H1267" s="216"/>
      <c r="I1267" s="435"/>
    </row>
    <row r="1268" spans="1:9" ht="12.75">
      <c r="A1268" s="669"/>
      <c r="B1268" s="670"/>
      <c r="C1268" s="216"/>
      <c r="D1268" s="216"/>
      <c r="E1268" s="216"/>
      <c r="F1268" s="216"/>
      <c r="G1268" s="435"/>
      <c r="H1268" s="216"/>
      <c r="I1268" s="435"/>
    </row>
    <row r="1269" spans="1:9" ht="12.75">
      <c r="A1269" s="669"/>
      <c r="B1269" s="670"/>
      <c r="C1269" s="216"/>
      <c r="D1269" s="216"/>
      <c r="E1269" s="216"/>
      <c r="F1269" s="216"/>
      <c r="G1269" s="435"/>
      <c r="H1269" s="216"/>
      <c r="I1269" s="435"/>
    </row>
    <row r="1270" spans="1:9" ht="12.75">
      <c r="A1270" s="669"/>
      <c r="B1270" s="670"/>
      <c r="C1270" s="216"/>
      <c r="D1270" s="216"/>
      <c r="E1270" s="216"/>
      <c r="F1270" s="216"/>
      <c r="G1270" s="435"/>
      <c r="H1270" s="216"/>
      <c r="I1270" s="435"/>
    </row>
    <row r="1271" spans="1:9" ht="12.75">
      <c r="A1271" s="669"/>
      <c r="B1271" s="670"/>
      <c r="C1271" s="216"/>
      <c r="D1271" s="216"/>
      <c r="E1271" s="216"/>
      <c r="F1271" s="216"/>
      <c r="G1271" s="435"/>
      <c r="H1271" s="216"/>
      <c r="I1271" s="435"/>
    </row>
    <row r="1272" spans="1:9" ht="12.75">
      <c r="A1272" s="669"/>
      <c r="B1272" s="670"/>
      <c r="C1272" s="216"/>
      <c r="D1272" s="216"/>
      <c r="E1272" s="216"/>
      <c r="F1272" s="216"/>
      <c r="G1272" s="435"/>
      <c r="H1272" s="216"/>
      <c r="I1272" s="435"/>
    </row>
    <row r="1273" spans="1:9" ht="12.75">
      <c r="A1273" s="669"/>
      <c r="B1273" s="670"/>
      <c r="C1273" s="216"/>
      <c r="D1273" s="216"/>
      <c r="E1273" s="216"/>
      <c r="F1273" s="216"/>
      <c r="G1273" s="435"/>
      <c r="H1273" s="216"/>
      <c r="I1273" s="435"/>
    </row>
    <row r="1274" spans="1:9" ht="12.75">
      <c r="A1274" s="669"/>
      <c r="B1274" s="670"/>
      <c r="C1274" s="216"/>
      <c r="D1274" s="216"/>
      <c r="E1274" s="216"/>
      <c r="F1274" s="216"/>
      <c r="G1274" s="435"/>
      <c r="H1274" s="216"/>
      <c r="I1274" s="435"/>
    </row>
    <row r="1275" spans="1:9" ht="12.75">
      <c r="A1275" s="669"/>
      <c r="B1275" s="670"/>
      <c r="C1275" s="216"/>
      <c r="D1275" s="216"/>
      <c r="E1275" s="216"/>
      <c r="F1275" s="216"/>
      <c r="G1275" s="435"/>
      <c r="H1275" s="216"/>
      <c r="I1275" s="435"/>
    </row>
    <row r="1276" spans="1:9" ht="12.75">
      <c r="A1276" s="669"/>
      <c r="B1276" s="670"/>
      <c r="C1276" s="216"/>
      <c r="D1276" s="216"/>
      <c r="E1276" s="216"/>
      <c r="F1276" s="216"/>
      <c r="G1276" s="435"/>
      <c r="H1276" s="216"/>
      <c r="I1276" s="435"/>
    </row>
    <row r="1277" spans="1:9" ht="12.75">
      <c r="A1277" s="669"/>
      <c r="B1277" s="670"/>
      <c r="C1277" s="216"/>
      <c r="D1277" s="216"/>
      <c r="E1277" s="216"/>
      <c r="F1277" s="216"/>
      <c r="G1277" s="435"/>
      <c r="H1277" s="216"/>
      <c r="I1277" s="435"/>
    </row>
    <row r="1278" spans="1:9" ht="12.75">
      <c r="A1278" s="669"/>
      <c r="B1278" s="670"/>
      <c r="C1278" s="216"/>
      <c r="D1278" s="216"/>
      <c r="E1278" s="216"/>
      <c r="F1278" s="216"/>
      <c r="G1278" s="435"/>
      <c r="H1278" s="216"/>
      <c r="I1278" s="435"/>
    </row>
    <row r="1279" spans="1:9" ht="12.75">
      <c r="A1279" s="669"/>
      <c r="B1279" s="670"/>
      <c r="C1279" s="216"/>
      <c r="D1279" s="216"/>
      <c r="E1279" s="216"/>
      <c r="F1279" s="216"/>
      <c r="G1279" s="435"/>
      <c r="H1279" s="216"/>
      <c r="I1279" s="435"/>
    </row>
    <row r="1280" spans="1:9" ht="12.75">
      <c r="A1280" s="669"/>
      <c r="B1280" s="670"/>
      <c r="C1280" s="216"/>
      <c r="D1280" s="216"/>
      <c r="E1280" s="216"/>
      <c r="F1280" s="216"/>
      <c r="G1280" s="435"/>
      <c r="H1280" s="216"/>
      <c r="I1280" s="435"/>
    </row>
    <row r="1281" spans="1:9" ht="12.75">
      <c r="A1281" s="669"/>
      <c r="B1281" s="670"/>
      <c r="C1281" s="216"/>
      <c r="D1281" s="216"/>
      <c r="E1281" s="216"/>
      <c r="F1281" s="216"/>
      <c r="G1281" s="435"/>
      <c r="H1281" s="216"/>
      <c r="I1281" s="435"/>
    </row>
    <row r="1282" spans="1:9" ht="12.75">
      <c r="A1282" s="669"/>
      <c r="B1282" s="670"/>
      <c r="C1282" s="216"/>
      <c r="D1282" s="216"/>
      <c r="E1282" s="216"/>
      <c r="F1282" s="216"/>
      <c r="G1282" s="435"/>
      <c r="H1282" s="216"/>
      <c r="I1282" s="435"/>
    </row>
    <row r="1283" spans="1:9" ht="12.75">
      <c r="A1283" s="669"/>
      <c r="B1283" s="670"/>
      <c r="C1283" s="216"/>
      <c r="D1283" s="216"/>
      <c r="E1283" s="216"/>
      <c r="F1283" s="216"/>
      <c r="G1283" s="435"/>
      <c r="H1283" s="216"/>
      <c r="I1283" s="435"/>
    </row>
    <row r="1284" spans="1:9" ht="12.75">
      <c r="A1284" s="669"/>
      <c r="B1284" s="670"/>
      <c r="C1284" s="216"/>
      <c r="D1284" s="216"/>
      <c r="E1284" s="216"/>
      <c r="F1284" s="216"/>
      <c r="G1284" s="435"/>
      <c r="H1284" s="216"/>
      <c r="I1284" s="435"/>
    </row>
    <row r="1285" spans="1:9" ht="12.75">
      <c r="A1285" s="669"/>
      <c r="B1285" s="670"/>
      <c r="C1285" s="216"/>
      <c r="D1285" s="216"/>
      <c r="E1285" s="216"/>
      <c r="F1285" s="216"/>
      <c r="G1285" s="435"/>
      <c r="H1285" s="216"/>
      <c r="I1285" s="435"/>
    </row>
    <row r="1286" spans="1:9" ht="12.75">
      <c r="A1286" s="669"/>
      <c r="B1286" s="670"/>
      <c r="C1286" s="216"/>
      <c r="D1286" s="216"/>
      <c r="E1286" s="216"/>
      <c r="F1286" s="216"/>
      <c r="G1286" s="435"/>
      <c r="H1286" s="216"/>
      <c r="I1286" s="435"/>
    </row>
    <row r="1287" spans="1:9" ht="12.75">
      <c r="A1287" s="669"/>
      <c r="B1287" s="670"/>
      <c r="C1287" s="216"/>
      <c r="D1287" s="216"/>
      <c r="E1287" s="216"/>
      <c r="F1287" s="216"/>
      <c r="G1287" s="435"/>
      <c r="H1287" s="216"/>
      <c r="I1287" s="435"/>
    </row>
    <row r="1288" spans="1:9" ht="12.75">
      <c r="A1288" s="669"/>
      <c r="B1288" s="670"/>
      <c r="C1288" s="216"/>
      <c r="D1288" s="216"/>
      <c r="E1288" s="216"/>
      <c r="F1288" s="216"/>
      <c r="G1288" s="435"/>
      <c r="H1288" s="216"/>
      <c r="I1288" s="435"/>
    </row>
    <row r="1289" spans="1:9" ht="12.75">
      <c r="A1289" s="669"/>
      <c r="B1289" s="670"/>
      <c r="C1289" s="216"/>
      <c r="D1289" s="216"/>
      <c r="E1289" s="216"/>
      <c r="F1289" s="216"/>
      <c r="G1289" s="435"/>
      <c r="H1289" s="216"/>
      <c r="I1289" s="435"/>
    </row>
    <row r="1290" spans="1:9" ht="12.75">
      <c r="A1290" s="669"/>
      <c r="B1290" s="670"/>
      <c r="C1290" s="216"/>
      <c r="D1290" s="216"/>
      <c r="E1290" s="216"/>
      <c r="F1290" s="216"/>
      <c r="G1290" s="435"/>
      <c r="H1290" s="216"/>
      <c r="I1290" s="435"/>
    </row>
    <row r="1291" spans="1:9" ht="12.75">
      <c r="A1291" s="669"/>
      <c r="B1291" s="670"/>
      <c r="C1291" s="216"/>
      <c r="D1291" s="216"/>
      <c r="E1291" s="216"/>
      <c r="F1291" s="216"/>
      <c r="G1291" s="435"/>
      <c r="H1291" s="216"/>
      <c r="I1291" s="435"/>
    </row>
    <row r="1292" spans="1:9" ht="12.75">
      <c r="A1292" s="669"/>
      <c r="B1292" s="670"/>
      <c r="C1292" s="216"/>
      <c r="D1292" s="216"/>
      <c r="E1292" s="216"/>
      <c r="F1292" s="216"/>
      <c r="G1292" s="435"/>
      <c r="H1292" s="216"/>
      <c r="I1292" s="435"/>
    </row>
    <row r="1293" spans="1:9" ht="12.75">
      <c r="A1293" s="669"/>
      <c r="B1293" s="670"/>
      <c r="C1293" s="216"/>
      <c r="D1293" s="216"/>
      <c r="E1293" s="216"/>
      <c r="F1293" s="216"/>
      <c r="G1293" s="435"/>
      <c r="H1293" s="216"/>
      <c r="I1293" s="435"/>
    </row>
    <row r="1294" spans="1:9" ht="12.75">
      <c r="A1294" s="669"/>
      <c r="B1294" s="670"/>
      <c r="C1294" s="216"/>
      <c r="D1294" s="216"/>
      <c r="E1294" s="216"/>
      <c r="F1294" s="216"/>
      <c r="G1294" s="435"/>
      <c r="H1294" s="216"/>
      <c r="I1294" s="435"/>
    </row>
    <row r="1295" spans="1:9" ht="12.75">
      <c r="A1295" s="669"/>
      <c r="B1295" s="670"/>
      <c r="C1295" s="216"/>
      <c r="D1295" s="216"/>
      <c r="E1295" s="216"/>
      <c r="F1295" s="216"/>
      <c r="G1295" s="435"/>
      <c r="H1295" s="216"/>
      <c r="I1295" s="435"/>
    </row>
    <row r="1296" spans="1:9" ht="12.75">
      <c r="A1296" s="669"/>
      <c r="B1296" s="670"/>
      <c r="C1296" s="216"/>
      <c r="D1296" s="216"/>
      <c r="E1296" s="216"/>
      <c r="F1296" s="216"/>
      <c r="G1296" s="435"/>
      <c r="H1296" s="216"/>
      <c r="I1296" s="435"/>
    </row>
    <row r="1297" spans="1:9" ht="12.75">
      <c r="A1297" s="669"/>
      <c r="B1297" s="670"/>
      <c r="C1297" s="216"/>
      <c r="D1297" s="216"/>
      <c r="E1297" s="216"/>
      <c r="F1297" s="216"/>
      <c r="G1297" s="435"/>
      <c r="H1297" s="216"/>
      <c r="I1297" s="435"/>
    </row>
    <row r="1298" spans="1:9" ht="12.75">
      <c r="A1298" s="669"/>
      <c r="B1298" s="670"/>
      <c r="C1298" s="216"/>
      <c r="D1298" s="216"/>
      <c r="E1298" s="216"/>
      <c r="F1298" s="216"/>
      <c r="G1298" s="435"/>
      <c r="H1298" s="216"/>
      <c r="I1298" s="435"/>
    </row>
    <row r="1299" spans="1:9" ht="12.75">
      <c r="A1299" s="669"/>
      <c r="B1299" s="670"/>
      <c r="C1299" s="216"/>
      <c r="D1299" s="216"/>
      <c r="E1299" s="216"/>
      <c r="F1299" s="216"/>
      <c r="G1299" s="435"/>
      <c r="H1299" s="216"/>
      <c r="I1299" s="435"/>
    </row>
    <row r="1300" spans="1:9" ht="12.75">
      <c r="A1300" s="669"/>
      <c r="B1300" s="670"/>
      <c r="C1300" s="216"/>
      <c r="D1300" s="216"/>
      <c r="E1300" s="216"/>
      <c r="F1300" s="216"/>
      <c r="G1300" s="435"/>
      <c r="H1300" s="216"/>
      <c r="I1300" s="435"/>
    </row>
    <row r="1301" spans="1:9" ht="12.75">
      <c r="A1301" s="669"/>
      <c r="B1301" s="670"/>
      <c r="C1301" s="216"/>
      <c r="D1301" s="216"/>
      <c r="E1301" s="216"/>
      <c r="F1301" s="216"/>
      <c r="G1301" s="435"/>
      <c r="H1301" s="216"/>
      <c r="I1301" s="435"/>
    </row>
    <row r="1302" spans="1:9" ht="12.75">
      <c r="A1302" s="669"/>
      <c r="B1302" s="670"/>
      <c r="C1302" s="216"/>
      <c r="D1302" s="216"/>
      <c r="E1302" s="216"/>
      <c r="F1302" s="216"/>
      <c r="G1302" s="435"/>
      <c r="H1302" s="216"/>
      <c r="I1302" s="435"/>
    </row>
    <row r="1303" spans="1:9" ht="12.75">
      <c r="A1303" s="669"/>
      <c r="B1303" s="670"/>
      <c r="C1303" s="216"/>
      <c r="D1303" s="216"/>
      <c r="E1303" s="216"/>
      <c r="F1303" s="216"/>
      <c r="G1303" s="435"/>
      <c r="H1303" s="216"/>
      <c r="I1303" s="435"/>
    </row>
    <row r="1304" spans="1:9" ht="12.75">
      <c r="A1304" s="669"/>
      <c r="B1304" s="670"/>
      <c r="C1304" s="216"/>
      <c r="D1304" s="216"/>
      <c r="E1304" s="216"/>
      <c r="F1304" s="216"/>
      <c r="G1304" s="435"/>
      <c r="H1304" s="216"/>
      <c r="I1304" s="435"/>
    </row>
    <row r="1305" spans="1:9" ht="12.75">
      <c r="A1305" s="669"/>
      <c r="B1305" s="670"/>
      <c r="C1305" s="216"/>
      <c r="D1305" s="216"/>
      <c r="E1305" s="216"/>
      <c r="F1305" s="216"/>
      <c r="G1305" s="435"/>
      <c r="H1305" s="216"/>
      <c r="I1305" s="435"/>
    </row>
    <row r="1306" spans="1:9" ht="12.75">
      <c r="A1306" s="669"/>
      <c r="B1306" s="670"/>
      <c r="C1306" s="216"/>
      <c r="D1306" s="216"/>
      <c r="E1306" s="216"/>
      <c r="F1306" s="216"/>
      <c r="G1306" s="435"/>
      <c r="H1306" s="216"/>
      <c r="I1306" s="435"/>
    </row>
    <row r="1307" spans="1:9" ht="12.75">
      <c r="A1307" s="669"/>
      <c r="B1307" s="670"/>
      <c r="C1307" s="216"/>
      <c r="D1307" s="216"/>
      <c r="E1307" s="216"/>
      <c r="F1307" s="216"/>
      <c r="G1307" s="435"/>
      <c r="H1307" s="216"/>
      <c r="I1307" s="435"/>
    </row>
    <row r="1308" spans="1:9" ht="12.75">
      <c r="A1308" s="669"/>
      <c r="B1308" s="670"/>
      <c r="C1308" s="216"/>
      <c r="D1308" s="216"/>
      <c r="E1308" s="216"/>
      <c r="F1308" s="216"/>
      <c r="G1308" s="435"/>
      <c r="H1308" s="216"/>
      <c r="I1308" s="435"/>
    </row>
    <row r="1309" spans="1:9" ht="12.75">
      <c r="A1309" s="669"/>
      <c r="B1309" s="670"/>
      <c r="C1309" s="216"/>
      <c r="D1309" s="216"/>
      <c r="E1309" s="216"/>
      <c r="F1309" s="216"/>
      <c r="G1309" s="435"/>
      <c r="H1309" s="216"/>
      <c r="I1309" s="435"/>
    </row>
    <row r="1310" spans="1:9" ht="12.75">
      <c r="A1310" s="669"/>
      <c r="B1310" s="670"/>
      <c r="C1310" s="216"/>
      <c r="D1310" s="216"/>
      <c r="E1310" s="216"/>
      <c r="F1310" s="216"/>
      <c r="G1310" s="435"/>
      <c r="H1310" s="216"/>
      <c r="I1310" s="435"/>
    </row>
    <row r="1311" spans="1:9" ht="12.75">
      <c r="A1311" s="669"/>
      <c r="B1311" s="670"/>
      <c r="C1311" s="216"/>
      <c r="D1311" s="216"/>
      <c r="E1311" s="216"/>
      <c r="F1311" s="216"/>
      <c r="G1311" s="435"/>
      <c r="H1311" s="216"/>
      <c r="I1311" s="435"/>
    </row>
    <row r="1312" spans="1:9" ht="12.75">
      <c r="A1312" s="669"/>
      <c r="B1312" s="670"/>
      <c r="C1312" s="216"/>
      <c r="D1312" s="216"/>
      <c r="E1312" s="216"/>
      <c r="F1312" s="216"/>
      <c r="G1312" s="435"/>
      <c r="H1312" s="216"/>
      <c r="I1312" s="435"/>
    </row>
    <row r="1313" spans="1:9" ht="12.75">
      <c r="A1313" s="669"/>
      <c r="B1313" s="670"/>
      <c r="C1313" s="216"/>
      <c r="D1313" s="216"/>
      <c r="E1313" s="216"/>
      <c r="F1313" s="216"/>
      <c r="G1313" s="435"/>
      <c r="H1313" s="216"/>
      <c r="I1313" s="435"/>
    </row>
    <row r="1314" spans="1:9" ht="12.75">
      <c r="A1314" s="669"/>
      <c r="B1314" s="670"/>
      <c r="C1314" s="216"/>
      <c r="D1314" s="216"/>
      <c r="E1314" s="216"/>
      <c r="F1314" s="216"/>
      <c r="G1314" s="435"/>
      <c r="H1314" s="216"/>
      <c r="I1314" s="435"/>
    </row>
    <row r="1315" spans="1:9" ht="12.75">
      <c r="A1315" s="669"/>
      <c r="B1315" s="670"/>
      <c r="C1315" s="216"/>
      <c r="D1315" s="216"/>
      <c r="E1315" s="216"/>
      <c r="F1315" s="216"/>
      <c r="G1315" s="435"/>
      <c r="H1315" s="216"/>
      <c r="I1315" s="435"/>
    </row>
    <row r="1316" spans="1:9" ht="12.75">
      <c r="A1316" s="669"/>
      <c r="B1316" s="670"/>
      <c r="C1316" s="216"/>
      <c r="D1316" s="216"/>
      <c r="E1316" s="216"/>
      <c r="F1316" s="216"/>
      <c r="G1316" s="435"/>
      <c r="H1316" s="216"/>
      <c r="I1316" s="435"/>
    </row>
    <row r="1317" spans="1:9" ht="12.75">
      <c r="A1317" s="669"/>
      <c r="B1317" s="670"/>
      <c r="C1317" s="216"/>
      <c r="D1317" s="216"/>
      <c r="E1317" s="216"/>
      <c r="F1317" s="216"/>
      <c r="G1317" s="435"/>
      <c r="H1317" s="216"/>
      <c r="I1317" s="435"/>
    </row>
    <row r="1318" spans="1:9" ht="12.75">
      <c r="A1318" s="669"/>
      <c r="B1318" s="670"/>
      <c r="C1318" s="216"/>
      <c r="D1318" s="216"/>
      <c r="E1318" s="216"/>
      <c r="F1318" s="216"/>
      <c r="G1318" s="435"/>
      <c r="H1318" s="216"/>
      <c r="I1318" s="435"/>
    </row>
    <row r="1319" spans="1:9" ht="12.75">
      <c r="A1319" s="669"/>
      <c r="B1319" s="670"/>
      <c r="C1319" s="216"/>
      <c r="D1319" s="216"/>
      <c r="E1319" s="216"/>
      <c r="F1319" s="216"/>
      <c r="G1319" s="435"/>
      <c r="H1319" s="216"/>
      <c r="I1319" s="435"/>
    </row>
    <row r="1320" spans="1:9" ht="12.75">
      <c r="A1320" s="669"/>
      <c r="B1320" s="670"/>
      <c r="C1320" s="216"/>
      <c r="D1320" s="216"/>
      <c r="E1320" s="216"/>
      <c r="F1320" s="216"/>
      <c r="G1320" s="435"/>
      <c r="H1320" s="216"/>
      <c r="I1320" s="435"/>
    </row>
    <row r="1321" spans="1:9" ht="12.75">
      <c r="A1321" s="669"/>
      <c r="B1321" s="670"/>
      <c r="C1321" s="216"/>
      <c r="D1321" s="216"/>
      <c r="E1321" s="216"/>
      <c r="F1321" s="216"/>
      <c r="G1321" s="435"/>
      <c r="H1321" s="216"/>
      <c r="I1321" s="435"/>
    </row>
    <row r="1322" spans="1:9" ht="12.75">
      <c r="A1322" s="669"/>
      <c r="B1322" s="670"/>
      <c r="C1322" s="216"/>
      <c r="D1322" s="216"/>
      <c r="E1322" s="216"/>
      <c r="F1322" s="216"/>
      <c r="G1322" s="435"/>
      <c r="H1322" s="216"/>
      <c r="I1322" s="435"/>
    </row>
    <row r="1323" spans="1:9" ht="12.75">
      <c r="A1323" s="669"/>
      <c r="B1323" s="670"/>
      <c r="C1323" s="216"/>
      <c r="D1323" s="216"/>
      <c r="E1323" s="216"/>
      <c r="F1323" s="216"/>
      <c r="G1323" s="435"/>
      <c r="H1323" s="216"/>
      <c r="I1323" s="435"/>
    </row>
    <row r="1324" spans="1:9" ht="12.75">
      <c r="A1324" s="669"/>
      <c r="B1324" s="670"/>
      <c r="C1324" s="216"/>
      <c r="D1324" s="216"/>
      <c r="E1324" s="216"/>
      <c r="F1324" s="216"/>
      <c r="G1324" s="435"/>
      <c r="H1324" s="216"/>
      <c r="I1324" s="435"/>
    </row>
    <row r="1325" spans="1:9" ht="12.75">
      <c r="A1325" s="669"/>
      <c r="B1325" s="670"/>
      <c r="C1325" s="216"/>
      <c r="D1325" s="216"/>
      <c r="E1325" s="216"/>
      <c r="F1325" s="216"/>
      <c r="G1325" s="435"/>
      <c r="H1325" s="216"/>
      <c r="I1325" s="435"/>
    </row>
    <row r="1326" spans="1:9" ht="12.75">
      <c r="A1326" s="669"/>
      <c r="B1326" s="670"/>
      <c r="C1326" s="216"/>
      <c r="D1326" s="216"/>
      <c r="E1326" s="216"/>
      <c r="F1326" s="216"/>
      <c r="G1326" s="435"/>
      <c r="H1326" s="216"/>
      <c r="I1326" s="435"/>
    </row>
    <row r="1327" spans="1:9" ht="12.75">
      <c r="A1327" s="669"/>
      <c r="B1327" s="670"/>
      <c r="C1327" s="216"/>
      <c r="D1327" s="216"/>
      <c r="E1327" s="216"/>
      <c r="F1327" s="216"/>
      <c r="G1327" s="435"/>
      <c r="H1327" s="216"/>
      <c r="I1327" s="435"/>
    </row>
    <row r="1328" spans="1:9" ht="12.75">
      <c r="A1328" s="669"/>
      <c r="B1328" s="670"/>
      <c r="C1328" s="216"/>
      <c r="D1328" s="216"/>
      <c r="E1328" s="216"/>
      <c r="F1328" s="216"/>
      <c r="G1328" s="435"/>
      <c r="H1328" s="216"/>
      <c r="I1328" s="435"/>
    </row>
    <row r="1329" spans="1:9" ht="12.75">
      <c r="A1329" s="669"/>
      <c r="B1329" s="670"/>
      <c r="C1329" s="216"/>
      <c r="D1329" s="216"/>
      <c r="E1329" s="216"/>
      <c r="F1329" s="216"/>
      <c r="G1329" s="435"/>
      <c r="H1329" s="216"/>
      <c r="I1329" s="435"/>
    </row>
    <row r="1330" spans="1:9" ht="12.75">
      <c r="A1330" s="669"/>
      <c r="B1330" s="670"/>
      <c r="C1330" s="216"/>
      <c r="D1330" s="216"/>
      <c r="E1330" s="216"/>
      <c r="F1330" s="216"/>
      <c r="G1330" s="435"/>
      <c r="H1330" s="216"/>
      <c r="I1330" s="435"/>
    </row>
    <row r="1331" spans="1:9" ht="12.75">
      <c r="A1331" s="669"/>
      <c r="B1331" s="670"/>
      <c r="C1331" s="216"/>
      <c r="D1331" s="216"/>
      <c r="E1331" s="216"/>
      <c r="F1331" s="216"/>
      <c r="G1331" s="435"/>
      <c r="H1331" s="216"/>
      <c r="I1331" s="435"/>
    </row>
    <row r="1332" spans="1:9" ht="12.75">
      <c r="A1332" s="669"/>
      <c r="B1332" s="670"/>
      <c r="C1332" s="216"/>
      <c r="D1332" s="216"/>
      <c r="E1332" s="216"/>
      <c r="F1332" s="216"/>
      <c r="G1332" s="435"/>
      <c r="H1332" s="216"/>
      <c r="I1332" s="435"/>
    </row>
    <row r="1333" spans="1:9" ht="12.75">
      <c r="A1333" s="669"/>
      <c r="B1333" s="670"/>
      <c r="C1333" s="216"/>
      <c r="D1333" s="216"/>
      <c r="E1333" s="216"/>
      <c r="F1333" s="216"/>
      <c r="G1333" s="435"/>
      <c r="H1333" s="216"/>
      <c r="I1333" s="435"/>
    </row>
    <row r="1334" spans="1:9" ht="12.75">
      <c r="A1334" s="669"/>
      <c r="B1334" s="670"/>
      <c r="C1334" s="216"/>
      <c r="D1334" s="216"/>
      <c r="E1334" s="216"/>
      <c r="F1334" s="216"/>
      <c r="G1334" s="435"/>
      <c r="H1334" s="216"/>
      <c r="I1334" s="435"/>
    </row>
    <row r="1335" spans="1:9" ht="12.75">
      <c r="A1335" s="669"/>
      <c r="B1335" s="670"/>
      <c r="C1335" s="216"/>
      <c r="D1335" s="216"/>
      <c r="E1335" s="216"/>
      <c r="F1335" s="216"/>
      <c r="G1335" s="435"/>
      <c r="H1335" s="216"/>
      <c r="I1335" s="435"/>
    </row>
    <row r="1336" spans="1:9" ht="12.75">
      <c r="A1336" s="669"/>
      <c r="B1336" s="670"/>
      <c r="C1336" s="216"/>
      <c r="D1336" s="216"/>
      <c r="E1336" s="216"/>
      <c r="F1336" s="216"/>
      <c r="G1336" s="435"/>
      <c r="H1336" s="216"/>
      <c r="I1336" s="435"/>
    </row>
    <row r="1337" spans="1:9" ht="12.75">
      <c r="A1337" s="669"/>
      <c r="B1337" s="670"/>
      <c r="C1337" s="216"/>
      <c r="D1337" s="216"/>
      <c r="E1337" s="216"/>
      <c r="F1337" s="216"/>
      <c r="G1337" s="435"/>
      <c r="H1337" s="216"/>
      <c r="I1337" s="435"/>
    </row>
    <row r="1338" spans="1:9" ht="12.75">
      <c r="A1338" s="669"/>
      <c r="B1338" s="670"/>
      <c r="C1338" s="216"/>
      <c r="D1338" s="216"/>
      <c r="E1338" s="216"/>
      <c r="F1338" s="216"/>
      <c r="G1338" s="435"/>
      <c r="H1338" s="216"/>
      <c r="I1338" s="435"/>
    </row>
    <row r="1339" spans="1:9" ht="12.75">
      <c r="A1339" s="669"/>
      <c r="B1339" s="670"/>
      <c r="C1339" s="216"/>
      <c r="D1339" s="216"/>
      <c r="E1339" s="216"/>
      <c r="F1339" s="216"/>
      <c r="G1339" s="435"/>
      <c r="H1339" s="216"/>
      <c r="I1339" s="435"/>
    </row>
    <row r="1340" spans="1:9" ht="12.75">
      <c r="A1340" s="669"/>
      <c r="B1340" s="670"/>
      <c r="C1340" s="216"/>
      <c r="D1340" s="216"/>
      <c r="E1340" s="216"/>
      <c r="F1340" s="216"/>
      <c r="G1340" s="435"/>
      <c r="H1340" s="216"/>
      <c r="I1340" s="435"/>
    </row>
    <row r="1341" spans="1:9" ht="12.75">
      <c r="A1341" s="669"/>
      <c r="B1341" s="670"/>
      <c r="C1341" s="216"/>
      <c r="D1341" s="216"/>
      <c r="E1341" s="216"/>
      <c r="F1341" s="216"/>
      <c r="G1341" s="435"/>
      <c r="H1341" s="216"/>
      <c r="I1341" s="435"/>
    </row>
    <row r="1342" spans="1:9" ht="12.75">
      <c r="A1342" s="669"/>
      <c r="B1342" s="670"/>
      <c r="C1342" s="216"/>
      <c r="D1342" s="216"/>
      <c r="E1342" s="216"/>
      <c r="F1342" s="216"/>
      <c r="G1342" s="435"/>
      <c r="H1342" s="216"/>
      <c r="I1342" s="435"/>
    </row>
    <row r="1343" spans="1:9" ht="12.75">
      <c r="A1343" s="669"/>
      <c r="B1343" s="670"/>
      <c r="C1343" s="216"/>
      <c r="D1343" s="216"/>
      <c r="E1343" s="216"/>
      <c r="F1343" s="216"/>
      <c r="G1343" s="435"/>
      <c r="H1343" s="216"/>
      <c r="I1343" s="435"/>
    </row>
    <row r="1344" spans="1:9" ht="12.75">
      <c r="A1344" s="669"/>
      <c r="B1344" s="670"/>
      <c r="C1344" s="216"/>
      <c r="D1344" s="216"/>
      <c r="E1344" s="216"/>
      <c r="F1344" s="216"/>
      <c r="G1344" s="435"/>
      <c r="H1344" s="216"/>
      <c r="I1344" s="435"/>
    </row>
    <row r="1345" spans="1:9" ht="12.75">
      <c r="A1345" s="669"/>
      <c r="B1345" s="670"/>
      <c r="C1345" s="216"/>
      <c r="D1345" s="216"/>
      <c r="E1345" s="216"/>
      <c r="F1345" s="216"/>
      <c r="G1345" s="435"/>
      <c r="H1345" s="216"/>
      <c r="I1345" s="435"/>
    </row>
    <row r="1346" spans="1:9" ht="12.75">
      <c r="A1346" s="669"/>
      <c r="B1346" s="670"/>
      <c r="C1346" s="216"/>
      <c r="D1346" s="216"/>
      <c r="E1346" s="216"/>
      <c r="F1346" s="216"/>
      <c r="G1346" s="435"/>
      <c r="H1346" s="216"/>
      <c r="I1346" s="435"/>
    </row>
    <row r="1347" spans="1:9" ht="12.75">
      <c r="A1347" s="669"/>
      <c r="B1347" s="670"/>
      <c r="C1347" s="216"/>
      <c r="D1347" s="216"/>
      <c r="E1347" s="216"/>
      <c r="F1347" s="216"/>
      <c r="G1347" s="435"/>
      <c r="H1347" s="216"/>
      <c r="I1347" s="435"/>
    </row>
    <row r="1348" spans="1:9" ht="12.75">
      <c r="A1348" s="669"/>
      <c r="B1348" s="670"/>
      <c r="C1348" s="216"/>
      <c r="D1348" s="216"/>
      <c r="E1348" s="216"/>
      <c r="F1348" s="216"/>
      <c r="G1348" s="435"/>
      <c r="H1348" s="216"/>
      <c r="I1348" s="435"/>
    </row>
    <row r="1349" spans="1:9" ht="12.75">
      <c r="A1349" s="669"/>
      <c r="B1349" s="670"/>
      <c r="C1349" s="216"/>
      <c r="D1349" s="216"/>
      <c r="E1349" s="216"/>
      <c r="F1349" s="216"/>
      <c r="G1349" s="435"/>
      <c r="H1349" s="216"/>
      <c r="I1349" s="435"/>
    </row>
    <row r="1350" spans="1:9" ht="12.75">
      <c r="A1350" s="669"/>
      <c r="B1350" s="670"/>
      <c r="C1350" s="216"/>
      <c r="D1350" s="216"/>
      <c r="E1350" s="216"/>
      <c r="F1350" s="216"/>
      <c r="G1350" s="435"/>
      <c r="H1350" s="216"/>
      <c r="I1350" s="435"/>
    </row>
    <row r="1351" spans="1:9" ht="12.75">
      <c r="A1351" s="669"/>
      <c r="B1351" s="670"/>
      <c r="C1351" s="216"/>
      <c r="D1351" s="216"/>
      <c r="E1351" s="216"/>
      <c r="F1351" s="216"/>
      <c r="G1351" s="435"/>
      <c r="H1351" s="216"/>
      <c r="I1351" s="435"/>
    </row>
    <row r="1352" spans="1:9" ht="12.75">
      <c r="A1352" s="669"/>
      <c r="B1352" s="670"/>
      <c r="C1352" s="216"/>
      <c r="D1352" s="216"/>
      <c r="E1352" s="216"/>
      <c r="F1352" s="216"/>
      <c r="G1352" s="435"/>
      <c r="H1352" s="216"/>
      <c r="I1352" s="435"/>
    </row>
    <row r="1353" spans="1:9" ht="12.75">
      <c r="A1353" s="669"/>
      <c r="B1353" s="670"/>
      <c r="C1353" s="216"/>
      <c r="D1353" s="216"/>
      <c r="E1353" s="216"/>
      <c r="F1353" s="216"/>
      <c r="G1353" s="435"/>
      <c r="H1353" s="216"/>
      <c r="I1353" s="435"/>
    </row>
    <row r="1354" spans="1:9" ht="12.75">
      <c r="A1354" s="669"/>
      <c r="B1354" s="670"/>
      <c r="C1354" s="216"/>
      <c r="D1354" s="216"/>
      <c r="E1354" s="216"/>
      <c r="F1354" s="216"/>
      <c r="G1354" s="435"/>
      <c r="H1354" s="216"/>
      <c r="I1354" s="435"/>
    </row>
    <row r="1355" spans="1:9" ht="12.75">
      <c r="A1355" s="669"/>
      <c r="B1355" s="670"/>
      <c r="C1355" s="216"/>
      <c r="D1355" s="216"/>
      <c r="E1355" s="216"/>
      <c r="F1355" s="216"/>
      <c r="G1355" s="435"/>
      <c r="H1355" s="216"/>
      <c r="I1355" s="435"/>
    </row>
    <row r="1356" spans="1:9" ht="12.75">
      <c r="A1356" s="669"/>
      <c r="B1356" s="670"/>
      <c r="C1356" s="216"/>
      <c r="D1356" s="216"/>
      <c r="E1356" s="216"/>
      <c r="F1356" s="216"/>
      <c r="G1356" s="435"/>
      <c r="H1356" s="216"/>
      <c r="I1356" s="435"/>
    </row>
    <row r="1357" spans="1:9" ht="12.75">
      <c r="A1357" s="669"/>
      <c r="B1357" s="670"/>
      <c r="C1357" s="216"/>
      <c r="D1357" s="216"/>
      <c r="E1357" s="216"/>
      <c r="F1357" s="216"/>
      <c r="G1357" s="435"/>
      <c r="H1357" s="216"/>
      <c r="I1357" s="435"/>
    </row>
    <row r="1358" spans="1:9" ht="12.75">
      <c r="A1358" s="669"/>
      <c r="B1358" s="670"/>
      <c r="C1358" s="216"/>
      <c r="D1358" s="216"/>
      <c r="E1358" s="216"/>
      <c r="F1358" s="216"/>
      <c r="G1358" s="435"/>
      <c r="H1358" s="216"/>
      <c r="I1358" s="435"/>
    </row>
    <row r="1359" spans="1:9" ht="12.75">
      <c r="A1359" s="669"/>
      <c r="B1359" s="670"/>
      <c r="C1359" s="216"/>
      <c r="D1359" s="216"/>
      <c r="E1359" s="216"/>
      <c r="F1359" s="216"/>
      <c r="G1359" s="435"/>
      <c r="H1359" s="216"/>
      <c r="I1359" s="435"/>
    </row>
    <row r="1360" spans="1:9" ht="12.75">
      <c r="A1360" s="669"/>
      <c r="B1360" s="670"/>
      <c r="C1360" s="216"/>
      <c r="D1360" s="216"/>
      <c r="E1360" s="216"/>
      <c r="F1360" s="216"/>
      <c r="G1360" s="435"/>
      <c r="H1360" s="216"/>
      <c r="I1360" s="435"/>
    </row>
    <row r="1361" spans="1:9" ht="12.75">
      <c r="A1361" s="669"/>
      <c r="B1361" s="670"/>
      <c r="C1361" s="216"/>
      <c r="D1361" s="216"/>
      <c r="E1361" s="216"/>
      <c r="F1361" s="216"/>
      <c r="G1361" s="435"/>
      <c r="H1361" s="216"/>
      <c r="I1361" s="435"/>
    </row>
    <row r="1362" spans="1:9" ht="12.75">
      <c r="A1362" s="669"/>
      <c r="B1362" s="670"/>
      <c r="C1362" s="216"/>
      <c r="D1362" s="216"/>
      <c r="E1362" s="216"/>
      <c r="F1362" s="216"/>
      <c r="G1362" s="435"/>
      <c r="H1362" s="216"/>
      <c r="I1362" s="435"/>
    </row>
    <row r="1363" spans="1:9" ht="12.75">
      <c r="A1363" s="669"/>
      <c r="B1363" s="670"/>
      <c r="C1363" s="216"/>
      <c r="D1363" s="216"/>
      <c r="E1363" s="216"/>
      <c r="F1363" s="216"/>
      <c r="G1363" s="435"/>
      <c r="H1363" s="216"/>
      <c r="I1363" s="435"/>
    </row>
    <row r="1364" spans="1:9" ht="12.75">
      <c r="A1364" s="669"/>
      <c r="B1364" s="670"/>
      <c r="C1364" s="216"/>
      <c r="D1364" s="216"/>
      <c r="E1364" s="216"/>
      <c r="F1364" s="216"/>
      <c r="G1364" s="435"/>
      <c r="H1364" s="216"/>
      <c r="I1364" s="435"/>
    </row>
    <row r="1365" spans="1:9" ht="12.75">
      <c r="A1365" s="669"/>
      <c r="B1365" s="670"/>
      <c r="C1365" s="216"/>
      <c r="D1365" s="216"/>
      <c r="E1365" s="216"/>
      <c r="F1365" s="216"/>
      <c r="G1365" s="435"/>
      <c r="H1365" s="216"/>
      <c r="I1365" s="435"/>
    </row>
    <row r="1366" spans="1:9" ht="12.75">
      <c r="A1366" s="669"/>
      <c r="B1366" s="670"/>
      <c r="C1366" s="216"/>
      <c r="D1366" s="216"/>
      <c r="E1366" s="216"/>
      <c r="F1366" s="216"/>
      <c r="G1366" s="435"/>
      <c r="H1366" s="216"/>
      <c r="I1366" s="435"/>
    </row>
    <row r="1367" spans="1:9" ht="12.75">
      <c r="A1367" s="669"/>
      <c r="B1367" s="670"/>
      <c r="C1367" s="216"/>
      <c r="D1367" s="216"/>
      <c r="E1367" s="216"/>
      <c r="F1367" s="216"/>
      <c r="G1367" s="435"/>
      <c r="H1367" s="216"/>
      <c r="I1367" s="435"/>
    </row>
    <row r="1368" spans="1:9" ht="12.75">
      <c r="A1368" s="669"/>
      <c r="B1368" s="670"/>
      <c r="C1368" s="216"/>
      <c r="D1368" s="216"/>
      <c r="E1368" s="216"/>
      <c r="F1368" s="216"/>
      <c r="G1368" s="435"/>
      <c r="H1368" s="216"/>
      <c r="I1368" s="435"/>
    </row>
    <row r="1369" spans="1:9" ht="12.75">
      <c r="A1369" s="669"/>
      <c r="B1369" s="670"/>
      <c r="C1369" s="216"/>
      <c r="D1369" s="216"/>
      <c r="E1369" s="216"/>
      <c r="F1369" s="216"/>
      <c r="G1369" s="435"/>
      <c r="H1369" s="216"/>
      <c r="I1369" s="435"/>
    </row>
    <row r="1370" spans="1:9" ht="12.75">
      <c r="A1370" s="669"/>
      <c r="B1370" s="670"/>
      <c r="C1370" s="216"/>
      <c r="D1370" s="216"/>
      <c r="E1370" s="216"/>
      <c r="F1370" s="216"/>
      <c r="G1370" s="435"/>
      <c r="H1370" s="216"/>
      <c r="I1370" s="435"/>
    </row>
    <row r="1371" spans="1:9" ht="12.75">
      <c r="A1371" s="669"/>
      <c r="B1371" s="670"/>
      <c r="C1371" s="216"/>
      <c r="D1371" s="216"/>
      <c r="E1371" s="216"/>
      <c r="F1371" s="216"/>
      <c r="G1371" s="435"/>
      <c r="H1371" s="216"/>
      <c r="I1371" s="435"/>
    </row>
    <row r="1372" spans="1:9" ht="12.75">
      <c r="A1372" s="669"/>
      <c r="B1372" s="670"/>
      <c r="C1372" s="216"/>
      <c r="D1372" s="216"/>
      <c r="E1372" s="216"/>
      <c r="F1372" s="216"/>
      <c r="G1372" s="435"/>
      <c r="H1372" s="216"/>
      <c r="I1372" s="435"/>
    </row>
    <row r="1373" spans="1:9" ht="12.75">
      <c r="A1373" s="669"/>
      <c r="B1373" s="670"/>
      <c r="C1373" s="216"/>
      <c r="D1373" s="216"/>
      <c r="E1373" s="216"/>
      <c r="F1373" s="216"/>
      <c r="G1373" s="435"/>
      <c r="H1373" s="216"/>
      <c r="I1373" s="435"/>
    </row>
    <row r="1374" spans="1:9" ht="12.75">
      <c r="A1374" s="669"/>
      <c r="B1374" s="670"/>
      <c r="C1374" s="216"/>
      <c r="D1374" s="216"/>
      <c r="E1374" s="216"/>
      <c r="F1374" s="216"/>
      <c r="G1374" s="435"/>
      <c r="H1374" s="216"/>
      <c r="I1374" s="435"/>
    </row>
    <row r="1375" spans="1:9" ht="12.75">
      <c r="A1375" s="669"/>
      <c r="B1375" s="670"/>
      <c r="C1375" s="216"/>
      <c r="D1375" s="216"/>
      <c r="E1375" s="216"/>
      <c r="F1375" s="216"/>
      <c r="G1375" s="435"/>
      <c r="H1375" s="216"/>
      <c r="I1375" s="435"/>
    </row>
    <row r="1376" spans="1:9" ht="12.75">
      <c r="A1376" s="669"/>
      <c r="B1376" s="670"/>
      <c r="C1376" s="216"/>
      <c r="D1376" s="216"/>
      <c r="E1376" s="216"/>
      <c r="F1376" s="216"/>
      <c r="G1376" s="435"/>
      <c r="H1376" s="216"/>
      <c r="I1376" s="435"/>
    </row>
    <row r="1377" spans="1:9" ht="12.75">
      <c r="A1377" s="669"/>
      <c r="B1377" s="670"/>
      <c r="C1377" s="216"/>
      <c r="D1377" s="216"/>
      <c r="E1377" s="216"/>
      <c r="F1377" s="216"/>
      <c r="G1377" s="435"/>
      <c r="H1377" s="216"/>
      <c r="I1377" s="435"/>
    </row>
    <row r="1378" spans="1:9" ht="12.75">
      <c r="A1378" s="669"/>
      <c r="B1378" s="670"/>
      <c r="C1378" s="216"/>
      <c r="D1378" s="216"/>
      <c r="E1378" s="216"/>
      <c r="F1378" s="216"/>
      <c r="G1378" s="435"/>
      <c r="H1378" s="216"/>
      <c r="I1378" s="435"/>
    </row>
    <row r="1379" spans="1:9" ht="12.75">
      <c r="A1379" s="669"/>
      <c r="B1379" s="670"/>
      <c r="C1379" s="216"/>
      <c r="D1379" s="216"/>
      <c r="E1379" s="216"/>
      <c r="F1379" s="216"/>
      <c r="G1379" s="435"/>
      <c r="H1379" s="216"/>
      <c r="I1379" s="435"/>
    </row>
    <row r="1380" spans="1:9" ht="12.75">
      <c r="A1380" s="669"/>
      <c r="B1380" s="670"/>
      <c r="C1380" s="216"/>
      <c r="D1380" s="216"/>
      <c r="E1380" s="216"/>
      <c r="F1380" s="216"/>
      <c r="G1380" s="435"/>
      <c r="H1380" s="216"/>
      <c r="I1380" s="435"/>
    </row>
    <row r="1381" spans="1:9" ht="12.75">
      <c r="A1381" s="669"/>
      <c r="B1381" s="670"/>
      <c r="C1381" s="216"/>
      <c r="D1381" s="216"/>
      <c r="E1381" s="216"/>
      <c r="F1381" s="216"/>
      <c r="G1381" s="435"/>
      <c r="H1381" s="216"/>
      <c r="I1381" s="435"/>
    </row>
    <row r="1382" spans="1:9" ht="12.75">
      <c r="A1382" s="669"/>
      <c r="B1382" s="670"/>
      <c r="C1382" s="216"/>
      <c r="D1382" s="216"/>
      <c r="E1382" s="216"/>
      <c r="F1382" s="216"/>
      <c r="G1382" s="435"/>
      <c r="H1382" s="216"/>
      <c r="I1382" s="435"/>
    </row>
    <row r="1383" spans="1:9" ht="12.75">
      <c r="A1383" s="669"/>
      <c r="B1383" s="670"/>
      <c r="C1383" s="216"/>
      <c r="D1383" s="216"/>
      <c r="E1383" s="216"/>
      <c r="F1383" s="216"/>
      <c r="G1383" s="435"/>
      <c r="H1383" s="216"/>
      <c r="I1383" s="435"/>
    </row>
    <row r="1384" spans="1:9" ht="12.75">
      <c r="A1384" s="669"/>
      <c r="B1384" s="670"/>
      <c r="C1384" s="216"/>
      <c r="D1384" s="216"/>
      <c r="E1384" s="216"/>
      <c r="F1384" s="216"/>
      <c r="G1384" s="435"/>
      <c r="H1384" s="216"/>
      <c r="I1384" s="435"/>
    </row>
    <row r="1385" spans="1:9" ht="12.75">
      <c r="A1385" s="669"/>
      <c r="B1385" s="670"/>
      <c r="C1385" s="216"/>
      <c r="D1385" s="216"/>
      <c r="E1385" s="216"/>
      <c r="F1385" s="216"/>
      <c r="G1385" s="435"/>
      <c r="H1385" s="216"/>
      <c r="I1385" s="435"/>
    </row>
    <row r="1386" spans="1:9" ht="12.75">
      <c r="A1386" s="669"/>
      <c r="B1386" s="670"/>
      <c r="C1386" s="216"/>
      <c r="D1386" s="216"/>
      <c r="E1386" s="216"/>
      <c r="F1386" s="216"/>
      <c r="G1386" s="435"/>
      <c r="H1386" s="216"/>
      <c r="I1386" s="435"/>
    </row>
    <row r="1387" spans="1:9" ht="12.75">
      <c r="A1387" s="669"/>
      <c r="B1387" s="670"/>
      <c r="C1387" s="216"/>
      <c r="D1387" s="216"/>
      <c r="E1387" s="216"/>
      <c r="F1387" s="216"/>
      <c r="G1387" s="435"/>
      <c r="H1387" s="216"/>
      <c r="I1387" s="435"/>
    </row>
    <row r="1388" spans="1:9" ht="12.75">
      <c r="A1388" s="669"/>
      <c r="B1388" s="670"/>
      <c r="C1388" s="216"/>
      <c r="D1388" s="216"/>
      <c r="E1388" s="216"/>
      <c r="F1388" s="216"/>
      <c r="G1388" s="435"/>
      <c r="H1388" s="216"/>
      <c r="I1388" s="435"/>
    </row>
    <row r="1389" spans="1:9" ht="12.75">
      <c r="A1389" s="669"/>
      <c r="B1389" s="670"/>
      <c r="C1389" s="216"/>
      <c r="D1389" s="216"/>
      <c r="E1389" s="216"/>
      <c r="F1389" s="216"/>
      <c r="G1389" s="435"/>
      <c r="H1389" s="216"/>
      <c r="I1389" s="435"/>
    </row>
    <row r="1390" spans="1:9" ht="12.75">
      <c r="A1390" s="669"/>
      <c r="B1390" s="670"/>
      <c r="C1390" s="216"/>
      <c r="D1390" s="216"/>
      <c r="E1390" s="216"/>
      <c r="F1390" s="216"/>
      <c r="G1390" s="435"/>
      <c r="H1390" s="216"/>
      <c r="I1390" s="435"/>
    </row>
    <row r="1391" spans="1:9" ht="12.75">
      <c r="A1391" s="669"/>
      <c r="B1391" s="670"/>
      <c r="C1391" s="216"/>
      <c r="D1391" s="216"/>
      <c r="E1391" s="216"/>
      <c r="F1391" s="216"/>
      <c r="G1391" s="435"/>
      <c r="H1391" s="216"/>
      <c r="I1391" s="435"/>
    </row>
    <row r="1392" spans="1:9" ht="12.75">
      <c r="A1392" s="669"/>
      <c r="B1392" s="670"/>
      <c r="C1392" s="216"/>
      <c r="D1392" s="216"/>
      <c r="E1392" s="216"/>
      <c r="F1392" s="216"/>
      <c r="G1392" s="435"/>
      <c r="H1392" s="216"/>
      <c r="I1392" s="435"/>
    </row>
    <row r="1393" spans="1:9" ht="12.75">
      <c r="A1393" s="669"/>
      <c r="B1393" s="670"/>
      <c r="C1393" s="216"/>
      <c r="D1393" s="216"/>
      <c r="E1393" s="216"/>
      <c r="F1393" s="216"/>
      <c r="G1393" s="435"/>
      <c r="H1393" s="216"/>
      <c r="I1393" s="435"/>
    </row>
    <row r="1394" spans="1:9" ht="12.75">
      <c r="A1394" s="669"/>
      <c r="B1394" s="670"/>
      <c r="C1394" s="216"/>
      <c r="D1394" s="216"/>
      <c r="E1394" s="216"/>
      <c r="F1394" s="216"/>
      <c r="G1394" s="435"/>
      <c r="H1394" s="216"/>
      <c r="I1394" s="435"/>
    </row>
    <row r="1395" spans="1:9" ht="12.75">
      <c r="A1395" s="669"/>
      <c r="B1395" s="670"/>
      <c r="C1395" s="216"/>
      <c r="D1395" s="216"/>
      <c r="E1395" s="216"/>
      <c r="F1395" s="216"/>
      <c r="G1395" s="435"/>
      <c r="H1395" s="216"/>
      <c r="I1395" s="435"/>
    </row>
    <row r="1396" spans="1:9" ht="12.75">
      <c r="A1396" s="669"/>
      <c r="B1396" s="670"/>
      <c r="C1396" s="216"/>
      <c r="D1396" s="216"/>
      <c r="E1396" s="216"/>
      <c r="F1396" s="216"/>
      <c r="G1396" s="435"/>
      <c r="H1396" s="216"/>
      <c r="I1396" s="435"/>
    </row>
    <row r="1397" spans="1:9" ht="12.75">
      <c r="A1397" s="669"/>
      <c r="B1397" s="670"/>
      <c r="C1397" s="216"/>
      <c r="D1397" s="216"/>
      <c r="E1397" s="216"/>
      <c r="F1397" s="216"/>
      <c r="G1397" s="435"/>
      <c r="H1397" s="216"/>
      <c r="I1397" s="435"/>
    </row>
    <row r="1398" spans="1:9" ht="12.75">
      <c r="A1398" s="669"/>
      <c r="B1398" s="670"/>
      <c r="C1398" s="216"/>
      <c r="D1398" s="216"/>
      <c r="E1398" s="216"/>
      <c r="F1398" s="216"/>
      <c r="G1398" s="435"/>
      <c r="H1398" s="216"/>
      <c r="I1398" s="435"/>
    </row>
    <row r="1399" spans="1:9" ht="12.75">
      <c r="A1399" s="669"/>
      <c r="B1399" s="670"/>
      <c r="C1399" s="216"/>
      <c r="D1399" s="216"/>
      <c r="E1399" s="216"/>
      <c r="F1399" s="216"/>
      <c r="G1399" s="435"/>
      <c r="H1399" s="216"/>
      <c r="I1399" s="435"/>
    </row>
    <row r="1400" spans="1:9" ht="12.75">
      <c r="A1400" s="669"/>
      <c r="B1400" s="670"/>
      <c r="C1400" s="216"/>
      <c r="D1400" s="216"/>
      <c r="E1400" s="216"/>
      <c r="F1400" s="216"/>
      <c r="G1400" s="435"/>
      <c r="H1400" s="216"/>
      <c r="I1400" s="435"/>
    </row>
    <row r="1401" spans="1:9" ht="12.75">
      <c r="A1401" s="669"/>
      <c r="B1401" s="670"/>
      <c r="C1401" s="216"/>
      <c r="D1401" s="216"/>
      <c r="E1401" s="216"/>
      <c r="F1401" s="216"/>
      <c r="G1401" s="435"/>
      <c r="H1401" s="216"/>
      <c r="I1401" s="435"/>
    </row>
    <row r="1402" spans="1:9" ht="12.75">
      <c r="A1402" s="669"/>
      <c r="B1402" s="670"/>
      <c r="C1402" s="216"/>
      <c r="D1402" s="216"/>
      <c r="E1402" s="216"/>
      <c r="F1402" s="216"/>
      <c r="G1402" s="435"/>
      <c r="H1402" s="216"/>
      <c r="I1402" s="435"/>
    </row>
    <row r="1403" spans="1:9" ht="12.75">
      <c r="A1403" s="669"/>
      <c r="B1403" s="670"/>
      <c r="C1403" s="216"/>
      <c r="D1403" s="216"/>
      <c r="E1403" s="216"/>
      <c r="F1403" s="216"/>
      <c r="G1403" s="435"/>
      <c r="H1403" s="216"/>
      <c r="I1403" s="435"/>
    </row>
    <row r="1404" spans="1:9" ht="12.75">
      <c r="A1404" s="669"/>
      <c r="B1404" s="670"/>
      <c r="C1404" s="216"/>
      <c r="D1404" s="216"/>
      <c r="E1404" s="216"/>
      <c r="F1404" s="216"/>
      <c r="G1404" s="435"/>
      <c r="H1404" s="216"/>
      <c r="I1404" s="435"/>
    </row>
    <row r="1405" spans="1:9" ht="12.75">
      <c r="A1405" s="669"/>
      <c r="B1405" s="670"/>
      <c r="C1405" s="216"/>
      <c r="D1405" s="216"/>
      <c r="E1405" s="216"/>
      <c r="F1405" s="216"/>
      <c r="G1405" s="435"/>
      <c r="H1405" s="216"/>
      <c r="I1405" s="435"/>
    </row>
    <row r="1406" spans="1:9" ht="12.75">
      <c r="A1406" s="669"/>
      <c r="B1406" s="670"/>
      <c r="C1406" s="216"/>
      <c r="D1406" s="216"/>
      <c r="E1406" s="216"/>
      <c r="F1406" s="216"/>
      <c r="G1406" s="435"/>
      <c r="H1406" s="216"/>
      <c r="I1406" s="435"/>
    </row>
    <row r="1407" spans="1:9" ht="12.75">
      <c r="A1407" s="669"/>
      <c r="B1407" s="670"/>
      <c r="C1407" s="216"/>
      <c r="D1407" s="216"/>
      <c r="E1407" s="216"/>
      <c r="F1407" s="216"/>
      <c r="G1407" s="435"/>
      <c r="H1407" s="216"/>
      <c r="I1407" s="435"/>
    </row>
    <row r="1408" spans="1:9" ht="12.75">
      <c r="A1408" s="669"/>
      <c r="B1408" s="670"/>
      <c r="C1408" s="216"/>
      <c r="D1408" s="216"/>
      <c r="E1408" s="216"/>
      <c r="F1408" s="216"/>
      <c r="G1408" s="435"/>
      <c r="H1408" s="216"/>
      <c r="I1408" s="435"/>
    </row>
    <row r="1409" spans="1:9" ht="12.75">
      <c r="A1409" s="669"/>
      <c r="B1409" s="670"/>
      <c r="C1409" s="216"/>
      <c r="D1409" s="216"/>
      <c r="E1409" s="216"/>
      <c r="F1409" s="216"/>
      <c r="G1409" s="435"/>
      <c r="H1409" s="216"/>
      <c r="I1409" s="435"/>
    </row>
    <row r="1410" spans="1:9" ht="12.75">
      <c r="A1410" s="669"/>
      <c r="B1410" s="670"/>
      <c r="C1410" s="216"/>
      <c r="D1410" s="216"/>
      <c r="E1410" s="216"/>
      <c r="F1410" s="216"/>
      <c r="G1410" s="435"/>
      <c r="H1410" s="216"/>
      <c r="I1410" s="435"/>
    </row>
    <row r="1411" spans="1:9" ht="12.75">
      <c r="A1411" s="669"/>
      <c r="B1411" s="670"/>
      <c r="C1411" s="216"/>
      <c r="D1411" s="216"/>
      <c r="E1411" s="216"/>
      <c r="F1411" s="216"/>
      <c r="G1411" s="435"/>
      <c r="H1411" s="216"/>
      <c r="I1411" s="435"/>
    </row>
    <row r="1412" spans="1:9" ht="12.75">
      <c r="A1412" s="669"/>
      <c r="B1412" s="670"/>
      <c r="C1412" s="216"/>
      <c r="D1412" s="216"/>
      <c r="E1412" s="216"/>
      <c r="F1412" s="216"/>
      <c r="G1412" s="435"/>
      <c r="H1412" s="216"/>
      <c r="I1412" s="435"/>
    </row>
    <row r="1413" spans="1:9" ht="12.75">
      <c r="A1413" s="669"/>
      <c r="B1413" s="670"/>
      <c r="C1413" s="216"/>
      <c r="D1413" s="216"/>
      <c r="E1413" s="216"/>
      <c r="F1413" s="216"/>
      <c r="G1413" s="435"/>
      <c r="H1413" s="216"/>
      <c r="I1413" s="435"/>
    </row>
    <row r="1414" spans="1:9" ht="12.75">
      <c r="A1414" s="669"/>
      <c r="B1414" s="670"/>
      <c r="C1414" s="216"/>
      <c r="D1414" s="216"/>
      <c r="E1414" s="216"/>
      <c r="F1414" s="216"/>
      <c r="G1414" s="435"/>
      <c r="H1414" s="216"/>
      <c r="I1414" s="435"/>
    </row>
    <row r="1415" spans="1:9" ht="12.75">
      <c r="A1415" s="669"/>
      <c r="B1415" s="670"/>
      <c r="C1415" s="216"/>
      <c r="D1415" s="216"/>
      <c r="E1415" s="216"/>
      <c r="F1415" s="216"/>
      <c r="G1415" s="435"/>
      <c r="H1415" s="216"/>
      <c r="I1415" s="435"/>
    </row>
    <row r="1416" spans="1:9" ht="12.75">
      <c r="A1416" s="669"/>
      <c r="B1416" s="670"/>
      <c r="C1416" s="216"/>
      <c r="D1416" s="216"/>
      <c r="E1416" s="216"/>
      <c r="F1416" s="216"/>
      <c r="G1416" s="435"/>
      <c r="H1416" s="216"/>
      <c r="I1416" s="435"/>
    </row>
    <row r="1417" spans="1:9" ht="12.75">
      <c r="A1417" s="669"/>
      <c r="B1417" s="670"/>
      <c r="C1417" s="216"/>
      <c r="D1417" s="216"/>
      <c r="E1417" s="216"/>
      <c r="F1417" s="216"/>
      <c r="G1417" s="435"/>
      <c r="H1417" s="216"/>
      <c r="I1417" s="435"/>
    </row>
    <row r="1418" spans="1:9" ht="12.75">
      <c r="A1418" s="669"/>
      <c r="B1418" s="670"/>
      <c r="C1418" s="216"/>
      <c r="D1418" s="216"/>
      <c r="E1418" s="216"/>
      <c r="F1418" s="216"/>
      <c r="G1418" s="435"/>
      <c r="H1418" s="216"/>
      <c r="I1418" s="435"/>
    </row>
    <row r="1419" spans="1:9" ht="12.75">
      <c r="A1419" s="669"/>
      <c r="B1419" s="670"/>
      <c r="C1419" s="216"/>
      <c r="D1419" s="216"/>
      <c r="E1419" s="216"/>
      <c r="F1419" s="216"/>
      <c r="G1419" s="435"/>
      <c r="H1419" s="216"/>
      <c r="I1419" s="435"/>
    </row>
    <row r="1420" spans="1:9" ht="12.75">
      <c r="A1420" s="669"/>
      <c r="B1420" s="670"/>
      <c r="C1420" s="216"/>
      <c r="D1420" s="216"/>
      <c r="E1420" s="216"/>
      <c r="F1420" s="216"/>
      <c r="G1420" s="435"/>
      <c r="H1420" s="216"/>
      <c r="I1420" s="435"/>
    </row>
    <row r="1421" spans="1:9" ht="12.75">
      <c r="A1421" s="669"/>
      <c r="B1421" s="670"/>
      <c r="C1421" s="216"/>
      <c r="D1421" s="216"/>
      <c r="E1421" s="216"/>
      <c r="F1421" s="216"/>
      <c r="G1421" s="435"/>
      <c r="H1421" s="216"/>
      <c r="I1421" s="435"/>
    </row>
    <row r="1422" spans="1:9" ht="12.75">
      <c r="A1422" s="669"/>
      <c r="B1422" s="670"/>
      <c r="C1422" s="216"/>
      <c r="D1422" s="216"/>
      <c r="E1422" s="216"/>
      <c r="F1422" s="216"/>
      <c r="G1422" s="435"/>
      <c r="H1422" s="216"/>
      <c r="I1422" s="435"/>
    </row>
    <row r="1423" spans="1:9" ht="12.75">
      <c r="A1423" s="669"/>
      <c r="B1423" s="670"/>
      <c r="C1423" s="216"/>
      <c r="D1423" s="216"/>
      <c r="E1423" s="216"/>
      <c r="F1423" s="216"/>
      <c r="G1423" s="435"/>
      <c r="H1423" s="216"/>
      <c r="I1423" s="435"/>
    </row>
    <row r="1424" spans="1:9" ht="12.75">
      <c r="A1424" s="669"/>
      <c r="B1424" s="670"/>
      <c r="C1424" s="216"/>
      <c r="D1424" s="216"/>
      <c r="E1424" s="216"/>
      <c r="F1424" s="216"/>
      <c r="G1424" s="435"/>
      <c r="H1424" s="216"/>
      <c r="I1424" s="435"/>
    </row>
    <row r="1425" spans="1:9" ht="12.75">
      <c r="A1425" s="669"/>
      <c r="B1425" s="670"/>
      <c r="C1425" s="216"/>
      <c r="D1425" s="216"/>
      <c r="E1425" s="216"/>
      <c r="F1425" s="216"/>
      <c r="G1425" s="435"/>
      <c r="H1425" s="216"/>
      <c r="I1425" s="435"/>
    </row>
    <row r="1426" spans="1:9" ht="12.75">
      <c r="A1426" s="669"/>
      <c r="B1426" s="670"/>
      <c r="C1426" s="216"/>
      <c r="D1426" s="216"/>
      <c r="E1426" s="216"/>
      <c r="F1426" s="216"/>
      <c r="G1426" s="435"/>
      <c r="H1426" s="216"/>
      <c r="I1426" s="435"/>
    </row>
    <row r="1427" spans="1:9" ht="12.75">
      <c r="A1427" s="669"/>
      <c r="B1427" s="670"/>
      <c r="C1427" s="216"/>
      <c r="D1427" s="216"/>
      <c r="E1427" s="216"/>
      <c r="F1427" s="216"/>
      <c r="G1427" s="435"/>
      <c r="H1427" s="216"/>
      <c r="I1427" s="435"/>
    </row>
    <row r="1428" spans="1:9" ht="12.75">
      <c r="A1428" s="669"/>
      <c r="B1428" s="670"/>
      <c r="C1428" s="216"/>
      <c r="D1428" s="216"/>
      <c r="E1428" s="216"/>
      <c r="F1428" s="216"/>
      <c r="G1428" s="435"/>
      <c r="H1428" s="216"/>
      <c r="I1428" s="435"/>
    </row>
    <row r="1429" spans="1:9" ht="12.75">
      <c r="A1429" s="669"/>
      <c r="B1429" s="670"/>
      <c r="C1429" s="216"/>
      <c r="D1429" s="216"/>
      <c r="E1429" s="216"/>
      <c r="F1429" s="216"/>
      <c r="G1429" s="435"/>
      <c r="H1429" s="216"/>
      <c r="I1429" s="435"/>
    </row>
    <row r="1430" spans="1:9" ht="12.75">
      <c r="A1430" s="669"/>
      <c r="B1430" s="670"/>
      <c r="C1430" s="216"/>
      <c r="D1430" s="216"/>
      <c r="E1430" s="216"/>
      <c r="F1430" s="216"/>
      <c r="G1430" s="435"/>
      <c r="H1430" s="216"/>
      <c r="I1430" s="435"/>
    </row>
    <row r="1431" spans="1:9" ht="12.75">
      <c r="A1431" s="669"/>
      <c r="B1431" s="670"/>
      <c r="C1431" s="216"/>
      <c r="D1431" s="216"/>
      <c r="E1431" s="216"/>
      <c r="F1431" s="216"/>
      <c r="G1431" s="435"/>
      <c r="H1431" s="216"/>
      <c r="I1431" s="435"/>
    </row>
    <row r="1432" spans="1:9" ht="12.75">
      <c r="A1432" s="669"/>
      <c r="B1432" s="670"/>
      <c r="C1432" s="216"/>
      <c r="D1432" s="216"/>
      <c r="E1432" s="216"/>
      <c r="F1432" s="216"/>
      <c r="G1432" s="435"/>
      <c r="H1432" s="216"/>
      <c r="I1432" s="435"/>
    </row>
    <row r="1433" spans="1:9" ht="12.75">
      <c r="A1433" s="669"/>
      <c r="B1433" s="670"/>
      <c r="C1433" s="216"/>
      <c r="D1433" s="216"/>
      <c r="E1433" s="216"/>
      <c r="F1433" s="216"/>
      <c r="G1433" s="435"/>
      <c r="H1433" s="216"/>
      <c r="I1433" s="435"/>
    </row>
    <row r="1434" spans="1:9" ht="12.75">
      <c r="A1434" s="669"/>
      <c r="B1434" s="670"/>
      <c r="C1434" s="216"/>
      <c r="D1434" s="216"/>
      <c r="E1434" s="216"/>
      <c r="F1434" s="216"/>
      <c r="G1434" s="435"/>
      <c r="H1434" s="216"/>
      <c r="I1434" s="435"/>
    </row>
    <row r="1435" spans="1:9" ht="12.75">
      <c r="A1435" s="669"/>
      <c r="B1435" s="670"/>
      <c r="C1435" s="216"/>
      <c r="D1435" s="216"/>
      <c r="E1435" s="216"/>
      <c r="F1435" s="216"/>
      <c r="G1435" s="435"/>
      <c r="H1435" s="216"/>
      <c r="I1435" s="435"/>
    </row>
    <row r="1436" spans="1:9" ht="12.75">
      <c r="A1436" s="669"/>
      <c r="B1436" s="670"/>
      <c r="C1436" s="216"/>
      <c r="D1436" s="216"/>
      <c r="E1436" s="216"/>
      <c r="F1436" s="216"/>
      <c r="G1436" s="435"/>
      <c r="H1436" s="216"/>
      <c r="I1436" s="435"/>
    </row>
    <row r="1437" spans="1:9" ht="12.75">
      <c r="A1437" s="669"/>
      <c r="B1437" s="670"/>
      <c r="C1437" s="216"/>
      <c r="D1437" s="216"/>
      <c r="E1437" s="216"/>
      <c r="F1437" s="216"/>
      <c r="G1437" s="435"/>
      <c r="H1437" s="216"/>
      <c r="I1437" s="435"/>
    </row>
    <row r="1438" spans="1:9" ht="12.75">
      <c r="A1438" s="669"/>
      <c r="B1438" s="670"/>
      <c r="C1438" s="216"/>
      <c r="D1438" s="216"/>
      <c r="E1438" s="216"/>
      <c r="F1438" s="216"/>
      <c r="G1438" s="435"/>
      <c r="H1438" s="216"/>
      <c r="I1438" s="435"/>
    </row>
    <row r="1439" spans="1:9" ht="12.75">
      <c r="A1439" s="669"/>
      <c r="B1439" s="670"/>
      <c r="C1439" s="216"/>
      <c r="D1439" s="216"/>
      <c r="E1439" s="216"/>
      <c r="F1439" s="216"/>
      <c r="G1439" s="435"/>
      <c r="H1439" s="216"/>
      <c r="I1439" s="435"/>
    </row>
    <row r="1440" spans="1:9" ht="12.75">
      <c r="A1440" s="669"/>
      <c r="B1440" s="670"/>
      <c r="C1440" s="216"/>
      <c r="D1440" s="216"/>
      <c r="E1440" s="216"/>
      <c r="F1440" s="216"/>
      <c r="G1440" s="435"/>
      <c r="H1440" s="216"/>
      <c r="I1440" s="435"/>
    </row>
    <row r="1441" spans="1:9" ht="12.75">
      <c r="A1441" s="669"/>
      <c r="B1441" s="670"/>
      <c r="C1441" s="216"/>
      <c r="D1441" s="216"/>
      <c r="E1441" s="216"/>
      <c r="F1441" s="216"/>
      <c r="G1441" s="435"/>
      <c r="H1441" s="216"/>
      <c r="I1441" s="435"/>
    </row>
    <row r="1442" spans="1:9" ht="12.75">
      <c r="A1442" s="669"/>
      <c r="B1442" s="670"/>
      <c r="C1442" s="216"/>
      <c r="D1442" s="216"/>
      <c r="E1442" s="216"/>
      <c r="F1442" s="216"/>
      <c r="G1442" s="435"/>
      <c r="H1442" s="216"/>
      <c r="I1442" s="435"/>
    </row>
    <row r="1443" spans="1:9" ht="12.75">
      <c r="A1443" s="669"/>
      <c r="B1443" s="670"/>
      <c r="C1443" s="216"/>
      <c r="D1443" s="216"/>
      <c r="E1443" s="216"/>
      <c r="F1443" s="216"/>
      <c r="G1443" s="435"/>
      <c r="H1443" s="216"/>
      <c r="I1443" s="435"/>
    </row>
    <row r="1444" spans="1:9" ht="12.75">
      <c r="A1444" s="669"/>
      <c r="B1444" s="670"/>
      <c r="C1444" s="216"/>
      <c r="D1444" s="216"/>
      <c r="E1444" s="216"/>
      <c r="F1444" s="216"/>
      <c r="G1444" s="435"/>
      <c r="H1444" s="216"/>
      <c r="I1444" s="435"/>
    </row>
    <row r="1445" spans="1:9" ht="12.75">
      <c r="A1445" s="669"/>
      <c r="B1445" s="670"/>
      <c r="C1445" s="216"/>
      <c r="D1445" s="216"/>
      <c r="E1445" s="216"/>
      <c r="F1445" s="216"/>
      <c r="G1445" s="435"/>
      <c r="H1445" s="216"/>
      <c r="I1445" s="435"/>
    </row>
    <row r="1446" spans="1:9" ht="12.75">
      <c r="A1446" s="669"/>
      <c r="B1446" s="670"/>
      <c r="C1446" s="216"/>
      <c r="D1446" s="216"/>
      <c r="E1446" s="216"/>
      <c r="F1446" s="216"/>
      <c r="G1446" s="435"/>
      <c r="H1446" s="216"/>
      <c r="I1446" s="435"/>
    </row>
    <row r="1447" spans="1:9" ht="12.75">
      <c r="A1447" s="669"/>
      <c r="B1447" s="670"/>
      <c r="C1447" s="216"/>
      <c r="D1447" s="216"/>
      <c r="E1447" s="216"/>
      <c r="F1447" s="216"/>
      <c r="G1447" s="435"/>
      <c r="H1447" s="216"/>
      <c r="I1447" s="435"/>
    </row>
    <row r="1448" spans="1:9" ht="12.75">
      <c r="A1448" s="669"/>
      <c r="B1448" s="670"/>
      <c r="C1448" s="216"/>
      <c r="D1448" s="216"/>
      <c r="E1448" s="216"/>
      <c r="F1448" s="216"/>
      <c r="G1448" s="435"/>
      <c r="H1448" s="216"/>
      <c r="I1448" s="435"/>
    </row>
    <row r="1449" spans="1:9" ht="12.75">
      <c r="A1449" s="669"/>
      <c r="B1449" s="670"/>
      <c r="C1449" s="216"/>
      <c r="D1449" s="216"/>
      <c r="E1449" s="216"/>
      <c r="F1449" s="216"/>
      <c r="G1449" s="435"/>
      <c r="H1449" s="216"/>
      <c r="I1449" s="435"/>
    </row>
    <row r="1450" spans="1:9" ht="12.75">
      <c r="A1450" s="669"/>
      <c r="B1450" s="670"/>
      <c r="C1450" s="216"/>
      <c r="D1450" s="216"/>
      <c r="E1450" s="216"/>
      <c r="F1450" s="216"/>
      <c r="G1450" s="435"/>
      <c r="H1450" s="216"/>
      <c r="I1450" s="435"/>
    </row>
    <row r="1451" spans="1:9" ht="12.75">
      <c r="A1451" s="669"/>
      <c r="B1451" s="670"/>
      <c r="C1451" s="216"/>
      <c r="D1451" s="216"/>
      <c r="E1451" s="216"/>
      <c r="F1451" s="216"/>
      <c r="G1451" s="435"/>
      <c r="H1451" s="216"/>
      <c r="I1451" s="435"/>
    </row>
    <row r="1452" spans="1:9" ht="12.75">
      <c r="A1452" s="669"/>
      <c r="B1452" s="670"/>
      <c r="C1452" s="216"/>
      <c r="D1452" s="216"/>
      <c r="E1452" s="216"/>
      <c r="F1452" s="216"/>
      <c r="G1452" s="435"/>
      <c r="H1452" s="216"/>
      <c r="I1452" s="435"/>
    </row>
    <row r="1453" spans="1:9" ht="12.75">
      <c r="A1453" s="669"/>
      <c r="B1453" s="670"/>
      <c r="C1453" s="216"/>
      <c r="D1453" s="216"/>
      <c r="E1453" s="216"/>
      <c r="F1453" s="216"/>
      <c r="G1453" s="435"/>
      <c r="H1453" s="216"/>
      <c r="I1453" s="435"/>
    </row>
    <row r="1454" spans="1:9" ht="12.75">
      <c r="A1454" s="669"/>
      <c r="B1454" s="670"/>
      <c r="C1454" s="216"/>
      <c r="D1454" s="216"/>
      <c r="E1454" s="216"/>
      <c r="F1454" s="216"/>
      <c r="G1454" s="435"/>
      <c r="H1454" s="216"/>
      <c r="I1454" s="435"/>
    </row>
    <row r="1455" spans="1:9" ht="12.75">
      <c r="A1455" s="669"/>
      <c r="B1455" s="670"/>
      <c r="C1455" s="216"/>
      <c r="D1455" s="216"/>
      <c r="E1455" s="216"/>
      <c r="F1455" s="216"/>
      <c r="G1455" s="435"/>
      <c r="H1455" s="216"/>
      <c r="I1455" s="435"/>
    </row>
    <row r="1456" spans="1:9" ht="12.75">
      <c r="A1456" s="669"/>
      <c r="B1456" s="670"/>
      <c r="C1456" s="216"/>
      <c r="D1456" s="216"/>
      <c r="E1456" s="216"/>
      <c r="F1456" s="216"/>
      <c r="G1456" s="435"/>
      <c r="H1456" s="216"/>
      <c r="I1456" s="435"/>
    </row>
    <row r="1457" spans="1:9" ht="12.75">
      <c r="A1457" s="669"/>
      <c r="B1457" s="670"/>
      <c r="C1457" s="216"/>
      <c r="D1457" s="216"/>
      <c r="E1457" s="216"/>
      <c r="F1457" s="216"/>
      <c r="G1457" s="435"/>
      <c r="H1457" s="216"/>
      <c r="I1457" s="435"/>
    </row>
    <row r="1458" spans="1:9" ht="12.75">
      <c r="A1458" s="669"/>
      <c r="B1458" s="670"/>
      <c r="C1458" s="216"/>
      <c r="D1458" s="216"/>
      <c r="E1458" s="216"/>
      <c r="F1458" s="216"/>
      <c r="G1458" s="435"/>
      <c r="H1458" s="216"/>
      <c r="I1458" s="435"/>
    </row>
    <row r="1459" spans="1:9" ht="12.75">
      <c r="A1459" s="669"/>
      <c r="B1459" s="670"/>
      <c r="C1459" s="216"/>
      <c r="D1459" s="216"/>
      <c r="E1459" s="216"/>
      <c r="F1459" s="216"/>
      <c r="G1459" s="435"/>
      <c r="H1459" s="216"/>
      <c r="I1459" s="435"/>
    </row>
    <row r="1460" spans="1:9" ht="12.75">
      <c r="A1460" s="669"/>
      <c r="B1460" s="670"/>
      <c r="C1460" s="216"/>
      <c r="D1460" s="216"/>
      <c r="E1460" s="216"/>
      <c r="F1460" s="216"/>
      <c r="G1460" s="435"/>
      <c r="H1460" s="216"/>
      <c r="I1460" s="435"/>
    </row>
    <row r="1461" spans="1:9" ht="12.75">
      <c r="A1461" s="669"/>
      <c r="B1461" s="670"/>
      <c r="C1461" s="216"/>
      <c r="D1461" s="216"/>
      <c r="E1461" s="216"/>
      <c r="F1461" s="216"/>
      <c r="G1461" s="435"/>
      <c r="H1461" s="216"/>
      <c r="I1461" s="435"/>
    </row>
    <row r="1462" spans="1:9" ht="12.75">
      <c r="A1462" s="669"/>
      <c r="B1462" s="670"/>
      <c r="C1462" s="216"/>
      <c r="D1462" s="216"/>
      <c r="E1462" s="216"/>
      <c r="F1462" s="216"/>
      <c r="G1462" s="435"/>
      <c r="H1462" s="216"/>
      <c r="I1462" s="435"/>
    </row>
    <row r="1463" spans="1:9" ht="12.75">
      <c r="A1463" s="669"/>
      <c r="B1463" s="670"/>
      <c r="C1463" s="216"/>
      <c r="D1463" s="216"/>
      <c r="E1463" s="216"/>
      <c r="F1463" s="216"/>
      <c r="G1463" s="435"/>
      <c r="H1463" s="216"/>
      <c r="I1463" s="435"/>
    </row>
    <row r="1464" spans="1:9" ht="12.75">
      <c r="A1464" s="669"/>
      <c r="B1464" s="670"/>
      <c r="C1464" s="216"/>
      <c r="D1464" s="216"/>
      <c r="E1464" s="216"/>
      <c r="F1464" s="216"/>
      <c r="G1464" s="435"/>
      <c r="H1464" s="216"/>
      <c r="I1464" s="435"/>
    </row>
    <row r="1465" spans="1:9" ht="12.75">
      <c r="A1465" s="669"/>
      <c r="B1465" s="670"/>
      <c r="C1465" s="216"/>
      <c r="D1465" s="216"/>
      <c r="E1465" s="216"/>
      <c r="F1465" s="216"/>
      <c r="G1465" s="435"/>
      <c r="H1465" s="216"/>
      <c r="I1465" s="435"/>
    </row>
    <row r="1466" spans="1:9" ht="12.75">
      <c r="A1466" s="669"/>
      <c r="B1466" s="670"/>
      <c r="C1466" s="216"/>
      <c r="D1466" s="216"/>
      <c r="E1466" s="216"/>
      <c r="F1466" s="216"/>
      <c r="G1466" s="435"/>
      <c r="H1466" s="216"/>
      <c r="I1466" s="435"/>
    </row>
    <row r="1467" spans="1:9" ht="12.75">
      <c r="A1467" s="669"/>
      <c r="B1467" s="670"/>
      <c r="C1467" s="216"/>
      <c r="D1467" s="216"/>
      <c r="E1467" s="216"/>
      <c r="F1467" s="216"/>
      <c r="G1467" s="435"/>
      <c r="H1467" s="216"/>
      <c r="I1467" s="435"/>
    </row>
    <row r="1468" spans="1:9" ht="12.75">
      <c r="A1468" s="669"/>
      <c r="B1468" s="670"/>
      <c r="C1468" s="216"/>
      <c r="D1468" s="216"/>
      <c r="E1468" s="216"/>
      <c r="F1468" s="216"/>
      <c r="G1468" s="435"/>
      <c r="H1468" s="216"/>
      <c r="I1468" s="435"/>
    </row>
    <row r="1469" spans="1:9" ht="12.75">
      <c r="A1469" s="669"/>
      <c r="B1469" s="670"/>
      <c r="C1469" s="216"/>
      <c r="D1469" s="216"/>
      <c r="E1469" s="216"/>
      <c r="F1469" s="216"/>
      <c r="G1469" s="435"/>
      <c r="H1469" s="216"/>
      <c r="I1469" s="435"/>
    </row>
    <row r="1470" spans="1:9" ht="12.75">
      <c r="A1470" s="669"/>
      <c r="B1470" s="670"/>
      <c r="C1470" s="216"/>
      <c r="D1470" s="216"/>
      <c r="E1470" s="216"/>
      <c r="F1470" s="216"/>
      <c r="G1470" s="435"/>
      <c r="H1470" s="216"/>
      <c r="I1470" s="435"/>
    </row>
    <row r="1471" spans="1:9" ht="12.75">
      <c r="A1471" s="669"/>
      <c r="B1471" s="670"/>
      <c r="C1471" s="216"/>
      <c r="D1471" s="216"/>
      <c r="E1471" s="216"/>
      <c r="F1471" s="216"/>
      <c r="G1471" s="435"/>
      <c r="H1471" s="216"/>
      <c r="I1471" s="435"/>
    </row>
    <row r="1472" spans="1:9" ht="12.75">
      <c r="A1472" s="669"/>
      <c r="B1472" s="670"/>
      <c r="C1472" s="216"/>
      <c r="D1472" s="216"/>
      <c r="E1472" s="216"/>
      <c r="F1472" s="216"/>
      <c r="G1472" s="435"/>
      <c r="H1472" s="216"/>
      <c r="I1472" s="435"/>
    </row>
    <row r="1473" spans="1:9" ht="12.75">
      <c r="A1473" s="669"/>
      <c r="B1473" s="670"/>
      <c r="C1473" s="216"/>
      <c r="D1473" s="216"/>
      <c r="E1473" s="216"/>
      <c r="F1473" s="216"/>
      <c r="G1473" s="435"/>
      <c r="H1473" s="216"/>
      <c r="I1473" s="435"/>
    </row>
    <row r="1474" spans="1:9" ht="12.75">
      <c r="A1474" s="669"/>
      <c r="B1474" s="670"/>
      <c r="C1474" s="216"/>
      <c r="D1474" s="216"/>
      <c r="E1474" s="216"/>
      <c r="F1474" s="216"/>
      <c r="G1474" s="435"/>
      <c r="H1474" s="216"/>
      <c r="I1474" s="435"/>
    </row>
    <row r="1475" spans="1:9" ht="12.75">
      <c r="A1475" s="669"/>
      <c r="B1475" s="670"/>
      <c r="C1475" s="216"/>
      <c r="D1475" s="216"/>
      <c r="E1475" s="216"/>
      <c r="F1475" s="216"/>
      <c r="G1475" s="435"/>
      <c r="H1475" s="216"/>
      <c r="I1475" s="435"/>
    </row>
    <row r="1476" spans="1:9" ht="12.75">
      <c r="A1476" s="669"/>
      <c r="B1476" s="670"/>
      <c r="C1476" s="216"/>
      <c r="D1476" s="216"/>
      <c r="E1476" s="216"/>
      <c r="F1476" s="216"/>
      <c r="G1476" s="435"/>
      <c r="H1476" s="216"/>
      <c r="I1476" s="435"/>
    </row>
    <row r="1477" spans="1:9" ht="12.75">
      <c r="A1477" s="669"/>
      <c r="B1477" s="670"/>
      <c r="C1477" s="216"/>
      <c r="D1477" s="216"/>
      <c r="E1477" s="216"/>
      <c r="F1477" s="216"/>
      <c r="G1477" s="435"/>
      <c r="H1477" s="216"/>
      <c r="I1477" s="435"/>
    </row>
    <row r="1478" spans="1:9" ht="12.75">
      <c r="A1478" s="669"/>
      <c r="B1478" s="670"/>
      <c r="C1478" s="216"/>
      <c r="D1478" s="216"/>
      <c r="E1478" s="216"/>
      <c r="F1478" s="216"/>
      <c r="G1478" s="435"/>
      <c r="H1478" s="216"/>
      <c r="I1478" s="435"/>
    </row>
    <row r="1479" spans="1:9" ht="12.75">
      <c r="A1479" s="669"/>
      <c r="B1479" s="670"/>
      <c r="C1479" s="216"/>
      <c r="D1479" s="216"/>
      <c r="E1479" s="216"/>
      <c r="F1479" s="216"/>
      <c r="G1479" s="435"/>
      <c r="H1479" s="216"/>
      <c r="I1479" s="435"/>
    </row>
    <row r="1480" spans="1:9" ht="12.75">
      <c r="A1480" s="669"/>
      <c r="B1480" s="670"/>
      <c r="C1480" s="216"/>
      <c r="D1480" s="216"/>
      <c r="E1480" s="216"/>
      <c r="F1480" s="216"/>
      <c r="G1480" s="435"/>
      <c r="H1480" s="216"/>
      <c r="I1480" s="435"/>
    </row>
    <row r="1481" spans="1:9" ht="12.75">
      <c r="A1481" s="669"/>
      <c r="B1481" s="670"/>
      <c r="C1481" s="216"/>
      <c r="D1481" s="216"/>
      <c r="E1481" s="216"/>
      <c r="F1481" s="216"/>
      <c r="G1481" s="435"/>
      <c r="H1481" s="216"/>
      <c r="I1481" s="435"/>
    </row>
    <row r="1482" spans="1:9" ht="12.75">
      <c r="A1482" s="669"/>
      <c r="B1482" s="670"/>
      <c r="C1482" s="216"/>
      <c r="D1482" s="216"/>
      <c r="E1482" s="216"/>
      <c r="F1482" s="216"/>
      <c r="G1482" s="435"/>
      <c r="H1482" s="216"/>
      <c r="I1482" s="435"/>
    </row>
    <row r="1483" spans="1:9" ht="12.75">
      <c r="A1483" s="669"/>
      <c r="B1483" s="670"/>
      <c r="C1483" s="216"/>
      <c r="D1483" s="216"/>
      <c r="E1483" s="216"/>
      <c r="F1483" s="216"/>
      <c r="G1483" s="435"/>
      <c r="H1483" s="216"/>
      <c r="I1483" s="435"/>
    </row>
    <row r="1484" spans="1:9" ht="12.75">
      <c r="A1484" s="669"/>
      <c r="B1484" s="670"/>
      <c r="C1484" s="216"/>
      <c r="D1484" s="216"/>
      <c r="E1484" s="216"/>
      <c r="F1484" s="216"/>
      <c r="G1484" s="435"/>
      <c r="H1484" s="216"/>
      <c r="I1484" s="435"/>
    </row>
    <row r="1485" spans="1:9" ht="12.75">
      <c r="A1485" s="669"/>
      <c r="B1485" s="670"/>
      <c r="C1485" s="216"/>
      <c r="D1485" s="216"/>
      <c r="E1485" s="216"/>
      <c r="F1485" s="216"/>
      <c r="G1485" s="435"/>
      <c r="H1485" s="216"/>
      <c r="I1485" s="435"/>
    </row>
    <row r="1486" spans="1:9" ht="12.75">
      <c r="A1486" s="669"/>
      <c r="B1486" s="670"/>
      <c r="C1486" s="216"/>
      <c r="D1486" s="216"/>
      <c r="E1486" s="216"/>
      <c r="F1486" s="216"/>
      <c r="G1486" s="435"/>
      <c r="H1486" s="216"/>
      <c r="I1486" s="435"/>
    </row>
    <row r="1487" spans="1:9" ht="12.75">
      <c r="A1487" s="669"/>
      <c r="B1487" s="670"/>
      <c r="C1487" s="216"/>
      <c r="D1487" s="216"/>
      <c r="E1487" s="216"/>
      <c r="F1487" s="216"/>
      <c r="G1487" s="435"/>
      <c r="H1487" s="216"/>
      <c r="I1487" s="435"/>
    </row>
    <row r="1488" spans="1:9" ht="12.75">
      <c r="A1488" s="669"/>
      <c r="B1488" s="670"/>
      <c r="C1488" s="216"/>
      <c r="D1488" s="216"/>
      <c r="E1488" s="216"/>
      <c r="F1488" s="216"/>
      <c r="G1488" s="435"/>
      <c r="H1488" s="216"/>
      <c r="I1488" s="435"/>
    </row>
    <row r="1489" spans="1:9" ht="12.75">
      <c r="A1489" s="669"/>
      <c r="B1489" s="670"/>
      <c r="C1489" s="216"/>
      <c r="D1489" s="216"/>
      <c r="E1489" s="216"/>
      <c r="F1489" s="216"/>
      <c r="G1489" s="435"/>
      <c r="H1489" s="216"/>
      <c r="I1489" s="435"/>
    </row>
    <row r="1490" spans="1:9" ht="12.75">
      <c r="A1490" s="669"/>
      <c r="B1490" s="670"/>
      <c r="C1490" s="216"/>
      <c r="D1490" s="216"/>
      <c r="E1490" s="216"/>
      <c r="F1490" s="216"/>
      <c r="G1490" s="435"/>
      <c r="H1490" s="216"/>
      <c r="I1490" s="435"/>
    </row>
    <row r="1491" spans="1:9" ht="12.75">
      <c r="A1491" s="669"/>
      <c r="B1491" s="670"/>
      <c r="C1491" s="216"/>
      <c r="D1491" s="216"/>
      <c r="E1491" s="216"/>
      <c r="F1491" s="216"/>
      <c r="G1491" s="435"/>
      <c r="H1491" s="216"/>
      <c r="I1491" s="435"/>
    </row>
    <row r="1492" spans="1:9" ht="12.75">
      <c r="A1492" s="669"/>
      <c r="B1492" s="670"/>
      <c r="C1492" s="216"/>
      <c r="D1492" s="216"/>
      <c r="E1492" s="216"/>
      <c r="F1492" s="216"/>
      <c r="G1492" s="435"/>
      <c r="H1492" s="216"/>
      <c r="I1492" s="435"/>
    </row>
    <row r="1493" spans="1:9" ht="12.75">
      <c r="A1493" s="669"/>
      <c r="B1493" s="670"/>
      <c r="C1493" s="216"/>
      <c r="D1493" s="216"/>
      <c r="E1493" s="216"/>
      <c r="F1493" s="216"/>
      <c r="G1493" s="435"/>
      <c r="H1493" s="216"/>
      <c r="I1493" s="435"/>
    </row>
    <row r="1494" spans="1:9" ht="12.75">
      <c r="A1494" s="669"/>
      <c r="B1494" s="670"/>
      <c r="C1494" s="216"/>
      <c r="D1494" s="216"/>
      <c r="E1494" s="216"/>
      <c r="F1494" s="216"/>
      <c r="G1494" s="435"/>
      <c r="H1494" s="216"/>
      <c r="I1494" s="435"/>
    </row>
    <row r="1495" spans="1:9" ht="12.75">
      <c r="A1495" s="669"/>
      <c r="B1495" s="670"/>
      <c r="C1495" s="216"/>
      <c r="D1495" s="216"/>
      <c r="E1495" s="216"/>
      <c r="F1495" s="216"/>
      <c r="G1495" s="435"/>
      <c r="H1495" s="216"/>
      <c r="I1495" s="435"/>
    </row>
    <row r="1496" spans="1:9" ht="12.75">
      <c r="A1496" s="669"/>
      <c r="B1496" s="670"/>
      <c r="C1496" s="216"/>
      <c r="D1496" s="216"/>
      <c r="E1496" s="216"/>
      <c r="F1496" s="216"/>
      <c r="G1496" s="435"/>
      <c r="H1496" s="216"/>
      <c r="I1496" s="435"/>
    </row>
    <row r="1497" spans="1:9" ht="12.75">
      <c r="A1497" s="669"/>
      <c r="B1497" s="670"/>
      <c r="C1497" s="216"/>
      <c r="D1497" s="216"/>
      <c r="E1497" s="216"/>
      <c r="F1497" s="216"/>
      <c r="G1497" s="435"/>
      <c r="H1497" s="216"/>
      <c r="I1497" s="435"/>
    </row>
    <row r="1498" spans="1:9" ht="12.75">
      <c r="A1498" s="669"/>
      <c r="B1498" s="670"/>
      <c r="C1498" s="216"/>
      <c r="D1498" s="216"/>
      <c r="E1498" s="216"/>
      <c r="F1498" s="216"/>
      <c r="G1498" s="435"/>
      <c r="H1498" s="216"/>
      <c r="I1498" s="435"/>
    </row>
    <row r="1499" spans="1:9" ht="12.75">
      <c r="A1499" s="669"/>
      <c r="B1499" s="670"/>
      <c r="C1499" s="216"/>
      <c r="D1499" s="216"/>
      <c r="E1499" s="216"/>
      <c r="F1499" s="216"/>
      <c r="G1499" s="435"/>
      <c r="H1499" s="216"/>
      <c r="I1499" s="435"/>
    </row>
    <row r="1500" spans="1:9" ht="12.75">
      <c r="A1500" s="669"/>
      <c r="B1500" s="670"/>
      <c r="C1500" s="216"/>
      <c r="D1500" s="216"/>
      <c r="E1500" s="216"/>
      <c r="F1500" s="216"/>
      <c r="G1500" s="435"/>
      <c r="H1500" s="216"/>
      <c r="I1500" s="435"/>
    </row>
    <row r="1501" spans="1:9" ht="12.75">
      <c r="A1501" s="669"/>
      <c r="B1501" s="670"/>
      <c r="C1501" s="216"/>
      <c r="D1501" s="216"/>
      <c r="E1501" s="216"/>
      <c r="F1501" s="216"/>
      <c r="G1501" s="435"/>
      <c r="H1501" s="216"/>
      <c r="I1501" s="435"/>
    </row>
    <row r="1502" spans="1:9" ht="12.75">
      <c r="A1502" s="669"/>
      <c r="B1502" s="670"/>
      <c r="C1502" s="216"/>
      <c r="D1502" s="216"/>
      <c r="E1502" s="216"/>
      <c r="F1502" s="216"/>
      <c r="G1502" s="435"/>
      <c r="H1502" s="216"/>
      <c r="I1502" s="435"/>
    </row>
    <row r="1503" spans="1:9" ht="12.75">
      <c r="A1503" s="669"/>
      <c r="B1503" s="670"/>
      <c r="C1503" s="216"/>
      <c r="D1503" s="216"/>
      <c r="E1503" s="216"/>
      <c r="F1503" s="216"/>
      <c r="G1503" s="435"/>
      <c r="H1503" s="216"/>
      <c r="I1503" s="435"/>
    </row>
    <row r="1504" spans="1:9" ht="12.75">
      <c r="A1504" s="669"/>
      <c r="B1504" s="670"/>
      <c r="C1504" s="216"/>
      <c r="D1504" s="216"/>
      <c r="E1504" s="216"/>
      <c r="F1504" s="216"/>
      <c r="G1504" s="435"/>
      <c r="H1504" s="216"/>
      <c r="I1504" s="435"/>
    </row>
    <row r="1505" spans="1:9" ht="12.75">
      <c r="A1505" s="669"/>
      <c r="B1505" s="670"/>
      <c r="C1505" s="216"/>
      <c r="D1505" s="216"/>
      <c r="E1505" s="216"/>
      <c r="F1505" s="216"/>
      <c r="G1505" s="435"/>
      <c r="H1505" s="216"/>
      <c r="I1505" s="435"/>
    </row>
    <row r="1506" spans="1:9" ht="12.75">
      <c r="A1506" s="669"/>
      <c r="B1506" s="670"/>
      <c r="C1506" s="216"/>
      <c r="D1506" s="216"/>
      <c r="E1506" s="216"/>
      <c r="F1506" s="216"/>
      <c r="G1506" s="435"/>
      <c r="H1506" s="216"/>
      <c r="I1506" s="435"/>
    </row>
    <row r="1507" spans="1:9" ht="12.75">
      <c r="A1507" s="669"/>
      <c r="B1507" s="670"/>
      <c r="C1507" s="216"/>
      <c r="D1507" s="216"/>
      <c r="E1507" s="216"/>
      <c r="F1507" s="216"/>
      <c r="G1507" s="435"/>
      <c r="H1507" s="216"/>
      <c r="I1507" s="435"/>
    </row>
    <row r="1508" spans="1:9" ht="12.75">
      <c r="A1508" s="669"/>
      <c r="B1508" s="670"/>
      <c r="C1508" s="216"/>
      <c r="D1508" s="216"/>
      <c r="E1508" s="216"/>
      <c r="F1508" s="216"/>
      <c r="G1508" s="435"/>
      <c r="H1508" s="216"/>
      <c r="I1508" s="435"/>
    </row>
    <row r="1509" spans="1:9" ht="12.75">
      <c r="A1509" s="669"/>
      <c r="B1509" s="670"/>
      <c r="C1509" s="216"/>
      <c r="D1509" s="216"/>
      <c r="E1509" s="216"/>
      <c r="F1509" s="216"/>
      <c r="G1509" s="435"/>
      <c r="H1509" s="216"/>
      <c r="I1509" s="435"/>
    </row>
    <row r="1510" spans="1:9" ht="12.75">
      <c r="A1510" s="669"/>
      <c r="B1510" s="670"/>
      <c r="C1510" s="216"/>
      <c r="D1510" s="216"/>
      <c r="E1510" s="216"/>
      <c r="F1510" s="216"/>
      <c r="G1510" s="435"/>
      <c r="H1510" s="216"/>
      <c r="I1510" s="435"/>
    </row>
    <row r="1511" spans="1:9" ht="12.75">
      <c r="A1511" s="669"/>
      <c r="B1511" s="670"/>
      <c r="C1511" s="216"/>
      <c r="D1511" s="216"/>
      <c r="E1511" s="216"/>
      <c r="F1511" s="216"/>
      <c r="G1511" s="435"/>
      <c r="H1511" s="216"/>
      <c r="I1511" s="435"/>
    </row>
    <row r="1512" spans="1:9" ht="12.75">
      <c r="A1512" s="669"/>
      <c r="B1512" s="670"/>
      <c r="C1512" s="216"/>
      <c r="D1512" s="216"/>
      <c r="E1512" s="216"/>
      <c r="F1512" s="216"/>
      <c r="G1512" s="435"/>
      <c r="H1512" s="216"/>
      <c r="I1512" s="435"/>
    </row>
    <row r="1513" spans="1:9" ht="12.75">
      <c r="A1513" s="669"/>
      <c r="B1513" s="670"/>
      <c r="C1513" s="216"/>
      <c r="D1513" s="216"/>
      <c r="E1513" s="216"/>
      <c r="F1513" s="216"/>
      <c r="G1513" s="435"/>
      <c r="H1513" s="216"/>
      <c r="I1513" s="435"/>
    </row>
    <row r="1514" spans="1:9" ht="12.75">
      <c r="A1514" s="669"/>
      <c r="B1514" s="670"/>
      <c r="C1514" s="216"/>
      <c r="D1514" s="216"/>
      <c r="E1514" s="216"/>
      <c r="F1514" s="216"/>
      <c r="G1514" s="435"/>
      <c r="H1514" s="216"/>
      <c r="I1514" s="435"/>
    </row>
    <row r="1515" spans="1:9" ht="12.75">
      <c r="A1515" s="669"/>
      <c r="B1515" s="670"/>
      <c r="C1515" s="216"/>
      <c r="D1515" s="216"/>
      <c r="E1515" s="216"/>
      <c r="F1515" s="216"/>
      <c r="G1515" s="435"/>
      <c r="H1515" s="216"/>
      <c r="I1515" s="435"/>
    </row>
    <row r="1516" spans="1:9" ht="12.75">
      <c r="A1516" s="669"/>
      <c r="B1516" s="670"/>
      <c r="C1516" s="216"/>
      <c r="D1516" s="216"/>
      <c r="E1516" s="216"/>
      <c r="F1516" s="216"/>
      <c r="G1516" s="435"/>
      <c r="H1516" s="216"/>
      <c r="I1516" s="435"/>
    </row>
    <row r="1517" spans="1:9" ht="12.75">
      <c r="A1517" s="669"/>
      <c r="B1517" s="670"/>
      <c r="C1517" s="216"/>
      <c r="D1517" s="216"/>
      <c r="E1517" s="216"/>
      <c r="F1517" s="216"/>
      <c r="G1517" s="435"/>
      <c r="H1517" s="216"/>
      <c r="I1517" s="435"/>
    </row>
    <row r="1518" spans="1:9" ht="12.75">
      <c r="A1518" s="669"/>
      <c r="B1518" s="670"/>
      <c r="C1518" s="216"/>
      <c r="D1518" s="216"/>
      <c r="E1518" s="216"/>
      <c r="F1518" s="216"/>
      <c r="G1518" s="435"/>
      <c r="H1518" s="216"/>
      <c r="I1518" s="435"/>
    </row>
    <row r="1519" spans="1:9" ht="12.75">
      <c r="A1519" s="669"/>
      <c r="B1519" s="670"/>
      <c r="C1519" s="216"/>
      <c r="D1519" s="216"/>
      <c r="E1519" s="216"/>
      <c r="F1519" s="216"/>
      <c r="G1519" s="435"/>
      <c r="H1519" s="216"/>
      <c r="I1519" s="435"/>
    </row>
    <row r="1520" spans="1:9" ht="12.75">
      <c r="A1520" s="669"/>
      <c r="B1520" s="670"/>
      <c r="C1520" s="216"/>
      <c r="D1520" s="216"/>
      <c r="E1520" s="216"/>
      <c r="F1520" s="216"/>
      <c r="G1520" s="435"/>
      <c r="H1520" s="216"/>
      <c r="I1520" s="435"/>
    </row>
    <row r="1521" spans="1:9" ht="12.75">
      <c r="A1521" s="669"/>
      <c r="B1521" s="670"/>
      <c r="C1521" s="216"/>
      <c r="D1521" s="216"/>
      <c r="E1521" s="216"/>
      <c r="F1521" s="216"/>
      <c r="G1521" s="435"/>
      <c r="H1521" s="216"/>
      <c r="I1521" s="435"/>
    </row>
    <row r="1522" spans="1:9" ht="12.75">
      <c r="A1522" s="669"/>
      <c r="B1522" s="670"/>
      <c r="C1522" s="216"/>
      <c r="D1522" s="216"/>
      <c r="E1522" s="216"/>
      <c r="F1522" s="216"/>
      <c r="G1522" s="435"/>
      <c r="H1522" s="216"/>
      <c r="I1522" s="435"/>
    </row>
    <row r="1523" spans="1:9" ht="12.75">
      <c r="A1523" s="669"/>
      <c r="B1523" s="670"/>
      <c r="C1523" s="216"/>
      <c r="D1523" s="216"/>
      <c r="E1523" s="216"/>
      <c r="F1523" s="216"/>
      <c r="G1523" s="435"/>
      <c r="H1523" s="216"/>
      <c r="I1523" s="435"/>
    </row>
    <row r="1524" spans="1:9" ht="12.75">
      <c r="A1524" s="669"/>
      <c r="B1524" s="670"/>
      <c r="C1524" s="216"/>
      <c r="D1524" s="216"/>
      <c r="E1524" s="216"/>
      <c r="F1524" s="216"/>
      <c r="G1524" s="435"/>
      <c r="H1524" s="216"/>
      <c r="I1524" s="435"/>
    </row>
    <row r="1525" spans="1:9" ht="12.75">
      <c r="A1525" s="669"/>
      <c r="B1525" s="670"/>
      <c r="C1525" s="216"/>
      <c r="D1525" s="216"/>
      <c r="E1525" s="216"/>
      <c r="F1525" s="216"/>
      <c r="G1525" s="435"/>
      <c r="H1525" s="216"/>
      <c r="I1525" s="435"/>
    </row>
    <row r="1526" spans="1:9" ht="12.75">
      <c r="A1526" s="669"/>
      <c r="B1526" s="670"/>
      <c r="C1526" s="216"/>
      <c r="D1526" s="216"/>
      <c r="E1526" s="216"/>
      <c r="F1526" s="216"/>
      <c r="G1526" s="435"/>
      <c r="H1526" s="216"/>
      <c r="I1526" s="435"/>
    </row>
    <row r="1527" spans="1:9" ht="12.75">
      <c r="A1527" s="669"/>
      <c r="B1527" s="670"/>
      <c r="C1527" s="216"/>
      <c r="D1527" s="216"/>
      <c r="E1527" s="216"/>
      <c r="F1527" s="216"/>
      <c r="G1527" s="435"/>
      <c r="H1527" s="216"/>
      <c r="I1527" s="435"/>
    </row>
    <row r="1528" spans="1:9" ht="12.75">
      <c r="A1528" s="669"/>
      <c r="B1528" s="670"/>
      <c r="C1528" s="216"/>
      <c r="D1528" s="216"/>
      <c r="E1528" s="216"/>
      <c r="F1528" s="216"/>
      <c r="G1528" s="435"/>
      <c r="H1528" s="216"/>
      <c r="I1528" s="435"/>
    </row>
    <row r="1529" spans="1:9" ht="12.75">
      <c r="A1529" s="669"/>
      <c r="B1529" s="670"/>
      <c r="C1529" s="216"/>
      <c r="D1529" s="216"/>
      <c r="E1529" s="216"/>
      <c r="F1529" s="216"/>
      <c r="G1529" s="435"/>
      <c r="H1529" s="216"/>
      <c r="I1529" s="435"/>
    </row>
    <row r="1530" spans="1:9" ht="12.75">
      <c r="A1530" s="669"/>
      <c r="B1530" s="670"/>
      <c r="C1530" s="216"/>
      <c r="D1530" s="216"/>
      <c r="E1530" s="216"/>
      <c r="F1530" s="216"/>
      <c r="G1530" s="435"/>
      <c r="H1530" s="216"/>
      <c r="I1530" s="435"/>
    </row>
    <row r="1531" spans="1:9" ht="12.75">
      <c r="A1531" s="669"/>
      <c r="B1531" s="670"/>
      <c r="C1531" s="216"/>
      <c r="D1531" s="216"/>
      <c r="E1531" s="216"/>
      <c r="F1531" s="216"/>
      <c r="G1531" s="435"/>
      <c r="H1531" s="216"/>
      <c r="I1531" s="435"/>
    </row>
    <row r="1532" spans="1:9" ht="12.75">
      <c r="A1532" s="669"/>
      <c r="B1532" s="670"/>
      <c r="C1532" s="216"/>
      <c r="D1532" s="216"/>
      <c r="E1532" s="216"/>
      <c r="F1532" s="216"/>
      <c r="G1532" s="435"/>
      <c r="H1532" s="216"/>
      <c r="I1532" s="435"/>
    </row>
    <row r="1533" spans="1:9" ht="12.75">
      <c r="A1533" s="669"/>
      <c r="B1533" s="670"/>
      <c r="C1533" s="216"/>
      <c r="D1533" s="216"/>
      <c r="E1533" s="216"/>
      <c r="F1533" s="216"/>
      <c r="G1533" s="435"/>
      <c r="H1533" s="216"/>
      <c r="I1533" s="435"/>
    </row>
    <row r="1534" spans="1:9" ht="12.75">
      <c r="A1534" s="669"/>
      <c r="B1534" s="670"/>
      <c r="C1534" s="216"/>
      <c r="D1534" s="216"/>
      <c r="E1534" s="216"/>
      <c r="F1534" s="216"/>
      <c r="G1534" s="435"/>
      <c r="H1534" s="216"/>
      <c r="I1534" s="435"/>
    </row>
    <row r="1535" spans="1:9" ht="12.75">
      <c r="A1535" s="669"/>
      <c r="B1535" s="670"/>
      <c r="C1535" s="216"/>
      <c r="D1535" s="216"/>
      <c r="E1535" s="216"/>
      <c r="F1535" s="216"/>
      <c r="G1535" s="435"/>
      <c r="H1535" s="216"/>
      <c r="I1535" s="435"/>
    </row>
    <row r="1536" spans="1:9" ht="12.75">
      <c r="A1536" s="669"/>
      <c r="B1536" s="670"/>
      <c r="C1536" s="216"/>
      <c r="D1536" s="216"/>
      <c r="E1536" s="216"/>
      <c r="F1536" s="216"/>
      <c r="G1536" s="435"/>
      <c r="H1536" s="216"/>
      <c r="I1536" s="435"/>
    </row>
    <row r="1537" spans="1:9" ht="12.75">
      <c r="A1537" s="669"/>
      <c r="B1537" s="670"/>
      <c r="C1537" s="216"/>
      <c r="D1537" s="216"/>
      <c r="E1537" s="216"/>
      <c r="F1537" s="216"/>
      <c r="G1537" s="435"/>
      <c r="H1537" s="216"/>
      <c r="I1537" s="435"/>
    </row>
    <row r="1538" spans="1:9" ht="12.75">
      <c r="A1538" s="669"/>
      <c r="B1538" s="670"/>
      <c r="C1538" s="216"/>
      <c r="D1538" s="216"/>
      <c r="E1538" s="216"/>
      <c r="F1538" s="216"/>
      <c r="G1538" s="435"/>
      <c r="H1538" s="216"/>
      <c r="I1538" s="435"/>
    </row>
    <row r="1539" spans="1:9" ht="12.75">
      <c r="A1539" s="669"/>
      <c r="B1539" s="670"/>
      <c r="C1539" s="216"/>
      <c r="D1539" s="216"/>
      <c r="E1539" s="216"/>
      <c r="F1539" s="216"/>
      <c r="G1539" s="435"/>
      <c r="H1539" s="216"/>
      <c r="I1539" s="435"/>
    </row>
    <row r="1540" spans="1:9" ht="12.75">
      <c r="A1540" s="669"/>
      <c r="B1540" s="670"/>
      <c r="C1540" s="216"/>
      <c r="D1540" s="216"/>
      <c r="E1540" s="216"/>
      <c r="F1540" s="216"/>
      <c r="G1540" s="435"/>
      <c r="H1540" s="216"/>
      <c r="I1540" s="435"/>
    </row>
    <row r="1541" spans="1:9" ht="12.75">
      <c r="A1541" s="669"/>
      <c r="B1541" s="670"/>
      <c r="C1541" s="216"/>
      <c r="D1541" s="216"/>
      <c r="E1541" s="216"/>
      <c r="F1541" s="216"/>
      <c r="G1541" s="435"/>
      <c r="H1541" s="216"/>
      <c r="I1541" s="435"/>
    </row>
    <row r="1542" spans="1:9" ht="12.75">
      <c r="A1542" s="669"/>
      <c r="B1542" s="670"/>
      <c r="C1542" s="216"/>
      <c r="D1542" s="216"/>
      <c r="E1542" s="216"/>
      <c r="F1542" s="216"/>
      <c r="G1542" s="435"/>
      <c r="H1542" s="216"/>
      <c r="I1542" s="435"/>
    </row>
    <row r="1543" spans="1:9" ht="12.75">
      <c r="A1543" s="669"/>
      <c r="B1543" s="670"/>
      <c r="C1543" s="216"/>
      <c r="D1543" s="216"/>
      <c r="E1543" s="216"/>
      <c r="F1543" s="216"/>
      <c r="G1543" s="435"/>
      <c r="H1543" s="216"/>
      <c r="I1543" s="435"/>
    </row>
    <row r="1544" spans="1:9" ht="12.75">
      <c r="A1544" s="669"/>
      <c r="B1544" s="670"/>
      <c r="C1544" s="216"/>
      <c r="D1544" s="216"/>
      <c r="E1544" s="216"/>
      <c r="F1544" s="216"/>
      <c r="G1544" s="435"/>
      <c r="H1544" s="216"/>
      <c r="I1544" s="435"/>
    </row>
    <row r="1545" spans="1:9" ht="12.75">
      <c r="A1545" s="669"/>
      <c r="B1545" s="670"/>
      <c r="C1545" s="216"/>
      <c r="D1545" s="216"/>
      <c r="E1545" s="216"/>
      <c r="F1545" s="216"/>
      <c r="G1545" s="435"/>
      <c r="H1545" s="216"/>
      <c r="I1545" s="435"/>
    </row>
    <row r="1546" spans="1:9" ht="12.75">
      <c r="A1546" s="669"/>
      <c r="B1546" s="670"/>
      <c r="C1546" s="216"/>
      <c r="D1546" s="216"/>
      <c r="E1546" s="216"/>
      <c r="F1546" s="216"/>
      <c r="G1546" s="435"/>
      <c r="H1546" s="216"/>
      <c r="I1546" s="435"/>
    </row>
    <row r="1547" spans="1:9" ht="12.75">
      <c r="A1547" s="669"/>
      <c r="B1547" s="670"/>
      <c r="C1547" s="216"/>
      <c r="D1547" s="216"/>
      <c r="E1547" s="216"/>
      <c r="F1547" s="216"/>
      <c r="G1547" s="435"/>
      <c r="H1547" s="216"/>
      <c r="I1547" s="435"/>
    </row>
    <row r="1548" spans="1:9" ht="12.75">
      <c r="A1548" s="669"/>
      <c r="B1548" s="670"/>
      <c r="C1548" s="216"/>
      <c r="D1548" s="216"/>
      <c r="E1548" s="216"/>
      <c r="F1548" s="216"/>
      <c r="G1548" s="435"/>
      <c r="H1548" s="216"/>
      <c r="I1548" s="435"/>
    </row>
    <row r="1549" spans="1:9" ht="12.75">
      <c r="A1549" s="669"/>
      <c r="B1549" s="670"/>
      <c r="C1549" s="216"/>
      <c r="D1549" s="216"/>
      <c r="E1549" s="216"/>
      <c r="F1549" s="216"/>
      <c r="G1549" s="435"/>
      <c r="H1549" s="216"/>
      <c r="I1549" s="435"/>
    </row>
    <row r="1550" spans="1:9" ht="12.75">
      <c r="A1550" s="669"/>
      <c r="B1550" s="670"/>
      <c r="C1550" s="216"/>
      <c r="D1550" s="216"/>
      <c r="E1550" s="216"/>
      <c r="F1550" s="216"/>
      <c r="G1550" s="435"/>
      <c r="H1550" s="216"/>
      <c r="I1550" s="435"/>
    </row>
    <row r="1551" spans="1:9" ht="12.75">
      <c r="A1551" s="669"/>
      <c r="B1551" s="670"/>
      <c r="C1551" s="216"/>
      <c r="D1551" s="216"/>
      <c r="E1551" s="216"/>
      <c r="F1551" s="216"/>
      <c r="G1551" s="435"/>
      <c r="H1551" s="216"/>
      <c r="I1551" s="435"/>
    </row>
    <row r="1552" spans="1:9" ht="12.75">
      <c r="A1552" s="669"/>
      <c r="B1552" s="670"/>
      <c r="C1552" s="216"/>
      <c r="D1552" s="216"/>
      <c r="E1552" s="216"/>
      <c r="F1552" s="216"/>
      <c r="G1552" s="435"/>
      <c r="H1552" s="216"/>
      <c r="I1552" s="435"/>
    </row>
    <row r="1553" spans="1:9" ht="12.75">
      <c r="A1553" s="669"/>
      <c r="B1553" s="670"/>
      <c r="C1553" s="216"/>
      <c r="D1553" s="216"/>
      <c r="E1553" s="216"/>
      <c r="F1553" s="216"/>
      <c r="G1553" s="435"/>
      <c r="H1553" s="216"/>
      <c r="I1553" s="435"/>
    </row>
    <row r="1554" spans="1:9" ht="12.75">
      <c r="A1554" s="669"/>
      <c r="B1554" s="670"/>
      <c r="C1554" s="216"/>
      <c r="D1554" s="216"/>
      <c r="E1554" s="216"/>
      <c r="F1554" s="216"/>
      <c r="G1554" s="435"/>
      <c r="H1554" s="216"/>
      <c r="I1554" s="435"/>
    </row>
    <row r="1555" spans="1:9" ht="12.75">
      <c r="A1555" s="669"/>
      <c r="B1555" s="670"/>
      <c r="C1555" s="216"/>
      <c r="D1555" s="216"/>
      <c r="E1555" s="216"/>
      <c r="F1555" s="216"/>
      <c r="G1555" s="435"/>
      <c r="H1555" s="216"/>
      <c r="I1555" s="435"/>
    </row>
    <row r="1556" spans="1:9" ht="12.75">
      <c r="A1556" s="669"/>
      <c r="B1556" s="670"/>
      <c r="C1556" s="216"/>
      <c r="D1556" s="216"/>
      <c r="E1556" s="216"/>
      <c r="F1556" s="216"/>
      <c r="G1556" s="435"/>
      <c r="H1556" s="216"/>
      <c r="I1556" s="435"/>
    </row>
    <row r="1557" spans="1:9" ht="12.75">
      <c r="A1557" s="669"/>
      <c r="B1557" s="670"/>
      <c r="C1557" s="216"/>
      <c r="D1557" s="216"/>
      <c r="E1557" s="216"/>
      <c r="F1557" s="216"/>
      <c r="G1557" s="435"/>
      <c r="H1557" s="216"/>
      <c r="I1557" s="435"/>
    </row>
    <row r="1558" spans="1:9" ht="12.75">
      <c r="A1558" s="669"/>
      <c r="B1558" s="670"/>
      <c r="C1558" s="216"/>
      <c r="D1558" s="216"/>
      <c r="E1558" s="216"/>
      <c r="F1558" s="216"/>
      <c r="G1558" s="435"/>
      <c r="H1558" s="216"/>
      <c r="I1558" s="435"/>
    </row>
    <row r="1559" spans="1:9" ht="12.75">
      <c r="A1559" s="669"/>
      <c r="B1559" s="670"/>
      <c r="C1559" s="216"/>
      <c r="D1559" s="216"/>
      <c r="E1559" s="216"/>
      <c r="F1559" s="216"/>
      <c r="G1559" s="435"/>
      <c r="H1559" s="216"/>
      <c r="I1559" s="435"/>
    </row>
    <row r="1560" spans="1:9" ht="12.75">
      <c r="A1560" s="669"/>
      <c r="B1560" s="670"/>
      <c r="C1560" s="216"/>
      <c r="D1560" s="216"/>
      <c r="E1560" s="216"/>
      <c r="F1560" s="216"/>
      <c r="G1560" s="435"/>
      <c r="H1560" s="216"/>
      <c r="I1560" s="435"/>
    </row>
    <row r="1561" spans="1:9" ht="12.75">
      <c r="A1561" s="669"/>
      <c r="B1561" s="670"/>
      <c r="C1561" s="216"/>
      <c r="D1561" s="216"/>
      <c r="E1561" s="216"/>
      <c r="F1561" s="216"/>
      <c r="G1561" s="435"/>
      <c r="H1561" s="216"/>
      <c r="I1561" s="435"/>
    </row>
    <row r="1562" spans="1:9" ht="12.75">
      <c r="A1562" s="669"/>
      <c r="B1562" s="670"/>
      <c r="C1562" s="216"/>
      <c r="D1562" s="216"/>
      <c r="E1562" s="216"/>
      <c r="F1562" s="216"/>
      <c r="G1562" s="435"/>
      <c r="H1562" s="216"/>
      <c r="I1562" s="435"/>
    </row>
    <row r="1563" spans="1:9" ht="12.75">
      <c r="A1563" s="669"/>
      <c r="B1563" s="670"/>
      <c r="C1563" s="216"/>
      <c r="D1563" s="216"/>
      <c r="E1563" s="216"/>
      <c r="F1563" s="216"/>
      <c r="G1563" s="435"/>
      <c r="H1563" s="216"/>
      <c r="I1563" s="435"/>
    </row>
    <row r="1564" spans="1:9" ht="12.75">
      <c r="A1564" s="669"/>
      <c r="B1564" s="670"/>
      <c r="C1564" s="216"/>
      <c r="D1564" s="216"/>
      <c r="E1564" s="216"/>
      <c r="F1564" s="216"/>
      <c r="G1564" s="435"/>
      <c r="H1564" s="216"/>
      <c r="I1564" s="435"/>
    </row>
    <row r="1565" spans="1:9" ht="12.75">
      <c r="A1565" s="669"/>
      <c r="B1565" s="670"/>
      <c r="C1565" s="216"/>
      <c r="D1565" s="216"/>
      <c r="E1565" s="216"/>
      <c r="F1565" s="216"/>
      <c r="G1565" s="435"/>
      <c r="H1565" s="216"/>
      <c r="I1565" s="435"/>
    </row>
    <row r="1566" spans="1:9" ht="12.75">
      <c r="A1566" s="669"/>
      <c r="B1566" s="670"/>
      <c r="C1566" s="216"/>
      <c r="D1566" s="216"/>
      <c r="E1566" s="216"/>
      <c r="F1566" s="216"/>
      <c r="G1566" s="435"/>
      <c r="H1566" s="216"/>
      <c r="I1566" s="435"/>
    </row>
    <row r="1567" spans="1:9" ht="12.75">
      <c r="A1567" s="669"/>
      <c r="B1567" s="670"/>
      <c r="C1567" s="216"/>
      <c r="D1567" s="216"/>
      <c r="E1567" s="216"/>
      <c r="F1567" s="216"/>
      <c r="G1567" s="435"/>
      <c r="H1567" s="216"/>
      <c r="I1567" s="435"/>
    </row>
    <row r="1568" spans="1:9" ht="12.75">
      <c r="A1568" s="669"/>
      <c r="B1568" s="670"/>
      <c r="C1568" s="216"/>
      <c r="D1568" s="216"/>
      <c r="E1568" s="216"/>
      <c r="F1568" s="216"/>
      <c r="G1568" s="435"/>
      <c r="H1568" s="216"/>
      <c r="I1568" s="435"/>
    </row>
    <row r="1569" spans="1:9" ht="12.75">
      <c r="A1569" s="669"/>
      <c r="B1569" s="670"/>
      <c r="C1569" s="216"/>
      <c r="D1569" s="216"/>
      <c r="E1569" s="216"/>
      <c r="F1569" s="216"/>
      <c r="G1569" s="435"/>
      <c r="H1569" s="216"/>
      <c r="I1569" s="435"/>
    </row>
    <row r="1570" spans="1:9" ht="12.75">
      <c r="A1570" s="669"/>
      <c r="B1570" s="670"/>
      <c r="C1570" s="216"/>
      <c r="D1570" s="216"/>
      <c r="E1570" s="216"/>
      <c r="F1570" s="216"/>
      <c r="G1570" s="435"/>
      <c r="H1570" s="216"/>
      <c r="I1570" s="435"/>
    </row>
    <row r="1571" spans="1:9" ht="12.75">
      <c r="A1571" s="669"/>
      <c r="B1571" s="670"/>
      <c r="C1571" s="216"/>
      <c r="D1571" s="216"/>
      <c r="E1571" s="216"/>
      <c r="F1571" s="216"/>
      <c r="G1571" s="435"/>
      <c r="H1571" s="216"/>
      <c r="I1571" s="435"/>
    </row>
    <row r="1572" spans="1:9" ht="12.75">
      <c r="A1572" s="669"/>
      <c r="B1572" s="670"/>
      <c r="C1572" s="216"/>
      <c r="D1572" s="216"/>
      <c r="E1572" s="216"/>
      <c r="F1572" s="216"/>
      <c r="G1572" s="435"/>
      <c r="H1572" s="216"/>
      <c r="I1572" s="435"/>
    </row>
    <row r="1573" spans="1:9" ht="12.75">
      <c r="A1573" s="669"/>
      <c r="B1573" s="670"/>
      <c r="C1573" s="216"/>
      <c r="D1573" s="216"/>
      <c r="E1573" s="216"/>
      <c r="F1573" s="216"/>
      <c r="G1573" s="435"/>
      <c r="H1573" s="216"/>
      <c r="I1573" s="435"/>
    </row>
    <row r="1574" spans="1:9" ht="12.75">
      <c r="A1574" s="669"/>
      <c r="B1574" s="670"/>
      <c r="C1574" s="216"/>
      <c r="D1574" s="216"/>
      <c r="E1574" s="216"/>
      <c r="F1574" s="216"/>
      <c r="G1574" s="435"/>
      <c r="H1574" s="216"/>
      <c r="I1574" s="435"/>
    </row>
    <row r="1575" spans="1:9" ht="12.75">
      <c r="A1575" s="669"/>
      <c r="B1575" s="670"/>
      <c r="C1575" s="216"/>
      <c r="D1575" s="216"/>
      <c r="E1575" s="216"/>
      <c r="F1575" s="216"/>
      <c r="G1575" s="435"/>
      <c r="H1575" s="216"/>
      <c r="I1575" s="435"/>
    </row>
    <row r="1576" spans="1:9" ht="12.75">
      <c r="A1576" s="669"/>
      <c r="B1576" s="670"/>
      <c r="C1576" s="216"/>
      <c r="D1576" s="216"/>
      <c r="E1576" s="216"/>
      <c r="F1576" s="216"/>
      <c r="G1576" s="435"/>
      <c r="H1576" s="216"/>
      <c r="I1576" s="435"/>
    </row>
    <row r="1577" spans="1:9" ht="12.75">
      <c r="A1577" s="669"/>
      <c r="B1577" s="670"/>
      <c r="C1577" s="216"/>
      <c r="D1577" s="216"/>
      <c r="E1577" s="216"/>
      <c r="F1577" s="216"/>
      <c r="G1577" s="435"/>
      <c r="H1577" s="216"/>
      <c r="I1577" s="435"/>
    </row>
    <row r="1578" spans="1:9" ht="12.75">
      <c r="A1578" s="669"/>
      <c r="B1578" s="670"/>
      <c r="C1578" s="216"/>
      <c r="D1578" s="216"/>
      <c r="E1578" s="216"/>
      <c r="F1578" s="216"/>
      <c r="G1578" s="435"/>
      <c r="H1578" s="216"/>
      <c r="I1578" s="435"/>
    </row>
    <row r="1579" spans="1:9" ht="12.75">
      <c r="A1579" s="669"/>
      <c r="B1579" s="670"/>
      <c r="C1579" s="216"/>
      <c r="D1579" s="216"/>
      <c r="E1579" s="216"/>
      <c r="F1579" s="216"/>
      <c r="G1579" s="435"/>
      <c r="H1579" s="216"/>
      <c r="I1579" s="435"/>
    </row>
    <row r="1580" spans="1:9" ht="12.75">
      <c r="A1580" s="669"/>
      <c r="B1580" s="670"/>
      <c r="C1580" s="216"/>
      <c r="D1580" s="216"/>
      <c r="E1580" s="216"/>
      <c r="F1580" s="216"/>
      <c r="G1580" s="435"/>
      <c r="H1580" s="216"/>
      <c r="I1580" s="435"/>
    </row>
    <row r="1581" spans="1:9" ht="12.75">
      <c r="A1581" s="669"/>
      <c r="B1581" s="670"/>
      <c r="C1581" s="216"/>
      <c r="D1581" s="216"/>
      <c r="E1581" s="216"/>
      <c r="F1581" s="216"/>
      <c r="G1581" s="435"/>
      <c r="H1581" s="216"/>
      <c r="I1581" s="435"/>
    </row>
    <row r="1582" spans="1:9" ht="12.75">
      <c r="A1582" s="669"/>
      <c r="B1582" s="670"/>
      <c r="C1582" s="216"/>
      <c r="D1582" s="216"/>
      <c r="E1582" s="216"/>
      <c r="F1582" s="216"/>
      <c r="G1582" s="435"/>
      <c r="H1582" s="216"/>
      <c r="I1582" s="435"/>
    </row>
    <row r="1583" spans="1:9" ht="12.75">
      <c r="A1583" s="669"/>
      <c r="B1583" s="670"/>
      <c r="C1583" s="216"/>
      <c r="D1583" s="216"/>
      <c r="E1583" s="216"/>
      <c r="F1583" s="216"/>
      <c r="G1583" s="435"/>
      <c r="H1583" s="216"/>
      <c r="I1583" s="435"/>
    </row>
    <row r="1584" spans="1:9" ht="12.75">
      <c r="A1584" s="669"/>
      <c r="B1584" s="670"/>
      <c r="C1584" s="216"/>
      <c r="D1584" s="216"/>
      <c r="E1584" s="216"/>
      <c r="F1584" s="216"/>
      <c r="G1584" s="435"/>
      <c r="H1584" s="216"/>
      <c r="I1584" s="435"/>
    </row>
    <row r="1585" spans="1:9" ht="12.75">
      <c r="A1585" s="669"/>
      <c r="B1585" s="670"/>
      <c r="C1585" s="216"/>
      <c r="D1585" s="216"/>
      <c r="E1585" s="216"/>
      <c r="F1585" s="216"/>
      <c r="G1585" s="435"/>
      <c r="H1585" s="216"/>
      <c r="I1585" s="435"/>
    </row>
    <row r="1586" spans="1:9" ht="12.75">
      <c r="A1586" s="669"/>
      <c r="B1586" s="670"/>
      <c r="C1586" s="216"/>
      <c r="D1586" s="216"/>
      <c r="E1586" s="216"/>
      <c r="F1586" s="216"/>
      <c r="G1586" s="435"/>
      <c r="H1586" s="216"/>
      <c r="I1586" s="435"/>
    </row>
    <row r="1587" spans="1:9" ht="12.75">
      <c r="A1587" s="669"/>
      <c r="B1587" s="670"/>
      <c r="C1587" s="216"/>
      <c r="D1587" s="216"/>
      <c r="E1587" s="216"/>
      <c r="F1587" s="216"/>
      <c r="G1587" s="435"/>
      <c r="H1587" s="216"/>
      <c r="I1587" s="435"/>
    </row>
    <row r="1588" spans="1:9" ht="12.75">
      <c r="A1588" s="669"/>
      <c r="B1588" s="670"/>
      <c r="C1588" s="216"/>
      <c r="D1588" s="216"/>
      <c r="E1588" s="216"/>
      <c r="F1588" s="216"/>
      <c r="G1588" s="435"/>
      <c r="H1588" s="216"/>
      <c r="I1588" s="435"/>
    </row>
    <row r="1589" spans="1:9" ht="12.75">
      <c r="A1589" s="669"/>
      <c r="B1589" s="670"/>
      <c r="C1589" s="216"/>
      <c r="D1589" s="216"/>
      <c r="E1589" s="216"/>
      <c r="F1589" s="216"/>
      <c r="G1589" s="435"/>
      <c r="H1589" s="216"/>
      <c r="I1589" s="435"/>
    </row>
    <row r="1590" spans="1:9" ht="12.75">
      <c r="A1590" s="669"/>
      <c r="B1590" s="670"/>
      <c r="C1590" s="216"/>
      <c r="D1590" s="216"/>
      <c r="E1590" s="216"/>
      <c r="F1590" s="216"/>
      <c r="G1590" s="435"/>
      <c r="H1590" s="216"/>
      <c r="I1590" s="435"/>
    </row>
    <row r="1591" spans="1:9" ht="12.75">
      <c r="A1591" s="669"/>
      <c r="B1591" s="670"/>
      <c r="C1591" s="216"/>
      <c r="D1591" s="216"/>
      <c r="E1591" s="216"/>
      <c r="F1591" s="216"/>
      <c r="G1591" s="435"/>
      <c r="H1591" s="216"/>
      <c r="I1591" s="435"/>
    </row>
    <row r="1592" spans="1:9" ht="12.75">
      <c r="A1592" s="669"/>
      <c r="B1592" s="670"/>
      <c r="C1592" s="216"/>
      <c r="D1592" s="216"/>
      <c r="E1592" s="216"/>
      <c r="F1592" s="216"/>
      <c r="G1592" s="435"/>
      <c r="H1592" s="216"/>
      <c r="I1592" s="435"/>
    </row>
    <row r="1593" spans="1:9" ht="12.75">
      <c r="A1593" s="669"/>
      <c r="B1593" s="670"/>
      <c r="C1593" s="216"/>
      <c r="D1593" s="216"/>
      <c r="E1593" s="216"/>
      <c r="F1593" s="216"/>
      <c r="G1593" s="435"/>
      <c r="H1593" s="216"/>
      <c r="I1593" s="435"/>
    </row>
    <row r="1594" spans="1:9" ht="12.75">
      <c r="A1594" s="669"/>
      <c r="B1594" s="670"/>
      <c r="C1594" s="216"/>
      <c r="D1594" s="216"/>
      <c r="E1594" s="216"/>
      <c r="F1594" s="216"/>
      <c r="G1594" s="435"/>
      <c r="H1594" s="216"/>
      <c r="I1594" s="435"/>
    </row>
    <row r="1595" spans="1:9" ht="12.75">
      <c r="A1595" s="669"/>
      <c r="B1595" s="670"/>
      <c r="C1595" s="216"/>
      <c r="D1595" s="216"/>
      <c r="E1595" s="216"/>
      <c r="F1595" s="216"/>
      <c r="G1595" s="435"/>
      <c r="H1595" s="216"/>
      <c r="I1595" s="435"/>
    </row>
    <row r="1596" spans="1:9" ht="12.75">
      <c r="A1596" s="669"/>
      <c r="B1596" s="670"/>
      <c r="C1596" s="216"/>
      <c r="D1596" s="216"/>
      <c r="E1596" s="216"/>
      <c r="F1596" s="216"/>
      <c r="G1596" s="435"/>
      <c r="H1596" s="216"/>
      <c r="I1596" s="435"/>
    </row>
    <row r="1597" spans="1:9" ht="12.75">
      <c r="A1597" s="669"/>
      <c r="B1597" s="670"/>
      <c r="C1597" s="216"/>
      <c r="D1597" s="216"/>
      <c r="E1597" s="216"/>
      <c r="F1597" s="216"/>
      <c r="G1597" s="435"/>
      <c r="H1597" s="216"/>
      <c r="I1597" s="435"/>
    </row>
    <row r="1598" spans="1:9" ht="12.75">
      <c r="A1598" s="669"/>
      <c r="B1598" s="670"/>
      <c r="C1598" s="216"/>
      <c r="D1598" s="216"/>
      <c r="E1598" s="216"/>
      <c r="F1598" s="216"/>
      <c r="G1598" s="435"/>
      <c r="H1598" s="216"/>
      <c r="I1598" s="435"/>
    </row>
    <row r="1599" spans="1:9" ht="12.75">
      <c r="A1599" s="669"/>
      <c r="B1599" s="670"/>
      <c r="C1599" s="216"/>
      <c r="D1599" s="216"/>
      <c r="E1599" s="216"/>
      <c r="F1599" s="216"/>
      <c r="G1599" s="435"/>
      <c r="H1599" s="216"/>
      <c r="I1599" s="435"/>
    </row>
    <row r="1600" spans="1:9" ht="12.75">
      <c r="A1600" s="669"/>
      <c r="B1600" s="670"/>
      <c r="C1600" s="216"/>
      <c r="D1600" s="216"/>
      <c r="E1600" s="216"/>
      <c r="F1600" s="216"/>
      <c r="G1600" s="435"/>
      <c r="H1600" s="216"/>
      <c r="I1600" s="435"/>
    </row>
    <row r="1601" spans="1:9" ht="12.75">
      <c r="A1601" s="669"/>
      <c r="B1601" s="670"/>
      <c r="C1601" s="216"/>
      <c r="D1601" s="216"/>
      <c r="E1601" s="216"/>
      <c r="F1601" s="216"/>
      <c r="G1601" s="435"/>
      <c r="H1601" s="216"/>
      <c r="I1601" s="435"/>
    </row>
    <row r="1602" spans="1:9" ht="12.75">
      <c r="A1602" s="669"/>
      <c r="B1602" s="670"/>
      <c r="C1602" s="216"/>
      <c r="D1602" s="216"/>
      <c r="E1602" s="216"/>
      <c r="F1602" s="216"/>
      <c r="G1602" s="435"/>
      <c r="H1602" s="216"/>
      <c r="I1602" s="435"/>
    </row>
    <row r="1603" spans="1:9" ht="12.75">
      <c r="A1603" s="669"/>
      <c r="B1603" s="670"/>
      <c r="C1603" s="216"/>
      <c r="D1603" s="216"/>
      <c r="E1603" s="216"/>
      <c r="F1603" s="216"/>
      <c r="G1603" s="435"/>
      <c r="H1603" s="216"/>
      <c r="I1603" s="435"/>
    </row>
    <row r="1604" spans="1:9" ht="12.75">
      <c r="A1604" s="669"/>
      <c r="B1604" s="670"/>
      <c r="C1604" s="216"/>
      <c r="D1604" s="216"/>
      <c r="E1604" s="216"/>
      <c r="F1604" s="216"/>
      <c r="G1604" s="435"/>
      <c r="H1604" s="216"/>
      <c r="I1604" s="435"/>
    </row>
    <row r="1605" spans="1:9" ht="12.75">
      <c r="A1605" s="669"/>
      <c r="B1605" s="670"/>
      <c r="C1605" s="216"/>
      <c r="D1605" s="216"/>
      <c r="E1605" s="216"/>
      <c r="F1605" s="216"/>
      <c r="G1605" s="435"/>
      <c r="H1605" s="216"/>
      <c r="I1605" s="435"/>
    </row>
    <row r="1606" spans="1:9" ht="12.75">
      <c r="A1606" s="669"/>
      <c r="B1606" s="670"/>
      <c r="C1606" s="216"/>
      <c r="D1606" s="216"/>
      <c r="E1606" s="216"/>
      <c r="F1606" s="216"/>
      <c r="G1606" s="435"/>
      <c r="H1606" s="216"/>
      <c r="I1606" s="435"/>
    </row>
    <row r="1607" spans="1:9" ht="12.75">
      <c r="A1607" s="669"/>
      <c r="B1607" s="670"/>
      <c r="C1607" s="216"/>
      <c r="D1607" s="216"/>
      <c r="E1607" s="216"/>
      <c r="F1607" s="216"/>
      <c r="G1607" s="435"/>
      <c r="H1607" s="216"/>
      <c r="I1607" s="435"/>
    </row>
    <row r="1608" spans="1:9" ht="12.75">
      <c r="A1608" s="669"/>
      <c r="B1608" s="670"/>
      <c r="C1608" s="216"/>
      <c r="D1608" s="216"/>
      <c r="E1608" s="216"/>
      <c r="F1608" s="216"/>
      <c r="G1608" s="435"/>
      <c r="H1608" s="216"/>
      <c r="I1608" s="435"/>
    </row>
    <row r="1609" spans="1:9" ht="12.75">
      <c r="A1609" s="669"/>
      <c r="B1609" s="670"/>
      <c r="C1609" s="216"/>
      <c r="D1609" s="216"/>
      <c r="E1609" s="216"/>
      <c r="F1609" s="216"/>
      <c r="G1609" s="435"/>
      <c r="H1609" s="216"/>
      <c r="I1609" s="435"/>
    </row>
    <row r="1610" spans="1:9" ht="12.75">
      <c r="A1610" s="669"/>
      <c r="B1610" s="670"/>
      <c r="C1610" s="216"/>
      <c r="D1610" s="216"/>
      <c r="E1610" s="216"/>
      <c r="F1610" s="216"/>
      <c r="G1610" s="435"/>
      <c r="H1610" s="216"/>
      <c r="I1610" s="435"/>
    </row>
    <row r="1611" spans="1:9" ht="12.75">
      <c r="A1611" s="669"/>
      <c r="B1611" s="670"/>
      <c r="C1611" s="216"/>
      <c r="D1611" s="216"/>
      <c r="E1611" s="216"/>
      <c r="F1611" s="216"/>
      <c r="G1611" s="435"/>
      <c r="H1611" s="216"/>
      <c r="I1611" s="435"/>
    </row>
    <row r="1612" spans="1:9" ht="12.75">
      <c r="A1612" s="669"/>
      <c r="B1612" s="670"/>
      <c r="C1612" s="216"/>
      <c r="D1612" s="216"/>
      <c r="E1612" s="216"/>
      <c r="F1612" s="216"/>
      <c r="G1612" s="435"/>
      <c r="H1612" s="216"/>
      <c r="I1612" s="435"/>
    </row>
    <row r="1613" spans="1:9" ht="12.75">
      <c r="A1613" s="669"/>
      <c r="B1613" s="670"/>
      <c r="C1613" s="216"/>
      <c r="D1613" s="216"/>
      <c r="E1613" s="216"/>
      <c r="F1613" s="216"/>
      <c r="G1613" s="435"/>
      <c r="H1613" s="216"/>
      <c r="I1613" s="435"/>
    </row>
    <row r="1614" spans="1:9" ht="12.75">
      <c r="A1614" s="669"/>
      <c r="B1614" s="670"/>
      <c r="C1614" s="216"/>
      <c r="D1614" s="216"/>
      <c r="E1614" s="216"/>
      <c r="F1614" s="216"/>
      <c r="G1614" s="435"/>
      <c r="H1614" s="216"/>
      <c r="I1614" s="435"/>
    </row>
    <row r="1615" spans="1:9" ht="12.75">
      <c r="A1615" s="669"/>
      <c r="B1615" s="670"/>
      <c r="C1615" s="216"/>
      <c r="D1615" s="216"/>
      <c r="E1615" s="216"/>
      <c r="F1615" s="216"/>
      <c r="G1615" s="435"/>
      <c r="H1615" s="216"/>
      <c r="I1615" s="435"/>
    </row>
    <row r="1616" spans="1:9" ht="12.75">
      <c r="A1616" s="669"/>
      <c r="B1616" s="670"/>
      <c r="C1616" s="216"/>
      <c r="D1616" s="216"/>
      <c r="E1616" s="216"/>
      <c r="F1616" s="216"/>
      <c r="G1616" s="435"/>
      <c r="H1616" s="216"/>
      <c r="I1616" s="435"/>
    </row>
    <row r="1617" spans="1:9" ht="12.75">
      <c r="A1617" s="669"/>
      <c r="B1617" s="670"/>
      <c r="C1617" s="216"/>
      <c r="D1617" s="216"/>
      <c r="E1617" s="216"/>
      <c r="F1617" s="216"/>
      <c r="G1617" s="435"/>
      <c r="H1617" s="216"/>
      <c r="I1617" s="435"/>
    </row>
    <row r="1618" spans="1:9" ht="12.75">
      <c r="A1618" s="669"/>
      <c r="B1618" s="670"/>
      <c r="C1618" s="216"/>
      <c r="D1618" s="216"/>
      <c r="E1618" s="216"/>
      <c r="F1618" s="216"/>
      <c r="G1618" s="435"/>
      <c r="H1618" s="216"/>
      <c r="I1618" s="435"/>
    </row>
    <row r="1619" spans="1:9" ht="12.75">
      <c r="A1619" s="669"/>
      <c r="B1619" s="670"/>
      <c r="C1619" s="216"/>
      <c r="D1619" s="216"/>
      <c r="E1619" s="216"/>
      <c r="F1619" s="216"/>
      <c r="G1619" s="435"/>
      <c r="H1619" s="216"/>
      <c r="I1619" s="435"/>
    </row>
    <row r="1620" spans="1:9" ht="12.75">
      <c r="A1620" s="669"/>
      <c r="B1620" s="670"/>
      <c r="C1620" s="216"/>
      <c r="D1620" s="216"/>
      <c r="E1620" s="216"/>
      <c r="F1620" s="216"/>
      <c r="G1620" s="435"/>
      <c r="H1620" s="216"/>
      <c r="I1620" s="435"/>
    </row>
    <row r="1621" spans="1:9" ht="12.75">
      <c r="A1621" s="669"/>
      <c r="B1621" s="670"/>
      <c r="C1621" s="216"/>
      <c r="D1621" s="216"/>
      <c r="E1621" s="216"/>
      <c r="F1621" s="216"/>
      <c r="G1621" s="435"/>
      <c r="H1621" s="216"/>
      <c r="I1621" s="435"/>
    </row>
    <row r="1622" spans="1:9" ht="12.75">
      <c r="A1622" s="669"/>
      <c r="B1622" s="670"/>
      <c r="C1622" s="216"/>
      <c r="D1622" s="216"/>
      <c r="E1622" s="216"/>
      <c r="F1622" s="216"/>
      <c r="G1622" s="435"/>
      <c r="H1622" s="216"/>
      <c r="I1622" s="435"/>
    </row>
    <row r="1623" spans="1:9" ht="12.75">
      <c r="A1623" s="669"/>
      <c r="B1623" s="670"/>
      <c r="C1623" s="216"/>
      <c r="D1623" s="216"/>
      <c r="E1623" s="216"/>
      <c r="F1623" s="216"/>
      <c r="G1623" s="435"/>
      <c r="H1623" s="216"/>
      <c r="I1623" s="435"/>
    </row>
    <row r="1624" spans="1:9" ht="12.75">
      <c r="A1624" s="669"/>
      <c r="B1624" s="670"/>
      <c r="C1624" s="216"/>
      <c r="D1624" s="216"/>
      <c r="E1624" s="216"/>
      <c r="F1624" s="216"/>
      <c r="G1624" s="435"/>
      <c r="H1624" s="216"/>
      <c r="I1624" s="435"/>
    </row>
    <row r="1625" spans="1:9" ht="12.75">
      <c r="A1625" s="669"/>
      <c r="B1625" s="670"/>
      <c r="C1625" s="216"/>
      <c r="D1625" s="216"/>
      <c r="E1625" s="216"/>
      <c r="F1625" s="216"/>
      <c r="G1625" s="435"/>
      <c r="H1625" s="216"/>
      <c r="I1625" s="435"/>
    </row>
    <row r="1626" spans="1:9" ht="12.75">
      <c r="A1626" s="669"/>
      <c r="B1626" s="670"/>
      <c r="C1626" s="216"/>
      <c r="D1626" s="216"/>
      <c r="E1626" s="216"/>
      <c r="F1626" s="216"/>
      <c r="G1626" s="435"/>
      <c r="H1626" s="216"/>
      <c r="I1626" s="435"/>
    </row>
    <row r="1627" spans="1:9" ht="12.75">
      <c r="A1627" s="669"/>
      <c r="B1627" s="670"/>
      <c r="C1627" s="216"/>
      <c r="D1627" s="216"/>
      <c r="E1627" s="216"/>
      <c r="F1627" s="216"/>
      <c r="G1627" s="435"/>
      <c r="H1627" s="216"/>
      <c r="I1627" s="435"/>
    </row>
    <row r="1628" spans="1:9" ht="12.75">
      <c r="A1628" s="669"/>
      <c r="B1628" s="670"/>
      <c r="C1628" s="216"/>
      <c r="D1628" s="216"/>
      <c r="E1628" s="216"/>
      <c r="F1628" s="216"/>
      <c r="G1628" s="435"/>
      <c r="H1628" s="216"/>
      <c r="I1628" s="435"/>
    </row>
    <row r="1629" spans="1:9" ht="12.75">
      <c r="A1629" s="669"/>
      <c r="B1629" s="670"/>
      <c r="C1629" s="216"/>
      <c r="D1629" s="216"/>
      <c r="E1629" s="216"/>
      <c r="F1629" s="216"/>
      <c r="G1629" s="435"/>
      <c r="H1629" s="216"/>
      <c r="I1629" s="435"/>
    </row>
    <row r="1630" spans="1:9" ht="12.75">
      <c r="A1630" s="669"/>
      <c r="B1630" s="670"/>
      <c r="C1630" s="216"/>
      <c r="D1630" s="216"/>
      <c r="E1630" s="216"/>
      <c r="F1630" s="216"/>
      <c r="G1630" s="435"/>
      <c r="H1630" s="216"/>
      <c r="I1630" s="435"/>
    </row>
    <row r="1631" spans="1:9" ht="12.75">
      <c r="A1631" s="669"/>
      <c r="B1631" s="670"/>
      <c r="C1631" s="216"/>
      <c r="D1631" s="216"/>
      <c r="E1631" s="216"/>
      <c r="F1631" s="216"/>
      <c r="G1631" s="435"/>
      <c r="H1631" s="216"/>
      <c r="I1631" s="435"/>
    </row>
    <row r="1632" spans="1:9" ht="12.75">
      <c r="A1632" s="669"/>
      <c r="B1632" s="670"/>
      <c r="C1632" s="216"/>
      <c r="D1632" s="216"/>
      <c r="E1632" s="216"/>
      <c r="F1632" s="216"/>
      <c r="G1632" s="435"/>
      <c r="H1632" s="216"/>
      <c r="I1632" s="435"/>
    </row>
    <row r="1633" spans="1:9" ht="12.75">
      <c r="A1633" s="669"/>
      <c r="B1633" s="670"/>
      <c r="C1633" s="216"/>
      <c r="D1633" s="216"/>
      <c r="E1633" s="216"/>
      <c r="F1633" s="216"/>
      <c r="G1633" s="435"/>
      <c r="H1633" s="216"/>
      <c r="I1633" s="435"/>
    </row>
    <row r="1634" spans="1:9" ht="12.75">
      <c r="A1634" s="669"/>
      <c r="B1634" s="670"/>
      <c r="C1634" s="216"/>
      <c r="D1634" s="216"/>
      <c r="E1634" s="216"/>
      <c r="F1634" s="216"/>
      <c r="G1634" s="435"/>
      <c r="H1634" s="216"/>
      <c r="I1634" s="435"/>
    </row>
    <row r="1635" spans="1:9" ht="12.75">
      <c r="A1635" s="669"/>
      <c r="B1635" s="670"/>
      <c r="C1635" s="216"/>
      <c r="D1635" s="216"/>
      <c r="E1635" s="216"/>
      <c r="F1635" s="216"/>
      <c r="G1635" s="435"/>
      <c r="H1635" s="216"/>
      <c r="I1635" s="435"/>
    </row>
    <row r="1636" spans="1:9" ht="12.75">
      <c r="A1636" s="669"/>
      <c r="B1636" s="670"/>
      <c r="C1636" s="216"/>
      <c r="D1636" s="216"/>
      <c r="E1636" s="216"/>
      <c r="F1636" s="216"/>
      <c r="G1636" s="435"/>
      <c r="H1636" s="216"/>
      <c r="I1636" s="435"/>
    </row>
    <row r="1637" spans="1:9" ht="12.75">
      <c r="A1637" s="669"/>
      <c r="B1637" s="670"/>
      <c r="C1637" s="216"/>
      <c r="D1637" s="216"/>
      <c r="E1637" s="216"/>
      <c r="F1637" s="216"/>
      <c r="G1637" s="435"/>
      <c r="H1637" s="216"/>
      <c r="I1637" s="435"/>
    </row>
    <row r="1638" spans="1:9" ht="12.75">
      <c r="A1638" s="669"/>
      <c r="B1638" s="670"/>
      <c r="C1638" s="216"/>
      <c r="D1638" s="216"/>
      <c r="E1638" s="216"/>
      <c r="F1638" s="216"/>
      <c r="G1638" s="435"/>
      <c r="H1638" s="216"/>
      <c r="I1638" s="435"/>
    </row>
    <row r="1639" spans="1:9" ht="12.75">
      <c r="A1639" s="669"/>
      <c r="B1639" s="670"/>
      <c r="C1639" s="216"/>
      <c r="D1639" s="216"/>
      <c r="E1639" s="216"/>
      <c r="F1639" s="216"/>
      <c r="G1639" s="435"/>
      <c r="H1639" s="216"/>
      <c r="I1639" s="435"/>
    </row>
    <row r="1640" spans="1:9" ht="12.75">
      <c r="A1640" s="669"/>
      <c r="B1640" s="670"/>
      <c r="C1640" s="216"/>
      <c r="D1640" s="216"/>
      <c r="E1640" s="216"/>
      <c r="F1640" s="216"/>
      <c r="G1640" s="435"/>
      <c r="H1640" s="216"/>
      <c r="I1640" s="435"/>
    </row>
    <row r="1641" spans="1:9" ht="12.75">
      <c r="A1641" s="669"/>
      <c r="B1641" s="670"/>
      <c r="C1641" s="216"/>
      <c r="D1641" s="216"/>
      <c r="E1641" s="216"/>
      <c r="F1641" s="216"/>
      <c r="G1641" s="435"/>
      <c r="H1641" s="216"/>
      <c r="I1641" s="435"/>
    </row>
    <row r="1642" spans="1:9" ht="12.75">
      <c r="A1642" s="669"/>
      <c r="B1642" s="670"/>
      <c r="C1642" s="216"/>
      <c r="D1642" s="216"/>
      <c r="E1642" s="216"/>
      <c r="F1642" s="216"/>
      <c r="G1642" s="435"/>
      <c r="H1642" s="216"/>
      <c r="I1642" s="435"/>
    </row>
    <row r="1643" spans="1:9" ht="12.75">
      <c r="A1643" s="669"/>
      <c r="B1643" s="670"/>
      <c r="C1643" s="216"/>
      <c r="D1643" s="216"/>
      <c r="E1643" s="216"/>
      <c r="F1643" s="216"/>
      <c r="G1643" s="435"/>
      <c r="H1643" s="216"/>
      <c r="I1643" s="435"/>
    </row>
    <row r="1644" spans="1:9" ht="12.75">
      <c r="A1644" s="669"/>
      <c r="B1644" s="670"/>
      <c r="C1644" s="216"/>
      <c r="D1644" s="216"/>
      <c r="E1644" s="216"/>
      <c r="F1644" s="216"/>
      <c r="G1644" s="435"/>
      <c r="H1644" s="216"/>
      <c r="I1644" s="435"/>
    </row>
    <row r="1645" spans="1:9" ht="12.75">
      <c r="A1645" s="669"/>
      <c r="B1645" s="670"/>
      <c r="C1645" s="216"/>
      <c r="D1645" s="216"/>
      <c r="E1645" s="216"/>
      <c r="F1645" s="216"/>
      <c r="G1645" s="435"/>
      <c r="H1645" s="216"/>
      <c r="I1645" s="435"/>
    </row>
    <row r="1646" spans="1:9" ht="12.75">
      <c r="A1646" s="669"/>
      <c r="B1646" s="670"/>
      <c r="C1646" s="216"/>
      <c r="D1646" s="216"/>
      <c r="E1646" s="216"/>
      <c r="F1646" s="216"/>
      <c r="G1646" s="435"/>
      <c r="H1646" s="216"/>
      <c r="I1646" s="435"/>
    </row>
    <row r="1647" spans="1:9" ht="12.75">
      <c r="A1647" s="669"/>
      <c r="B1647" s="670"/>
      <c r="C1647" s="216"/>
      <c r="D1647" s="216"/>
      <c r="E1647" s="216"/>
      <c r="F1647" s="216"/>
      <c r="G1647" s="435"/>
      <c r="H1647" s="216"/>
      <c r="I1647" s="435"/>
    </row>
    <row r="1648" spans="1:9" ht="12.75">
      <c r="A1648" s="669"/>
      <c r="B1648" s="670"/>
      <c r="C1648" s="216"/>
      <c r="D1648" s="216"/>
      <c r="E1648" s="216"/>
      <c r="F1648" s="216"/>
      <c r="G1648" s="435"/>
      <c r="H1648" s="216"/>
      <c r="I1648" s="435"/>
    </row>
    <row r="1649" spans="1:9" ht="12.75">
      <c r="A1649" s="669"/>
      <c r="B1649" s="670"/>
      <c r="C1649" s="216"/>
      <c r="D1649" s="216"/>
      <c r="E1649" s="216"/>
      <c r="F1649" s="216"/>
      <c r="G1649" s="435"/>
      <c r="H1649" s="216"/>
      <c r="I1649" s="435"/>
    </row>
    <row r="1650" spans="1:9" ht="12.75">
      <c r="A1650" s="669"/>
      <c r="B1650" s="670"/>
      <c r="C1650" s="216"/>
      <c r="D1650" s="216"/>
      <c r="E1650" s="216"/>
      <c r="F1650" s="216"/>
      <c r="G1650" s="435"/>
      <c r="H1650" s="216"/>
      <c r="I1650" s="435"/>
    </row>
    <row r="1651" spans="1:9" ht="12.75">
      <c r="A1651" s="669"/>
      <c r="B1651" s="670"/>
      <c r="C1651" s="216"/>
      <c r="D1651" s="216"/>
      <c r="E1651" s="216"/>
      <c r="F1651" s="216"/>
      <c r="G1651" s="435"/>
      <c r="H1651" s="216"/>
      <c r="I1651" s="435"/>
    </row>
    <row r="1652" spans="1:9" ht="12.75">
      <c r="A1652" s="669"/>
      <c r="B1652" s="670"/>
      <c r="C1652" s="216"/>
      <c r="D1652" s="216"/>
      <c r="E1652" s="216"/>
      <c r="F1652" s="216"/>
      <c r="G1652" s="435"/>
      <c r="H1652" s="216"/>
      <c r="I1652" s="435"/>
    </row>
    <row r="1653" spans="1:9" ht="12.75">
      <c r="A1653" s="669"/>
      <c r="B1653" s="670"/>
      <c r="C1653" s="216"/>
      <c r="D1653" s="216"/>
      <c r="E1653" s="216"/>
      <c r="F1653" s="216"/>
      <c r="G1653" s="435"/>
      <c r="H1653" s="216"/>
      <c r="I1653" s="435"/>
    </row>
    <row r="1654" spans="1:9" ht="12.75">
      <c r="A1654" s="669"/>
      <c r="B1654" s="670"/>
      <c r="C1654" s="216"/>
      <c r="D1654" s="216"/>
      <c r="E1654" s="216"/>
      <c r="F1654" s="216"/>
      <c r="G1654" s="435"/>
      <c r="H1654" s="216"/>
      <c r="I1654" s="435"/>
    </row>
    <row r="1655" spans="1:9" ht="12.75">
      <c r="A1655" s="669"/>
      <c r="B1655" s="670"/>
      <c r="C1655" s="216"/>
      <c r="D1655" s="216"/>
      <c r="E1655" s="216"/>
      <c r="F1655" s="216"/>
      <c r="G1655" s="435"/>
      <c r="H1655" s="216"/>
      <c r="I1655" s="435"/>
    </row>
    <row r="1656" spans="1:9" ht="12.75">
      <c r="A1656" s="669"/>
      <c r="B1656" s="670"/>
      <c r="C1656" s="216"/>
      <c r="D1656" s="216"/>
      <c r="E1656" s="216"/>
      <c r="F1656" s="216"/>
      <c r="G1656" s="435"/>
      <c r="H1656" s="216"/>
      <c r="I1656" s="435"/>
    </row>
    <row r="1657" spans="1:9" ht="12.75">
      <c r="A1657" s="669"/>
      <c r="B1657" s="670"/>
      <c r="C1657" s="216"/>
      <c r="D1657" s="216"/>
      <c r="E1657" s="216"/>
      <c r="F1657" s="216"/>
      <c r="G1657" s="435"/>
      <c r="H1657" s="216"/>
      <c r="I1657" s="435"/>
    </row>
    <row r="1658" spans="1:9" ht="12.75">
      <c r="A1658" s="669"/>
      <c r="B1658" s="670"/>
      <c r="C1658" s="216"/>
      <c r="D1658" s="216"/>
      <c r="E1658" s="216"/>
      <c r="F1658" s="216"/>
      <c r="G1658" s="435"/>
      <c r="H1658" s="216"/>
      <c r="I1658" s="435"/>
    </row>
    <row r="1659" spans="1:9" ht="12.75">
      <c r="A1659" s="669"/>
      <c r="B1659" s="670"/>
      <c r="C1659" s="216"/>
      <c r="D1659" s="216"/>
      <c r="E1659" s="216"/>
      <c r="F1659" s="216"/>
      <c r="G1659" s="435"/>
      <c r="H1659" s="216"/>
      <c r="I1659" s="435"/>
    </row>
    <row r="1660" spans="1:9" ht="12.75">
      <c r="A1660" s="669"/>
      <c r="B1660" s="670"/>
      <c r="C1660" s="216"/>
      <c r="D1660" s="216"/>
      <c r="E1660" s="216"/>
      <c r="F1660" s="216"/>
      <c r="G1660" s="435"/>
      <c r="H1660" s="216"/>
      <c r="I1660" s="435"/>
    </row>
    <row r="1661" spans="1:9" ht="12.75">
      <c r="A1661" s="669"/>
      <c r="B1661" s="670"/>
      <c r="C1661" s="216"/>
      <c r="D1661" s="216"/>
      <c r="E1661" s="216"/>
      <c r="F1661" s="216"/>
      <c r="G1661" s="435"/>
      <c r="H1661" s="216"/>
      <c r="I1661" s="435"/>
    </row>
    <row r="1662" spans="1:9" ht="12.75">
      <c r="A1662" s="669"/>
      <c r="B1662" s="670"/>
      <c r="C1662" s="216"/>
      <c r="D1662" s="216"/>
      <c r="E1662" s="216"/>
      <c r="F1662" s="216"/>
      <c r="G1662" s="435"/>
      <c r="H1662" s="216"/>
      <c r="I1662" s="435"/>
    </row>
    <row r="1663" spans="1:9" ht="12.75">
      <c r="A1663" s="669"/>
      <c r="B1663" s="670"/>
      <c r="C1663" s="216"/>
      <c r="D1663" s="216"/>
      <c r="E1663" s="216"/>
      <c r="F1663" s="216"/>
      <c r="G1663" s="435"/>
      <c r="H1663" s="216"/>
      <c r="I1663" s="435"/>
    </row>
    <row r="1664" spans="1:9" ht="12.75">
      <c r="A1664" s="669"/>
      <c r="B1664" s="670"/>
      <c r="C1664" s="216"/>
      <c r="D1664" s="216"/>
      <c r="E1664" s="216"/>
      <c r="F1664" s="216"/>
      <c r="G1664" s="435"/>
      <c r="H1664" s="216"/>
      <c r="I1664" s="435"/>
    </row>
    <row r="1665" spans="1:9" ht="12.75">
      <c r="A1665" s="669"/>
      <c r="B1665" s="670"/>
      <c r="C1665" s="216"/>
      <c r="D1665" s="216"/>
      <c r="E1665" s="216"/>
      <c r="F1665" s="216"/>
      <c r="G1665" s="435"/>
      <c r="H1665" s="216"/>
      <c r="I1665" s="435"/>
    </row>
    <row r="1666" spans="1:9" ht="12.75">
      <c r="A1666" s="669"/>
      <c r="B1666" s="670"/>
      <c r="C1666" s="216"/>
      <c r="D1666" s="216"/>
      <c r="E1666" s="216"/>
      <c r="F1666" s="216"/>
      <c r="G1666" s="435"/>
      <c r="H1666" s="216"/>
      <c r="I1666" s="435"/>
    </row>
    <row r="1667" spans="1:9" ht="12.75">
      <c r="A1667" s="669"/>
      <c r="B1667" s="670"/>
      <c r="C1667" s="216"/>
      <c r="D1667" s="216"/>
      <c r="E1667" s="216"/>
      <c r="F1667" s="216"/>
      <c r="G1667" s="435"/>
      <c r="H1667" s="216"/>
      <c r="I1667" s="435"/>
    </row>
    <row r="1668" spans="1:9" ht="12.75">
      <c r="A1668" s="669"/>
      <c r="B1668" s="670"/>
      <c r="C1668" s="216"/>
      <c r="D1668" s="216"/>
      <c r="E1668" s="216"/>
      <c r="F1668" s="216"/>
      <c r="G1668" s="435"/>
      <c r="H1668" s="216"/>
      <c r="I1668" s="435"/>
    </row>
    <row r="1669" spans="1:9" ht="12.75">
      <c r="A1669" s="669"/>
      <c r="B1669" s="670"/>
      <c r="C1669" s="216"/>
      <c r="D1669" s="216"/>
      <c r="E1669" s="216"/>
      <c r="F1669" s="216"/>
      <c r="G1669" s="435"/>
      <c r="H1669" s="216"/>
      <c r="I1669" s="435"/>
    </row>
    <row r="1670" spans="1:9" ht="12.75">
      <c r="A1670" s="669"/>
      <c r="B1670" s="670"/>
      <c r="C1670" s="216"/>
      <c r="D1670" s="216"/>
      <c r="E1670" s="216"/>
      <c r="F1670" s="216"/>
      <c r="G1670" s="435"/>
      <c r="H1670" s="216"/>
      <c r="I1670" s="435"/>
    </row>
    <row r="1671" spans="1:9" ht="12.75">
      <c r="A1671" s="669"/>
      <c r="B1671" s="670"/>
      <c r="C1671" s="216"/>
      <c r="D1671" s="216"/>
      <c r="E1671" s="216"/>
      <c r="F1671" s="216"/>
      <c r="G1671" s="435"/>
      <c r="H1671" s="216"/>
      <c r="I1671" s="435"/>
    </row>
    <row r="1672" spans="1:9" ht="12.75">
      <c r="A1672" s="669"/>
      <c r="B1672" s="670"/>
      <c r="C1672" s="216"/>
      <c r="D1672" s="216"/>
      <c r="E1672" s="216"/>
      <c r="F1672" s="216"/>
      <c r="G1672" s="435"/>
      <c r="H1672" s="216"/>
      <c r="I1672" s="435"/>
    </row>
    <row r="1673" spans="1:9" ht="12.75">
      <c r="A1673" s="669"/>
      <c r="B1673" s="670"/>
      <c r="C1673" s="216"/>
      <c r="D1673" s="216"/>
      <c r="E1673" s="216"/>
      <c r="F1673" s="216"/>
      <c r="G1673" s="435"/>
      <c r="H1673" s="216"/>
      <c r="I1673" s="435"/>
    </row>
    <row r="1674" spans="1:9" ht="12.75">
      <c r="A1674" s="669"/>
      <c r="B1674" s="670"/>
      <c r="C1674" s="216"/>
      <c r="D1674" s="216"/>
      <c r="E1674" s="216"/>
      <c r="F1674" s="216"/>
      <c r="G1674" s="435"/>
      <c r="H1674" s="216"/>
      <c r="I1674" s="435"/>
    </row>
    <row r="1675" spans="1:9" ht="12.75">
      <c r="A1675" s="669"/>
      <c r="B1675" s="670"/>
      <c r="C1675" s="216"/>
      <c r="D1675" s="216"/>
      <c r="E1675" s="216"/>
      <c r="F1675" s="216"/>
      <c r="G1675" s="435"/>
      <c r="H1675" s="216"/>
      <c r="I1675" s="435"/>
    </row>
    <row r="1676" spans="1:9" ht="12.75">
      <c r="A1676" s="669"/>
      <c r="B1676" s="670"/>
      <c r="C1676" s="216"/>
      <c r="D1676" s="216"/>
      <c r="E1676" s="216"/>
      <c r="F1676" s="216"/>
      <c r="G1676" s="435"/>
      <c r="H1676" s="216"/>
      <c r="I1676" s="435"/>
    </row>
    <row r="1677" spans="1:9" ht="12.75">
      <c r="A1677" s="669"/>
      <c r="B1677" s="670"/>
      <c r="C1677" s="216"/>
      <c r="D1677" s="216"/>
      <c r="E1677" s="216"/>
      <c r="F1677" s="216"/>
      <c r="G1677" s="435"/>
      <c r="H1677" s="216"/>
      <c r="I1677" s="435"/>
    </row>
    <row r="1678" spans="1:9" ht="12.75">
      <c r="A1678" s="669"/>
      <c r="B1678" s="670"/>
      <c r="C1678" s="216"/>
      <c r="D1678" s="216"/>
      <c r="E1678" s="216"/>
      <c r="F1678" s="216"/>
      <c r="G1678" s="435"/>
      <c r="H1678" s="216"/>
      <c r="I1678" s="435"/>
    </row>
    <row r="1679" spans="1:9" ht="12.75">
      <c r="A1679" s="669"/>
      <c r="B1679" s="670"/>
      <c r="C1679" s="216"/>
      <c r="D1679" s="216"/>
      <c r="E1679" s="216"/>
      <c r="F1679" s="216"/>
      <c r="G1679" s="435"/>
      <c r="H1679" s="216"/>
      <c r="I1679" s="435"/>
    </row>
    <row r="1680" spans="1:9" ht="12.75">
      <c r="A1680" s="669"/>
      <c r="B1680" s="670"/>
      <c r="C1680" s="216"/>
      <c r="D1680" s="216"/>
      <c r="E1680" s="216"/>
      <c r="F1680" s="216"/>
      <c r="G1680" s="435"/>
      <c r="H1680" s="216"/>
      <c r="I1680" s="435"/>
    </row>
    <row r="1681" spans="1:9" ht="12.75">
      <c r="A1681" s="669"/>
      <c r="B1681" s="670"/>
      <c r="C1681" s="216"/>
      <c r="D1681" s="216"/>
      <c r="E1681" s="216"/>
      <c r="F1681" s="216"/>
      <c r="G1681" s="435"/>
      <c r="H1681" s="216"/>
      <c r="I1681" s="435"/>
    </row>
    <row r="1682" spans="1:9" ht="12.75">
      <c r="A1682" s="669"/>
      <c r="B1682" s="670"/>
      <c r="C1682" s="216"/>
      <c r="D1682" s="216"/>
      <c r="E1682" s="216"/>
      <c r="F1682" s="216"/>
      <c r="G1682" s="435"/>
      <c r="H1682" s="216"/>
      <c r="I1682" s="435"/>
    </row>
    <row r="1683" spans="1:9" ht="12.75">
      <c r="A1683" s="669"/>
      <c r="B1683" s="670"/>
      <c r="C1683" s="216"/>
      <c r="D1683" s="216"/>
      <c r="E1683" s="216"/>
      <c r="F1683" s="216"/>
      <c r="G1683" s="435"/>
      <c r="H1683" s="216"/>
      <c r="I1683" s="435"/>
    </row>
    <row r="1684" spans="1:9" ht="12.75">
      <c r="A1684" s="669"/>
      <c r="B1684" s="670"/>
      <c r="C1684" s="216"/>
      <c r="D1684" s="216"/>
      <c r="E1684" s="216"/>
      <c r="F1684" s="216"/>
      <c r="G1684" s="435"/>
      <c r="H1684" s="216"/>
      <c r="I1684" s="435"/>
    </row>
    <row r="1685" spans="1:9" ht="12.75">
      <c r="A1685" s="669"/>
      <c r="B1685" s="670"/>
      <c r="C1685" s="216"/>
      <c r="D1685" s="216"/>
      <c r="E1685" s="216"/>
      <c r="F1685" s="216"/>
      <c r="G1685" s="435"/>
      <c r="H1685" s="216"/>
      <c r="I1685" s="435"/>
    </row>
    <row r="1686" spans="1:9" ht="12.75">
      <c r="A1686" s="669"/>
      <c r="B1686" s="670"/>
      <c r="C1686" s="216"/>
      <c r="D1686" s="216"/>
      <c r="E1686" s="216"/>
      <c r="F1686" s="216"/>
      <c r="G1686" s="435"/>
      <c r="H1686" s="216"/>
      <c r="I1686" s="435"/>
    </row>
    <row r="1687" spans="1:9" ht="12.75">
      <c r="A1687" s="669"/>
      <c r="B1687" s="670"/>
      <c r="C1687" s="216"/>
      <c r="D1687" s="216"/>
      <c r="E1687" s="216"/>
      <c r="F1687" s="216"/>
      <c r="G1687" s="435"/>
      <c r="H1687" s="216"/>
      <c r="I1687" s="435"/>
    </row>
    <row r="1688" spans="1:9" ht="12.75">
      <c r="A1688" s="669"/>
      <c r="B1688" s="670"/>
      <c r="C1688" s="216"/>
      <c r="D1688" s="216"/>
      <c r="E1688" s="216"/>
      <c r="F1688" s="216"/>
      <c r="G1688" s="435"/>
      <c r="H1688" s="216"/>
      <c r="I1688" s="435"/>
    </row>
    <row r="1689" spans="1:9" ht="12.75">
      <c r="A1689" s="669"/>
      <c r="B1689" s="670"/>
      <c r="C1689" s="216"/>
      <c r="D1689" s="216"/>
      <c r="E1689" s="216"/>
      <c r="F1689" s="216"/>
      <c r="G1689" s="435"/>
      <c r="H1689" s="216"/>
      <c r="I1689" s="435"/>
    </row>
    <row r="1690" spans="1:9" ht="12.75">
      <c r="A1690" s="669"/>
      <c r="B1690" s="670"/>
      <c r="C1690" s="216"/>
      <c r="D1690" s="216"/>
      <c r="E1690" s="216"/>
      <c r="F1690" s="216"/>
      <c r="G1690" s="435"/>
      <c r="H1690" s="216"/>
      <c r="I1690" s="435"/>
    </row>
    <row r="1691" spans="1:9" ht="12.75">
      <c r="A1691" s="669"/>
      <c r="B1691" s="670"/>
      <c r="C1691" s="216"/>
      <c r="D1691" s="216"/>
      <c r="E1691" s="216"/>
      <c r="F1691" s="216"/>
      <c r="G1691" s="435"/>
      <c r="H1691" s="216"/>
      <c r="I1691" s="435"/>
    </row>
    <row r="1692" spans="1:9" ht="12.75">
      <c r="A1692" s="669"/>
      <c r="B1692" s="670"/>
      <c r="C1692" s="216"/>
      <c r="D1692" s="216"/>
      <c r="E1692" s="216"/>
      <c r="F1692" s="216"/>
      <c r="G1692" s="435"/>
      <c r="H1692" s="216"/>
      <c r="I1692" s="435"/>
    </row>
    <row r="1693" spans="1:9" ht="12.75">
      <c r="A1693" s="669"/>
      <c r="B1693" s="670"/>
      <c r="C1693" s="216"/>
      <c r="D1693" s="216"/>
      <c r="E1693" s="216"/>
      <c r="F1693" s="216"/>
      <c r="G1693" s="435"/>
      <c r="H1693" s="216"/>
      <c r="I1693" s="435"/>
    </row>
    <row r="1694" spans="1:9" ht="12.75">
      <c r="A1694" s="669"/>
      <c r="B1694" s="670"/>
      <c r="C1694" s="216"/>
      <c r="D1694" s="216"/>
      <c r="E1694" s="216"/>
      <c r="F1694" s="216"/>
      <c r="G1694" s="435"/>
      <c r="H1694" s="216"/>
      <c r="I1694" s="435"/>
    </row>
    <row r="1695" spans="1:9" ht="12.75">
      <c r="A1695" s="669"/>
      <c r="B1695" s="670"/>
      <c r="C1695" s="216"/>
      <c r="D1695" s="216"/>
      <c r="E1695" s="216"/>
      <c r="F1695" s="216"/>
      <c r="G1695" s="435"/>
      <c r="H1695" s="216"/>
      <c r="I1695" s="435"/>
    </row>
    <row r="1696" spans="1:9" ht="12.75">
      <c r="A1696" s="669"/>
      <c r="B1696" s="670"/>
      <c r="C1696" s="216"/>
      <c r="D1696" s="216"/>
      <c r="E1696" s="216"/>
      <c r="F1696" s="216"/>
      <c r="G1696" s="435"/>
      <c r="H1696" s="216"/>
      <c r="I1696" s="435"/>
    </row>
    <row r="1697" spans="1:9" ht="12.75">
      <c r="A1697" s="669"/>
      <c r="B1697" s="670"/>
      <c r="C1697" s="216"/>
      <c r="D1697" s="216"/>
      <c r="E1697" s="216"/>
      <c r="F1697" s="216"/>
      <c r="G1697" s="435"/>
      <c r="H1697" s="216"/>
      <c r="I1697" s="435"/>
    </row>
    <row r="1698" spans="1:9" ht="12.75">
      <c r="A1698" s="669"/>
      <c r="B1698" s="670"/>
      <c r="C1698" s="216"/>
      <c r="D1698" s="216"/>
      <c r="E1698" s="216"/>
      <c r="F1698" s="216"/>
      <c r="G1698" s="435"/>
      <c r="H1698" s="216"/>
      <c r="I1698" s="435"/>
    </row>
    <row r="1699" spans="1:9" ht="12.75">
      <c r="A1699" s="669"/>
      <c r="B1699" s="670"/>
      <c r="C1699" s="216"/>
      <c r="D1699" s="216"/>
      <c r="E1699" s="216"/>
      <c r="F1699" s="216"/>
      <c r="G1699" s="435"/>
      <c r="H1699" s="216"/>
      <c r="I1699" s="435"/>
    </row>
    <row r="1700" spans="1:9" ht="12.75">
      <c r="A1700" s="669"/>
      <c r="B1700" s="670"/>
      <c r="C1700" s="216"/>
      <c r="D1700" s="216"/>
      <c r="E1700" s="216"/>
      <c r="F1700" s="216"/>
      <c r="G1700" s="435"/>
      <c r="H1700" s="216"/>
      <c r="I1700" s="435"/>
    </row>
    <row r="1701" spans="1:9" ht="12.75">
      <c r="A1701" s="669"/>
      <c r="B1701" s="670"/>
      <c r="C1701" s="216"/>
      <c r="D1701" s="216"/>
      <c r="E1701" s="216"/>
      <c r="F1701" s="216"/>
      <c r="G1701" s="435"/>
      <c r="H1701" s="216"/>
      <c r="I1701" s="435"/>
    </row>
    <row r="1702" spans="1:9" ht="12.75">
      <c r="A1702" s="669"/>
      <c r="B1702" s="670"/>
      <c r="C1702" s="216"/>
      <c r="D1702" s="216"/>
      <c r="E1702" s="216"/>
      <c r="F1702" s="216"/>
      <c r="G1702" s="435"/>
      <c r="H1702" s="216"/>
      <c r="I1702" s="435"/>
    </row>
    <row r="1703" spans="1:9" ht="12.75">
      <c r="A1703" s="669"/>
      <c r="B1703" s="670"/>
      <c r="C1703" s="216"/>
      <c r="D1703" s="216"/>
      <c r="E1703" s="216"/>
      <c r="F1703" s="216"/>
      <c r="G1703" s="435"/>
      <c r="H1703" s="216"/>
      <c r="I1703" s="435"/>
    </row>
    <row r="1704" spans="1:9" ht="12.75">
      <c r="A1704" s="669"/>
      <c r="B1704" s="670"/>
      <c r="C1704" s="216"/>
      <c r="D1704" s="216"/>
      <c r="E1704" s="216"/>
      <c r="F1704" s="216"/>
      <c r="G1704" s="435"/>
      <c r="H1704" s="216"/>
      <c r="I1704" s="435"/>
    </row>
    <row r="1705" spans="1:9" ht="12.75">
      <c r="A1705" s="669"/>
      <c r="B1705" s="670"/>
      <c r="C1705" s="216"/>
      <c r="D1705" s="216"/>
      <c r="E1705" s="216"/>
      <c r="F1705" s="216"/>
      <c r="G1705" s="435"/>
      <c r="H1705" s="216"/>
      <c r="I1705" s="435"/>
    </row>
    <row r="1706" spans="1:9" ht="12.75">
      <c r="A1706" s="669"/>
      <c r="B1706" s="670"/>
      <c r="C1706" s="216"/>
      <c r="D1706" s="216"/>
      <c r="E1706" s="216"/>
      <c r="F1706" s="216"/>
      <c r="G1706" s="435"/>
      <c r="H1706" s="216"/>
      <c r="I1706" s="435"/>
    </row>
    <row r="1707" spans="1:9" ht="12.75">
      <c r="A1707" s="669"/>
      <c r="B1707" s="670"/>
      <c r="C1707" s="216"/>
      <c r="D1707" s="216"/>
      <c r="E1707" s="216"/>
      <c r="F1707" s="216"/>
      <c r="G1707" s="435"/>
      <c r="H1707" s="216"/>
      <c r="I1707" s="435"/>
    </row>
    <row r="1708" spans="1:9" ht="12.75">
      <c r="A1708" s="669"/>
      <c r="B1708" s="670"/>
      <c r="C1708" s="216"/>
      <c r="D1708" s="216"/>
      <c r="E1708" s="216"/>
      <c r="F1708" s="216"/>
      <c r="G1708" s="435"/>
      <c r="H1708" s="216"/>
      <c r="I1708" s="435"/>
    </row>
    <row r="1709" spans="1:9" ht="12.75">
      <c r="A1709" s="669"/>
      <c r="B1709" s="670"/>
      <c r="C1709" s="216"/>
      <c r="D1709" s="216"/>
      <c r="E1709" s="216"/>
      <c r="F1709" s="216"/>
      <c r="G1709" s="435"/>
      <c r="H1709" s="216"/>
      <c r="I1709" s="435"/>
    </row>
    <row r="1710" spans="1:9" ht="12.75">
      <c r="A1710" s="669"/>
      <c r="B1710" s="670"/>
      <c r="C1710" s="216"/>
      <c r="D1710" s="216"/>
      <c r="E1710" s="216"/>
      <c r="F1710" s="216"/>
      <c r="G1710" s="435"/>
      <c r="H1710" s="216"/>
      <c r="I1710" s="435"/>
    </row>
    <row r="1711" spans="1:9" ht="12.75">
      <c r="A1711" s="669"/>
      <c r="B1711" s="670"/>
      <c r="C1711" s="216"/>
      <c r="D1711" s="216"/>
      <c r="E1711" s="216"/>
      <c r="F1711" s="216"/>
      <c r="G1711" s="435"/>
      <c r="H1711" s="216"/>
      <c r="I1711" s="435"/>
    </row>
    <row r="1712" spans="1:9" ht="12.75">
      <c r="A1712" s="669"/>
      <c r="B1712" s="670"/>
      <c r="C1712" s="216"/>
      <c r="D1712" s="216"/>
      <c r="E1712" s="216"/>
      <c r="F1712" s="216"/>
      <c r="G1712" s="435"/>
      <c r="H1712" s="216"/>
      <c r="I1712" s="435"/>
    </row>
    <row r="1713" spans="1:9" ht="12.75">
      <c r="A1713" s="669"/>
      <c r="B1713" s="670"/>
      <c r="C1713" s="216"/>
      <c r="D1713" s="216"/>
      <c r="E1713" s="216"/>
      <c r="F1713" s="216"/>
      <c r="G1713" s="435"/>
      <c r="H1713" s="216"/>
      <c r="I1713" s="435"/>
    </row>
    <row r="1714" spans="1:9" ht="12.75">
      <c r="A1714" s="669"/>
      <c r="B1714" s="670"/>
      <c r="C1714" s="216"/>
      <c r="D1714" s="216"/>
      <c r="E1714" s="216"/>
      <c r="F1714" s="216"/>
      <c r="G1714" s="435"/>
      <c r="H1714" s="216"/>
      <c r="I1714" s="435"/>
    </row>
    <row r="1715" spans="1:9" ht="12.75">
      <c r="A1715" s="669"/>
      <c r="B1715" s="670"/>
      <c r="C1715" s="216"/>
      <c r="D1715" s="216"/>
      <c r="E1715" s="216"/>
      <c r="F1715" s="216"/>
      <c r="G1715" s="435"/>
      <c r="H1715" s="216"/>
      <c r="I1715" s="435"/>
    </row>
    <row r="1716" spans="1:9" ht="12.75">
      <c r="A1716" s="669"/>
      <c r="B1716" s="670"/>
      <c r="C1716" s="216"/>
      <c r="D1716" s="216"/>
      <c r="E1716" s="216"/>
      <c r="F1716" s="216"/>
      <c r="G1716" s="435"/>
      <c r="H1716" s="216"/>
      <c r="I1716" s="435"/>
    </row>
    <row r="1717" spans="1:9" ht="12.75">
      <c r="A1717" s="669"/>
      <c r="B1717" s="670"/>
      <c r="C1717" s="216"/>
      <c r="D1717" s="216"/>
      <c r="E1717" s="216"/>
      <c r="F1717" s="216"/>
      <c r="G1717" s="435"/>
      <c r="H1717" s="216"/>
      <c r="I1717" s="435"/>
    </row>
    <row r="1718" spans="1:9" ht="12.75">
      <c r="A1718" s="669"/>
      <c r="B1718" s="670"/>
      <c r="C1718" s="216"/>
      <c r="D1718" s="216"/>
      <c r="E1718" s="216"/>
      <c r="F1718" s="216"/>
      <c r="G1718" s="435"/>
      <c r="H1718" s="216"/>
      <c r="I1718" s="435"/>
    </row>
    <row r="1719" spans="1:9" ht="12.75">
      <c r="A1719" s="669"/>
      <c r="B1719" s="670"/>
      <c r="C1719" s="216"/>
      <c r="D1719" s="216"/>
      <c r="E1719" s="216"/>
      <c r="F1719" s="216"/>
      <c r="G1719" s="435"/>
      <c r="H1719" s="216"/>
      <c r="I1719" s="435"/>
    </row>
    <row r="1720" spans="1:9" ht="12.75">
      <c r="A1720" s="669"/>
      <c r="B1720" s="670"/>
      <c r="C1720" s="216"/>
      <c r="D1720" s="216"/>
      <c r="E1720" s="216"/>
      <c r="F1720" s="216"/>
      <c r="G1720" s="435"/>
      <c r="H1720" s="216"/>
      <c r="I1720" s="435"/>
    </row>
    <row r="1721" spans="1:9" ht="12.75">
      <c r="A1721" s="669"/>
      <c r="B1721" s="670"/>
      <c r="C1721" s="216"/>
      <c r="D1721" s="216"/>
      <c r="E1721" s="216"/>
      <c r="F1721" s="216"/>
      <c r="G1721" s="435"/>
      <c r="H1721" s="216"/>
      <c r="I1721" s="435"/>
    </row>
    <row r="1722" spans="1:9" ht="12.75">
      <c r="A1722" s="669"/>
      <c r="B1722" s="670"/>
      <c r="C1722" s="216"/>
      <c r="D1722" s="216"/>
      <c r="E1722" s="216"/>
      <c r="F1722" s="216"/>
      <c r="G1722" s="435"/>
      <c r="H1722" s="216"/>
      <c r="I1722" s="435"/>
    </row>
    <row r="1723" spans="1:9" ht="12.75">
      <c r="A1723" s="669"/>
      <c r="B1723" s="670"/>
      <c r="C1723" s="216"/>
      <c r="D1723" s="216"/>
      <c r="E1723" s="216"/>
      <c r="F1723" s="216"/>
      <c r="G1723" s="435"/>
      <c r="H1723" s="216"/>
      <c r="I1723" s="435"/>
    </row>
    <row r="1724" spans="1:9" ht="12.75">
      <c r="A1724" s="669"/>
      <c r="B1724" s="670"/>
      <c r="C1724" s="216"/>
      <c r="D1724" s="216"/>
      <c r="E1724" s="216"/>
      <c r="F1724" s="216"/>
      <c r="G1724" s="435"/>
      <c r="H1724" s="216"/>
      <c r="I1724" s="435"/>
    </row>
    <row r="1725" spans="1:9" ht="12.75">
      <c r="A1725" s="669"/>
      <c r="B1725" s="670"/>
      <c r="C1725" s="216"/>
      <c r="D1725" s="216"/>
      <c r="E1725" s="216"/>
      <c r="F1725" s="216"/>
      <c r="G1725" s="435"/>
      <c r="H1725" s="216"/>
      <c r="I1725" s="435"/>
    </row>
    <row r="1726" spans="1:9" ht="12.75">
      <c r="A1726" s="669"/>
      <c r="B1726" s="670"/>
      <c r="C1726" s="216"/>
      <c r="D1726" s="216"/>
      <c r="E1726" s="216"/>
      <c r="F1726" s="216"/>
      <c r="G1726" s="435"/>
      <c r="H1726" s="216"/>
      <c r="I1726" s="435"/>
    </row>
    <row r="1727" spans="1:9" ht="12.75">
      <c r="A1727" s="669"/>
      <c r="B1727" s="670"/>
      <c r="C1727" s="216"/>
      <c r="D1727" s="216"/>
      <c r="E1727" s="216"/>
      <c r="F1727" s="216"/>
      <c r="G1727" s="435"/>
      <c r="H1727" s="216"/>
      <c r="I1727" s="435"/>
    </row>
    <row r="1728" spans="1:9" ht="12.75">
      <c r="A1728" s="669"/>
      <c r="B1728" s="670"/>
      <c r="C1728" s="216"/>
      <c r="D1728" s="216"/>
      <c r="E1728" s="216"/>
      <c r="F1728" s="216"/>
      <c r="G1728" s="435"/>
      <c r="H1728" s="216"/>
      <c r="I1728" s="435"/>
    </row>
    <row r="1729" spans="1:9" ht="12.75">
      <c r="A1729" s="669"/>
      <c r="B1729" s="670"/>
      <c r="C1729" s="216"/>
      <c r="D1729" s="216"/>
      <c r="E1729" s="216"/>
      <c r="F1729" s="216"/>
      <c r="G1729" s="435"/>
      <c r="H1729" s="216"/>
      <c r="I1729" s="435"/>
    </row>
    <row r="1730" spans="1:9" ht="12.75">
      <c r="A1730" s="669"/>
      <c r="B1730" s="670"/>
      <c r="C1730" s="216"/>
      <c r="D1730" s="216"/>
      <c r="E1730" s="216"/>
      <c r="F1730" s="216"/>
      <c r="G1730" s="435"/>
      <c r="H1730" s="216"/>
      <c r="I1730" s="435"/>
    </row>
    <row r="1731" spans="1:9" ht="12.75">
      <c r="A1731" s="669"/>
      <c r="B1731" s="670"/>
      <c r="C1731" s="216"/>
      <c r="D1731" s="216"/>
      <c r="E1731" s="216"/>
      <c r="F1731" s="216"/>
      <c r="G1731" s="435"/>
      <c r="H1731" s="216"/>
      <c r="I1731" s="435"/>
    </row>
    <row r="1732" spans="1:9" ht="12.75">
      <c r="A1732" s="669"/>
      <c r="B1732" s="670"/>
      <c r="C1732" s="216"/>
      <c r="D1732" s="216"/>
      <c r="E1732" s="216"/>
      <c r="F1732" s="216"/>
      <c r="G1732" s="435"/>
      <c r="H1732" s="216"/>
      <c r="I1732" s="435"/>
    </row>
    <row r="1733" spans="1:9" ht="12.75">
      <c r="A1733" s="669"/>
      <c r="B1733" s="670"/>
      <c r="C1733" s="216"/>
      <c r="D1733" s="216"/>
      <c r="E1733" s="216"/>
      <c r="F1733" s="216"/>
      <c r="G1733" s="435"/>
      <c r="H1733" s="216"/>
      <c r="I1733" s="435"/>
    </row>
    <row r="1734" spans="1:9" ht="12.75">
      <c r="A1734" s="669"/>
      <c r="B1734" s="670"/>
      <c r="C1734" s="216"/>
      <c r="D1734" s="216"/>
      <c r="E1734" s="216"/>
      <c r="F1734" s="216"/>
      <c r="G1734" s="435"/>
      <c r="H1734" s="216"/>
      <c r="I1734" s="435"/>
    </row>
    <row r="1735" spans="1:9" ht="12.75">
      <c r="A1735" s="669"/>
      <c r="B1735" s="670"/>
      <c r="C1735" s="216"/>
      <c r="D1735" s="216"/>
      <c r="E1735" s="216"/>
      <c r="F1735" s="216"/>
      <c r="G1735" s="435"/>
      <c r="H1735" s="216"/>
      <c r="I1735" s="435"/>
    </row>
    <row r="1736" spans="1:9" ht="12.75">
      <c r="A1736" s="669"/>
      <c r="B1736" s="670"/>
      <c r="C1736" s="216"/>
      <c r="D1736" s="216"/>
      <c r="E1736" s="216"/>
      <c r="F1736" s="216"/>
      <c r="G1736" s="435"/>
      <c r="H1736" s="216"/>
      <c r="I1736" s="435"/>
    </row>
    <row r="1737" spans="1:9" ht="12.75">
      <c r="A1737" s="669"/>
      <c r="B1737" s="670"/>
      <c r="C1737" s="216"/>
      <c r="D1737" s="216"/>
      <c r="E1737" s="216"/>
      <c r="F1737" s="216"/>
      <c r="G1737" s="435"/>
      <c r="H1737" s="216"/>
      <c r="I1737" s="435"/>
    </row>
    <row r="1738" spans="1:9" ht="12.75">
      <c r="A1738" s="669"/>
      <c r="B1738" s="670"/>
      <c r="C1738" s="216"/>
      <c r="D1738" s="216"/>
      <c r="E1738" s="216"/>
      <c r="F1738" s="216"/>
      <c r="G1738" s="435"/>
      <c r="H1738" s="216"/>
      <c r="I1738" s="435"/>
    </row>
    <row r="1739" spans="1:9" ht="12.75">
      <c r="A1739" s="669"/>
      <c r="B1739" s="670"/>
      <c r="C1739" s="216"/>
      <c r="D1739" s="216"/>
      <c r="E1739" s="216"/>
      <c r="F1739" s="216"/>
      <c r="G1739" s="435"/>
      <c r="H1739" s="216"/>
      <c r="I1739" s="435"/>
    </row>
    <row r="1740" spans="1:9" ht="12.75">
      <c r="A1740" s="669"/>
      <c r="B1740" s="670"/>
      <c r="C1740" s="216"/>
      <c r="D1740" s="216"/>
      <c r="E1740" s="216"/>
      <c r="F1740" s="216"/>
      <c r="G1740" s="435"/>
      <c r="H1740" s="216"/>
      <c r="I1740" s="435"/>
    </row>
    <row r="1741" spans="1:9" ht="12.75">
      <c r="A1741" s="669"/>
      <c r="B1741" s="670"/>
      <c r="C1741" s="216"/>
      <c r="D1741" s="216"/>
      <c r="E1741" s="216"/>
      <c r="F1741" s="216"/>
      <c r="G1741" s="435"/>
      <c r="H1741" s="216"/>
      <c r="I1741" s="435"/>
    </row>
    <row r="1742" spans="1:9" ht="12.75">
      <c r="A1742" s="669"/>
      <c r="B1742" s="670"/>
      <c r="C1742" s="216"/>
      <c r="D1742" s="216"/>
      <c r="E1742" s="216"/>
      <c r="F1742" s="216"/>
      <c r="G1742" s="435"/>
      <c r="H1742" s="216"/>
      <c r="I1742" s="435"/>
    </row>
    <row r="1743" spans="1:9" ht="12.75">
      <c r="A1743" s="669"/>
      <c r="B1743" s="670"/>
      <c r="C1743" s="216"/>
      <c r="D1743" s="216"/>
      <c r="E1743" s="216"/>
      <c r="F1743" s="216"/>
      <c r="G1743" s="435"/>
      <c r="H1743" s="216"/>
      <c r="I1743" s="435"/>
    </row>
    <row r="1744" spans="1:9" ht="12.75">
      <c r="A1744" s="669"/>
      <c r="B1744" s="670"/>
      <c r="C1744" s="216"/>
      <c r="D1744" s="216"/>
      <c r="E1744" s="216"/>
      <c r="F1744" s="216"/>
      <c r="G1744" s="435"/>
      <c r="H1744" s="216"/>
      <c r="I1744" s="435"/>
    </row>
    <row r="1745" spans="1:9" ht="12.75">
      <c r="A1745" s="669"/>
      <c r="B1745" s="670"/>
      <c r="C1745" s="216"/>
      <c r="D1745" s="216"/>
      <c r="E1745" s="216"/>
      <c r="F1745" s="216"/>
      <c r="G1745" s="435"/>
      <c r="H1745" s="216"/>
      <c r="I1745" s="435"/>
    </row>
    <row r="1746" spans="1:9" ht="12.75">
      <c r="A1746" s="669"/>
      <c r="B1746" s="670"/>
      <c r="C1746" s="216"/>
      <c r="D1746" s="216"/>
      <c r="E1746" s="216"/>
      <c r="F1746" s="216"/>
      <c r="G1746" s="435"/>
      <c r="H1746" s="216"/>
      <c r="I1746" s="435"/>
    </row>
    <row r="1747" spans="1:9" ht="12.75">
      <c r="A1747" s="669"/>
      <c r="B1747" s="670"/>
      <c r="C1747" s="216"/>
      <c r="D1747" s="216"/>
      <c r="E1747" s="216"/>
      <c r="F1747" s="216"/>
      <c r="G1747" s="435"/>
      <c r="H1747" s="216"/>
      <c r="I1747" s="435"/>
    </row>
    <row r="1748" spans="1:9" ht="12.75">
      <c r="A1748" s="669"/>
      <c r="B1748" s="670"/>
      <c r="C1748" s="216"/>
      <c r="D1748" s="216"/>
      <c r="E1748" s="216"/>
      <c r="F1748" s="216"/>
      <c r="G1748" s="435"/>
      <c r="H1748" s="216"/>
      <c r="I1748" s="435"/>
    </row>
    <row r="1749" spans="1:9" ht="12.75">
      <c r="A1749" s="669"/>
      <c r="B1749" s="670"/>
      <c r="C1749" s="216"/>
      <c r="D1749" s="216"/>
      <c r="E1749" s="216"/>
      <c r="F1749" s="216"/>
      <c r="G1749" s="435"/>
      <c r="H1749" s="216"/>
      <c r="I1749" s="435"/>
    </row>
    <row r="1750" spans="1:9" ht="12.75">
      <c r="A1750" s="669"/>
      <c r="B1750" s="670"/>
      <c r="C1750" s="216"/>
      <c r="D1750" s="216"/>
      <c r="E1750" s="216"/>
      <c r="F1750" s="216"/>
      <c r="G1750" s="435"/>
      <c r="H1750" s="216"/>
      <c r="I1750" s="435"/>
    </row>
    <row r="1751" spans="1:9" ht="12.75">
      <c r="A1751" s="669"/>
      <c r="B1751" s="670"/>
      <c r="C1751" s="216"/>
      <c r="D1751" s="216"/>
      <c r="E1751" s="216"/>
      <c r="F1751" s="216"/>
      <c r="G1751" s="435"/>
      <c r="H1751" s="216"/>
      <c r="I1751" s="435"/>
    </row>
    <row r="1752" spans="1:9" ht="12.75">
      <c r="A1752" s="669"/>
      <c r="B1752" s="670"/>
      <c r="C1752" s="216"/>
      <c r="D1752" s="216"/>
      <c r="E1752" s="216"/>
      <c r="F1752" s="216"/>
      <c r="G1752" s="435"/>
      <c r="H1752" s="216"/>
      <c r="I1752" s="435"/>
    </row>
    <row r="1753" spans="1:9" ht="12.75">
      <c r="A1753" s="669"/>
      <c r="B1753" s="670"/>
      <c r="C1753" s="216"/>
      <c r="D1753" s="216"/>
      <c r="E1753" s="216"/>
      <c r="F1753" s="216"/>
      <c r="G1753" s="435"/>
      <c r="H1753" s="216"/>
      <c r="I1753" s="435"/>
    </row>
    <row r="1754" spans="1:9" ht="12.75">
      <c r="A1754" s="669"/>
      <c r="B1754" s="670"/>
      <c r="C1754" s="216"/>
      <c r="D1754" s="216"/>
      <c r="E1754" s="216"/>
      <c r="F1754" s="216"/>
      <c r="G1754" s="435"/>
      <c r="H1754" s="216"/>
      <c r="I1754" s="435"/>
    </row>
    <row r="1755" spans="1:9" ht="12.75">
      <c r="A1755" s="669"/>
      <c r="B1755" s="670"/>
      <c r="C1755" s="216"/>
      <c r="D1755" s="216"/>
      <c r="E1755" s="216"/>
      <c r="F1755" s="216"/>
      <c r="G1755" s="435"/>
      <c r="H1755" s="216"/>
      <c r="I1755" s="435"/>
    </row>
    <row r="1756" spans="1:9" ht="12.75">
      <c r="A1756" s="669"/>
      <c r="B1756" s="670"/>
      <c r="C1756" s="216"/>
      <c r="D1756" s="216"/>
      <c r="E1756" s="216"/>
      <c r="F1756" s="216"/>
      <c r="G1756" s="435"/>
      <c r="H1756" s="216"/>
      <c r="I1756" s="435"/>
    </row>
    <row r="1757" spans="1:9" ht="12.75">
      <c r="A1757" s="669"/>
      <c r="B1757" s="670"/>
      <c r="C1757" s="216"/>
      <c r="D1757" s="216"/>
      <c r="E1757" s="216"/>
      <c r="F1757" s="216"/>
      <c r="G1757" s="435"/>
      <c r="H1757" s="216"/>
      <c r="I1757" s="435"/>
    </row>
    <row r="1758" spans="1:9" ht="12.75">
      <c r="A1758" s="669"/>
      <c r="B1758" s="670"/>
      <c r="C1758" s="216"/>
      <c r="D1758" s="216"/>
      <c r="E1758" s="216"/>
      <c r="F1758" s="216"/>
      <c r="G1758" s="435"/>
      <c r="H1758" s="216"/>
      <c r="I1758" s="435"/>
    </row>
    <row r="1759" spans="1:9" ht="12.75">
      <c r="A1759" s="669"/>
      <c r="B1759" s="670"/>
      <c r="C1759" s="216"/>
      <c r="D1759" s="216"/>
      <c r="E1759" s="216"/>
      <c r="F1759" s="216"/>
      <c r="G1759" s="435"/>
      <c r="H1759" s="216"/>
      <c r="I1759" s="435"/>
    </row>
    <row r="1760" spans="1:9" ht="12.75">
      <c r="A1760" s="669"/>
      <c r="B1760" s="670"/>
      <c r="C1760" s="216"/>
      <c r="D1760" s="216"/>
      <c r="E1760" s="216"/>
      <c r="F1760" s="216"/>
      <c r="G1760" s="435"/>
      <c r="H1760" s="216"/>
      <c r="I1760" s="435"/>
    </row>
    <row r="1761" spans="1:9" ht="12.75">
      <c r="A1761" s="669"/>
      <c r="B1761" s="670"/>
      <c r="C1761" s="216"/>
      <c r="D1761" s="216"/>
      <c r="E1761" s="216"/>
      <c r="F1761" s="216"/>
      <c r="G1761" s="435"/>
      <c r="H1761" s="216"/>
      <c r="I1761" s="435"/>
    </row>
    <row r="1762" spans="1:9" ht="12.75">
      <c r="A1762" s="669"/>
      <c r="B1762" s="670"/>
      <c r="C1762" s="216"/>
      <c r="D1762" s="216"/>
      <c r="E1762" s="216"/>
      <c r="F1762" s="216"/>
      <c r="G1762" s="435"/>
      <c r="H1762" s="216"/>
      <c r="I1762" s="435"/>
    </row>
    <row r="1763" spans="1:9" ht="12.75">
      <c r="A1763" s="669"/>
      <c r="B1763" s="670"/>
      <c r="C1763" s="216"/>
      <c r="D1763" s="216"/>
      <c r="E1763" s="216"/>
      <c r="F1763" s="216"/>
      <c r="G1763" s="435"/>
      <c r="H1763" s="216"/>
      <c r="I1763" s="435"/>
    </row>
    <row r="1764" spans="1:9" ht="12.75">
      <c r="A1764" s="669"/>
      <c r="B1764" s="670"/>
      <c r="C1764" s="216"/>
      <c r="D1764" s="216"/>
      <c r="E1764" s="216"/>
      <c r="F1764" s="216"/>
      <c r="G1764" s="435"/>
      <c r="H1764" s="216"/>
      <c r="I1764" s="435"/>
    </row>
    <row r="1765" spans="1:9" ht="12.75">
      <c r="A1765" s="669"/>
      <c r="B1765" s="670"/>
      <c r="C1765" s="216"/>
      <c r="D1765" s="216"/>
      <c r="E1765" s="216"/>
      <c r="F1765" s="216"/>
      <c r="G1765" s="435"/>
      <c r="H1765" s="216"/>
      <c r="I1765" s="435"/>
    </row>
    <row r="1766" spans="1:9" ht="12.75">
      <c r="A1766" s="669"/>
      <c r="B1766" s="670"/>
      <c r="C1766" s="216"/>
      <c r="D1766" s="216"/>
      <c r="E1766" s="216"/>
      <c r="F1766" s="216"/>
      <c r="G1766" s="435"/>
      <c r="H1766" s="216"/>
      <c r="I1766" s="435"/>
    </row>
    <row r="1767" spans="1:9" ht="12.75">
      <c r="A1767" s="669"/>
      <c r="B1767" s="670"/>
      <c r="C1767" s="216"/>
      <c r="D1767" s="216"/>
      <c r="E1767" s="216"/>
      <c r="F1767" s="216"/>
      <c r="G1767" s="435"/>
      <c r="H1767" s="216"/>
      <c r="I1767" s="435"/>
    </row>
    <row r="1768" spans="1:9" ht="12.75">
      <c r="A1768" s="669"/>
      <c r="B1768" s="670"/>
      <c r="C1768" s="216"/>
      <c r="D1768" s="216"/>
      <c r="E1768" s="216"/>
      <c r="F1768" s="216"/>
      <c r="G1768" s="435"/>
      <c r="H1768" s="216"/>
      <c r="I1768" s="435"/>
    </row>
    <row r="1769" spans="1:9" ht="12.75">
      <c r="A1769" s="669"/>
      <c r="B1769" s="670"/>
      <c r="C1769" s="216"/>
      <c r="D1769" s="216"/>
      <c r="E1769" s="216"/>
      <c r="F1769" s="216"/>
      <c r="G1769" s="435"/>
      <c r="H1769" s="216"/>
      <c r="I1769" s="435"/>
    </row>
    <row r="1770" spans="1:9" ht="12.75">
      <c r="A1770" s="669"/>
      <c r="B1770" s="670"/>
      <c r="C1770" s="216"/>
      <c r="D1770" s="216"/>
      <c r="E1770" s="216"/>
      <c r="F1770" s="216"/>
      <c r="G1770" s="435"/>
      <c r="H1770" s="216"/>
      <c r="I1770" s="435"/>
    </row>
    <row r="1771" spans="1:9" ht="12.75">
      <c r="A1771" s="669"/>
      <c r="B1771" s="670"/>
      <c r="C1771" s="216"/>
      <c r="D1771" s="216"/>
      <c r="E1771" s="216"/>
      <c r="F1771" s="216"/>
      <c r="G1771" s="435"/>
      <c r="H1771" s="216"/>
      <c r="I1771" s="435"/>
    </row>
    <row r="1772" spans="1:9" ht="12.75">
      <c r="A1772" s="669"/>
      <c r="B1772" s="670"/>
      <c r="C1772" s="216"/>
      <c r="D1772" s="216"/>
      <c r="E1772" s="216"/>
      <c r="F1772" s="216"/>
      <c r="G1772" s="435"/>
      <c r="H1772" s="216"/>
      <c r="I1772" s="435"/>
    </row>
    <row r="1773" spans="1:9" ht="12.75">
      <c r="A1773" s="669"/>
      <c r="B1773" s="670"/>
      <c r="C1773" s="216"/>
      <c r="D1773" s="216"/>
      <c r="E1773" s="216"/>
      <c r="F1773" s="216"/>
      <c r="G1773" s="435"/>
      <c r="H1773" s="216"/>
      <c r="I1773" s="435"/>
    </row>
    <row r="1774" spans="1:9" ht="12.75">
      <c r="A1774" s="669"/>
      <c r="B1774" s="670"/>
      <c r="C1774" s="216"/>
      <c r="D1774" s="216"/>
      <c r="E1774" s="216"/>
      <c r="F1774" s="216"/>
      <c r="G1774" s="435"/>
      <c r="H1774" s="216"/>
      <c r="I1774" s="435"/>
    </row>
    <row r="1775" spans="1:9" ht="12.75">
      <c r="A1775" s="669"/>
      <c r="B1775" s="670"/>
      <c r="C1775" s="216"/>
      <c r="D1775" s="216"/>
      <c r="E1775" s="216"/>
      <c r="F1775" s="216"/>
      <c r="G1775" s="435"/>
      <c r="H1775" s="216"/>
      <c r="I1775" s="435"/>
    </row>
    <row r="1776" spans="1:9" ht="12.75">
      <c r="A1776" s="669"/>
      <c r="B1776" s="670"/>
      <c r="C1776" s="216"/>
      <c r="D1776" s="216"/>
      <c r="E1776" s="216"/>
      <c r="F1776" s="216"/>
      <c r="G1776" s="435"/>
      <c r="H1776" s="216"/>
      <c r="I1776" s="435"/>
    </row>
    <row r="1777" spans="1:9" ht="12.75">
      <c r="A1777" s="669"/>
      <c r="B1777" s="670"/>
      <c r="C1777" s="216"/>
      <c r="D1777" s="216"/>
      <c r="E1777" s="216"/>
      <c r="F1777" s="216"/>
      <c r="G1777" s="435"/>
      <c r="H1777" s="216"/>
      <c r="I1777" s="435"/>
    </row>
    <row r="1778" spans="1:9" ht="12.75">
      <c r="A1778" s="669"/>
      <c r="B1778" s="670"/>
      <c r="C1778" s="216"/>
      <c r="D1778" s="216"/>
      <c r="E1778" s="216"/>
      <c r="F1778" s="216"/>
      <c r="G1778" s="435"/>
      <c r="H1778" s="216"/>
      <c r="I1778" s="435"/>
    </row>
    <row r="1779" spans="1:9" ht="12.75">
      <c r="A1779" s="669"/>
      <c r="B1779" s="670"/>
      <c r="C1779" s="216"/>
      <c r="D1779" s="216"/>
      <c r="E1779" s="216"/>
      <c r="F1779" s="216"/>
      <c r="G1779" s="435"/>
      <c r="H1779" s="216"/>
      <c r="I1779" s="435"/>
    </row>
    <row r="1780" spans="1:9" ht="12.75">
      <c r="A1780" s="669"/>
      <c r="B1780" s="670"/>
      <c r="C1780" s="216"/>
      <c r="D1780" s="216"/>
      <c r="E1780" s="216"/>
      <c r="F1780" s="216"/>
      <c r="G1780" s="435"/>
      <c r="H1780" s="216"/>
      <c r="I1780" s="435"/>
    </row>
    <row r="1781" spans="1:9" ht="12.75">
      <c r="A1781" s="669"/>
      <c r="B1781" s="670"/>
      <c r="C1781" s="216"/>
      <c r="D1781" s="216"/>
      <c r="E1781" s="216"/>
      <c r="F1781" s="216"/>
      <c r="G1781" s="435"/>
      <c r="H1781" s="216"/>
      <c r="I1781" s="435"/>
    </row>
    <row r="1782" spans="1:9" ht="12.75">
      <c r="A1782" s="669"/>
      <c r="B1782" s="670"/>
      <c r="C1782" s="216"/>
      <c r="D1782" s="216"/>
      <c r="E1782" s="216"/>
      <c r="F1782" s="216"/>
      <c r="G1782" s="435"/>
      <c r="H1782" s="216"/>
      <c r="I1782" s="435"/>
    </row>
    <row r="1783" spans="1:9" ht="12.75">
      <c r="A1783" s="669"/>
      <c r="B1783" s="670"/>
      <c r="C1783" s="216"/>
      <c r="D1783" s="216"/>
      <c r="E1783" s="216"/>
      <c r="F1783" s="216"/>
      <c r="G1783" s="435"/>
      <c r="H1783" s="216"/>
      <c r="I1783" s="435"/>
    </row>
    <row r="1784" spans="1:9" ht="12.75">
      <c r="A1784" s="669"/>
      <c r="B1784" s="670"/>
      <c r="C1784" s="216"/>
      <c r="D1784" s="216"/>
      <c r="E1784" s="216"/>
      <c r="F1784" s="216"/>
      <c r="G1784" s="435"/>
      <c r="H1784" s="216"/>
      <c r="I1784" s="435"/>
    </row>
    <row r="1785" spans="1:9" ht="12.75">
      <c r="A1785" s="669"/>
      <c r="B1785" s="670"/>
      <c r="C1785" s="216"/>
      <c r="D1785" s="216"/>
      <c r="E1785" s="216"/>
      <c r="F1785" s="216"/>
      <c r="G1785" s="435"/>
      <c r="H1785" s="216"/>
      <c r="I1785" s="435"/>
    </row>
    <row r="1786" spans="1:9" ht="12.75">
      <c r="A1786" s="669"/>
      <c r="B1786" s="670"/>
      <c r="C1786" s="216"/>
      <c r="D1786" s="216"/>
      <c r="E1786" s="216"/>
      <c r="F1786" s="216"/>
      <c r="G1786" s="435"/>
      <c r="H1786" s="216"/>
      <c r="I1786" s="435"/>
    </row>
    <row r="1787" spans="1:9" ht="12.75">
      <c r="A1787" s="669"/>
      <c r="B1787" s="670"/>
      <c r="C1787" s="216"/>
      <c r="D1787" s="216"/>
      <c r="E1787" s="216"/>
      <c r="F1787" s="216"/>
      <c r="G1787" s="435"/>
      <c r="H1787" s="216"/>
      <c r="I1787" s="435"/>
    </row>
    <row r="1788" spans="1:9" ht="12.75">
      <c r="A1788" s="669"/>
      <c r="B1788" s="670"/>
      <c r="C1788" s="216"/>
      <c r="D1788" s="216"/>
      <c r="E1788" s="216"/>
      <c r="F1788" s="216"/>
      <c r="G1788" s="435"/>
      <c r="H1788" s="216"/>
      <c r="I1788" s="435"/>
    </row>
    <row r="1789" spans="1:9" ht="12.75">
      <c r="A1789" s="669"/>
      <c r="B1789" s="670"/>
      <c r="C1789" s="216"/>
      <c r="D1789" s="216"/>
      <c r="E1789" s="216"/>
      <c r="F1789" s="216"/>
      <c r="G1789" s="435"/>
      <c r="H1789" s="216"/>
      <c r="I1789" s="435"/>
    </row>
    <row r="1790" spans="1:9" ht="12.75">
      <c r="A1790" s="669"/>
      <c r="B1790" s="670"/>
      <c r="C1790" s="216"/>
      <c r="D1790" s="216"/>
      <c r="E1790" s="216"/>
      <c r="F1790" s="216"/>
      <c r="G1790" s="435"/>
      <c r="H1790" s="216"/>
      <c r="I1790" s="435"/>
    </row>
    <row r="1791" spans="1:9" ht="12.75">
      <c r="A1791" s="669"/>
      <c r="B1791" s="670"/>
      <c r="C1791" s="216"/>
      <c r="D1791" s="216"/>
      <c r="E1791" s="216"/>
      <c r="F1791" s="216"/>
      <c r="G1791" s="435"/>
      <c r="H1791" s="216"/>
      <c r="I1791" s="435"/>
    </row>
    <row r="1792" spans="1:9" ht="12.75">
      <c r="A1792" s="669"/>
      <c r="B1792" s="670"/>
      <c r="C1792" s="216"/>
      <c r="D1792" s="216"/>
      <c r="E1792" s="216"/>
      <c r="F1792" s="216"/>
      <c r="G1792" s="435"/>
      <c r="H1792" s="216"/>
      <c r="I1792" s="435"/>
    </row>
    <row r="1793" spans="1:9" ht="12.75">
      <c r="A1793" s="669"/>
      <c r="B1793" s="670"/>
      <c r="C1793" s="216"/>
      <c r="D1793" s="216"/>
      <c r="E1793" s="216"/>
      <c r="F1793" s="216"/>
      <c r="G1793" s="435"/>
      <c r="H1793" s="216"/>
      <c r="I1793" s="435"/>
    </row>
    <row r="1794" spans="1:9" ht="12.75">
      <c r="A1794" s="669"/>
      <c r="B1794" s="670"/>
      <c r="C1794" s="216"/>
      <c r="D1794" s="216"/>
      <c r="E1794" s="216"/>
      <c r="F1794" s="216"/>
      <c r="G1794" s="435"/>
      <c r="H1794" s="216"/>
      <c r="I1794" s="435"/>
    </row>
    <row r="1795" spans="1:9" ht="12.75">
      <c r="A1795" s="669"/>
      <c r="B1795" s="670"/>
      <c r="C1795" s="216"/>
      <c r="D1795" s="216"/>
      <c r="E1795" s="216"/>
      <c r="F1795" s="216"/>
      <c r="G1795" s="435"/>
      <c r="H1795" s="216"/>
      <c r="I1795" s="435"/>
    </row>
    <row r="1796" spans="1:9" ht="12.75">
      <c r="A1796" s="669"/>
      <c r="B1796" s="670"/>
      <c r="C1796" s="216"/>
      <c r="D1796" s="216"/>
      <c r="E1796" s="216"/>
      <c r="F1796" s="216"/>
      <c r="G1796" s="435"/>
      <c r="H1796" s="216"/>
      <c r="I1796" s="435"/>
    </row>
    <row r="1797" spans="1:9" ht="12.75">
      <c r="A1797" s="669"/>
      <c r="B1797" s="670"/>
      <c r="C1797" s="216"/>
      <c r="D1797" s="216"/>
      <c r="E1797" s="216"/>
      <c r="F1797" s="216"/>
      <c r="G1797" s="435"/>
      <c r="H1797" s="216"/>
      <c r="I1797" s="435"/>
    </row>
    <row r="1798" spans="1:9" ht="12.75">
      <c r="A1798" s="669"/>
      <c r="B1798" s="670"/>
      <c r="C1798" s="216"/>
      <c r="D1798" s="216"/>
      <c r="E1798" s="216"/>
      <c r="F1798" s="216"/>
      <c r="G1798" s="435"/>
      <c r="H1798" s="216"/>
      <c r="I1798" s="435"/>
    </row>
    <row r="1799" spans="1:9" ht="12.75">
      <c r="A1799" s="669"/>
      <c r="B1799" s="670"/>
      <c r="C1799" s="216"/>
      <c r="D1799" s="216"/>
      <c r="E1799" s="216"/>
      <c r="F1799" s="216"/>
      <c r="G1799" s="435"/>
      <c r="H1799" s="216"/>
      <c r="I1799" s="435"/>
    </row>
    <row r="1800" spans="1:9" ht="12.75">
      <c r="A1800" s="669"/>
      <c r="B1800" s="670"/>
      <c r="C1800" s="216"/>
      <c r="D1800" s="216"/>
      <c r="E1800" s="216"/>
      <c r="F1800" s="216"/>
      <c r="G1800" s="435"/>
      <c r="H1800" s="216"/>
      <c r="I1800" s="435"/>
    </row>
    <row r="1801" spans="1:9" ht="12.75">
      <c r="A1801" s="669"/>
      <c r="B1801" s="670"/>
      <c r="C1801" s="216"/>
      <c r="D1801" s="216"/>
      <c r="E1801" s="216"/>
      <c r="F1801" s="216"/>
      <c r="G1801" s="435"/>
      <c r="H1801" s="216"/>
      <c r="I1801" s="435"/>
    </row>
    <row r="1802" spans="1:9" ht="12.75">
      <c r="A1802" s="669"/>
      <c r="B1802" s="670"/>
      <c r="C1802" s="216"/>
      <c r="D1802" s="216"/>
      <c r="E1802" s="216"/>
      <c r="F1802" s="216"/>
      <c r="G1802" s="435"/>
      <c r="H1802" s="216"/>
      <c r="I1802" s="435"/>
    </row>
    <row r="1803" spans="1:9" ht="12.75">
      <c r="A1803" s="669"/>
      <c r="B1803" s="670"/>
      <c r="C1803" s="216"/>
      <c r="D1803" s="216"/>
      <c r="E1803" s="216"/>
      <c r="F1803" s="216"/>
      <c r="G1803" s="435"/>
      <c r="H1803" s="216"/>
      <c r="I1803" s="435"/>
    </row>
    <row r="1804" spans="1:9" ht="12.75">
      <c r="A1804" s="669"/>
      <c r="B1804" s="670"/>
      <c r="C1804" s="216"/>
      <c r="D1804" s="216"/>
      <c r="E1804" s="216"/>
      <c r="F1804" s="216"/>
      <c r="G1804" s="435"/>
      <c r="H1804" s="216"/>
      <c r="I1804" s="435"/>
    </row>
    <row r="1805" spans="1:9" ht="12.75">
      <c r="A1805" s="669"/>
      <c r="B1805" s="670"/>
      <c r="C1805" s="216"/>
      <c r="D1805" s="216"/>
      <c r="E1805" s="216"/>
      <c r="F1805" s="216"/>
      <c r="G1805" s="435"/>
      <c r="H1805" s="216"/>
      <c r="I1805" s="435"/>
    </row>
    <row r="1806" spans="1:9" ht="12.75">
      <c r="A1806" s="669"/>
      <c r="B1806" s="670"/>
      <c r="C1806" s="216"/>
      <c r="D1806" s="216"/>
      <c r="E1806" s="216"/>
      <c r="F1806" s="216"/>
      <c r="G1806" s="435"/>
      <c r="H1806" s="216"/>
      <c r="I1806" s="435"/>
    </row>
    <row r="1807" spans="1:9" ht="12.75">
      <c r="A1807" s="669"/>
      <c r="B1807" s="670"/>
      <c r="C1807" s="216"/>
      <c r="D1807" s="216"/>
      <c r="E1807" s="216"/>
      <c r="F1807" s="216"/>
      <c r="G1807" s="435"/>
      <c r="H1807" s="216"/>
      <c r="I1807" s="435"/>
    </row>
    <row r="1808" spans="1:9" ht="12.75">
      <c r="A1808" s="669"/>
      <c r="B1808" s="670"/>
      <c r="C1808" s="216"/>
      <c r="D1808" s="216"/>
      <c r="E1808" s="216"/>
      <c r="F1808" s="216"/>
      <c r="G1808" s="435"/>
      <c r="H1808" s="216"/>
      <c r="I1808" s="435"/>
    </row>
    <row r="1809" spans="1:9" ht="12.75">
      <c r="A1809" s="669"/>
      <c r="B1809" s="670"/>
      <c r="C1809" s="216"/>
      <c r="D1809" s="216"/>
      <c r="E1809" s="216"/>
      <c r="F1809" s="216"/>
      <c r="G1809" s="435"/>
      <c r="H1809" s="216"/>
      <c r="I1809" s="435"/>
    </row>
    <row r="1810" spans="1:9" ht="12.75">
      <c r="A1810" s="669"/>
      <c r="B1810" s="670"/>
      <c r="C1810" s="216"/>
      <c r="D1810" s="216"/>
      <c r="E1810" s="216"/>
      <c r="F1810" s="216"/>
      <c r="G1810" s="435"/>
      <c r="H1810" s="216"/>
      <c r="I1810" s="435"/>
    </row>
    <row r="1811" spans="1:9" ht="12.75">
      <c r="A1811" s="669"/>
      <c r="B1811" s="670"/>
      <c r="C1811" s="216"/>
      <c r="D1811" s="216"/>
      <c r="E1811" s="216"/>
      <c r="F1811" s="216"/>
      <c r="G1811" s="435"/>
      <c r="H1811" s="216"/>
      <c r="I1811" s="435"/>
    </row>
    <row r="1812" spans="1:9" ht="12.75">
      <c r="A1812" s="669"/>
      <c r="B1812" s="670"/>
      <c r="C1812" s="216"/>
      <c r="D1812" s="216"/>
      <c r="E1812" s="216"/>
      <c r="F1812" s="216"/>
      <c r="G1812" s="435"/>
      <c r="H1812" s="216"/>
      <c r="I1812" s="435"/>
    </row>
    <row r="1813" spans="1:9" ht="12.75">
      <c r="A1813" s="669"/>
      <c r="B1813" s="670"/>
      <c r="C1813" s="216"/>
      <c r="D1813" s="216"/>
      <c r="E1813" s="216"/>
      <c r="F1813" s="216"/>
      <c r="G1813" s="435"/>
      <c r="H1813" s="216"/>
      <c r="I1813" s="435"/>
    </row>
    <row r="1814" spans="1:9" ht="12.75">
      <c r="A1814" s="669"/>
      <c r="B1814" s="670"/>
      <c r="C1814" s="216"/>
      <c r="D1814" s="216"/>
      <c r="E1814" s="216"/>
      <c r="F1814" s="216"/>
      <c r="G1814" s="435"/>
      <c r="H1814" s="216"/>
      <c r="I1814" s="435"/>
    </row>
    <row r="1815" spans="1:9" ht="12.75">
      <c r="A1815" s="669"/>
      <c r="B1815" s="670"/>
      <c r="C1815" s="216"/>
      <c r="D1815" s="216"/>
      <c r="E1815" s="216"/>
      <c r="F1815" s="216"/>
      <c r="G1815" s="435"/>
      <c r="H1815" s="216"/>
      <c r="I1815" s="435"/>
    </row>
    <row r="1816" spans="1:9" ht="12.75">
      <c r="A1816" s="669"/>
      <c r="B1816" s="670"/>
      <c r="C1816" s="216"/>
      <c r="D1816" s="216"/>
      <c r="E1816" s="216"/>
      <c r="F1816" s="216"/>
      <c r="G1816" s="435"/>
      <c r="H1816" s="216"/>
      <c r="I1816" s="435"/>
    </row>
    <row r="1817" spans="1:9" ht="12.75">
      <c r="A1817" s="669"/>
      <c r="B1817" s="670"/>
      <c r="C1817" s="216"/>
      <c r="D1817" s="216"/>
      <c r="E1817" s="216"/>
      <c r="F1817" s="216"/>
      <c r="G1817" s="435"/>
      <c r="H1817" s="216"/>
      <c r="I1817" s="435"/>
    </row>
    <row r="1818" spans="1:9" ht="12.75">
      <c r="A1818" s="669"/>
      <c r="B1818" s="670"/>
      <c r="C1818" s="216"/>
      <c r="D1818" s="216"/>
      <c r="E1818" s="216"/>
      <c r="F1818" s="216"/>
      <c r="G1818" s="435"/>
      <c r="H1818" s="216"/>
      <c r="I1818" s="435"/>
    </row>
    <row r="1819" spans="1:9" ht="12.75">
      <c r="A1819" s="669"/>
      <c r="B1819" s="670"/>
      <c r="C1819" s="216"/>
      <c r="D1819" s="216"/>
      <c r="E1819" s="216"/>
      <c r="F1819" s="216"/>
      <c r="G1819" s="435"/>
      <c r="H1819" s="216"/>
      <c r="I1819" s="435"/>
    </row>
    <row r="1820" spans="1:9" ht="12.75">
      <c r="A1820" s="669"/>
      <c r="B1820" s="670"/>
      <c r="C1820" s="216"/>
      <c r="D1820" s="216"/>
      <c r="E1820" s="216"/>
      <c r="F1820" s="216"/>
      <c r="G1820" s="435"/>
      <c r="H1820" s="216"/>
      <c r="I1820" s="435"/>
    </row>
    <row r="1821" spans="1:9" ht="12.75">
      <c r="A1821" s="669"/>
      <c r="B1821" s="670"/>
      <c r="C1821" s="216"/>
      <c r="D1821" s="216"/>
      <c r="E1821" s="216"/>
      <c r="F1821" s="216"/>
      <c r="G1821" s="435"/>
      <c r="H1821" s="216"/>
      <c r="I1821" s="435"/>
    </row>
    <row r="1822" spans="1:9" ht="12.75">
      <c r="A1822" s="669"/>
      <c r="B1822" s="670"/>
      <c r="C1822" s="216"/>
      <c r="D1822" s="216"/>
      <c r="E1822" s="216"/>
      <c r="F1822" s="216"/>
      <c r="G1822" s="435"/>
      <c r="H1822" s="216"/>
      <c r="I1822" s="435"/>
    </row>
    <row r="1823" spans="1:9" ht="12.75">
      <c r="A1823" s="669"/>
      <c r="B1823" s="670"/>
      <c r="C1823" s="216"/>
      <c r="D1823" s="216"/>
      <c r="E1823" s="216"/>
      <c r="F1823" s="216"/>
      <c r="G1823" s="435"/>
      <c r="H1823" s="216"/>
      <c r="I1823" s="435"/>
    </row>
    <row r="1824" spans="1:9" ht="12.75">
      <c r="A1824" s="669"/>
      <c r="B1824" s="670"/>
      <c r="C1824" s="216"/>
      <c r="D1824" s="216"/>
      <c r="E1824" s="216"/>
      <c r="F1824" s="216"/>
      <c r="G1824" s="435"/>
      <c r="H1824" s="216"/>
      <c r="I1824" s="435"/>
    </row>
    <row r="1825" spans="1:9" ht="12.75">
      <c r="A1825" s="669"/>
      <c r="B1825" s="670"/>
      <c r="C1825" s="216"/>
      <c r="D1825" s="216"/>
      <c r="E1825" s="216"/>
      <c r="F1825" s="216"/>
      <c r="G1825" s="435"/>
      <c r="H1825" s="216"/>
      <c r="I1825" s="435"/>
    </row>
    <row r="1826" spans="1:9" ht="12.75">
      <c r="A1826" s="669"/>
      <c r="B1826" s="670"/>
      <c r="C1826" s="216"/>
      <c r="D1826" s="216"/>
      <c r="E1826" s="216"/>
      <c r="F1826" s="216"/>
      <c r="G1826" s="435"/>
      <c r="H1826" s="216"/>
      <c r="I1826" s="435"/>
    </row>
    <row r="1827" spans="1:9" ht="12.75">
      <c r="A1827" s="669"/>
      <c r="B1827" s="670"/>
      <c r="C1827" s="216"/>
      <c r="D1827" s="216"/>
      <c r="E1827" s="216"/>
      <c r="F1827" s="216"/>
      <c r="G1827" s="435"/>
      <c r="H1827" s="216"/>
      <c r="I1827" s="435"/>
    </row>
    <row r="1828" spans="1:9" ht="12.75">
      <c r="A1828" s="669"/>
      <c r="B1828" s="670"/>
      <c r="C1828" s="216"/>
      <c r="D1828" s="216"/>
      <c r="E1828" s="216"/>
      <c r="F1828" s="216"/>
      <c r="G1828" s="435"/>
      <c r="H1828" s="216"/>
      <c r="I1828" s="435"/>
    </row>
    <row r="1829" spans="1:9" ht="12.75">
      <c r="A1829" s="669"/>
      <c r="B1829" s="670"/>
      <c r="C1829" s="216"/>
      <c r="D1829" s="216"/>
      <c r="E1829" s="216"/>
      <c r="F1829" s="216"/>
      <c r="G1829" s="435"/>
      <c r="H1829" s="216"/>
      <c r="I1829" s="435"/>
    </row>
    <row r="1830" spans="1:9" ht="12.75">
      <c r="A1830" s="669"/>
      <c r="B1830" s="670"/>
      <c r="C1830" s="216"/>
      <c r="D1830" s="216"/>
      <c r="E1830" s="216"/>
      <c r="F1830" s="216"/>
      <c r="G1830" s="435"/>
      <c r="H1830" s="216"/>
      <c r="I1830" s="435"/>
    </row>
    <row r="1831" spans="1:9" ht="12.75">
      <c r="A1831" s="669"/>
      <c r="B1831" s="670"/>
      <c r="C1831" s="216"/>
      <c r="D1831" s="216"/>
      <c r="E1831" s="216"/>
      <c r="F1831" s="216"/>
      <c r="G1831" s="435"/>
      <c r="H1831" s="216"/>
      <c r="I1831" s="435"/>
    </row>
    <row r="1832" spans="1:9" ht="12.75">
      <c r="A1832" s="669"/>
      <c r="B1832" s="670"/>
      <c r="C1832" s="216"/>
      <c r="D1832" s="216"/>
      <c r="E1832" s="216"/>
      <c r="F1832" s="216"/>
      <c r="G1832" s="435"/>
      <c r="H1832" s="216"/>
      <c r="I1832" s="435"/>
    </row>
    <row r="1833" spans="1:9" ht="12.75">
      <c r="A1833" s="669"/>
      <c r="B1833" s="670"/>
      <c r="C1833" s="216"/>
      <c r="D1833" s="216"/>
      <c r="E1833" s="216"/>
      <c r="F1833" s="216"/>
      <c r="G1833" s="435"/>
      <c r="H1833" s="216"/>
      <c r="I1833" s="435"/>
    </row>
    <row r="1834" spans="1:9" ht="12.75">
      <c r="A1834" s="669"/>
      <c r="B1834" s="670"/>
      <c r="C1834" s="216"/>
      <c r="D1834" s="216"/>
      <c r="E1834" s="216"/>
      <c r="F1834" s="216"/>
      <c r="G1834" s="435"/>
      <c r="H1834" s="216"/>
      <c r="I1834" s="435"/>
    </row>
    <row r="1835" spans="1:9" ht="12.75">
      <c r="A1835" s="669"/>
      <c r="B1835" s="670"/>
      <c r="C1835" s="216"/>
      <c r="D1835" s="216"/>
      <c r="E1835" s="216"/>
      <c r="F1835" s="216"/>
      <c r="G1835" s="435"/>
      <c r="H1835" s="216"/>
      <c r="I1835" s="435"/>
    </row>
    <row r="1836" spans="1:9" ht="12.75">
      <c r="A1836" s="669"/>
      <c r="B1836" s="670"/>
      <c r="C1836" s="216"/>
      <c r="D1836" s="216"/>
      <c r="E1836" s="216"/>
      <c r="F1836" s="216"/>
      <c r="G1836" s="435"/>
      <c r="H1836" s="216"/>
      <c r="I1836" s="435"/>
    </row>
    <row r="1837" spans="1:9" ht="12.75">
      <c r="A1837" s="669"/>
      <c r="B1837" s="670"/>
      <c r="C1837" s="216"/>
      <c r="D1837" s="216"/>
      <c r="E1837" s="216"/>
      <c r="F1837" s="216"/>
      <c r="G1837" s="435"/>
      <c r="H1837" s="216"/>
      <c r="I1837" s="435"/>
    </row>
    <row r="1838" spans="1:9" ht="12.75">
      <c r="A1838" s="669"/>
      <c r="B1838" s="670"/>
      <c r="C1838" s="216"/>
      <c r="D1838" s="216"/>
      <c r="E1838" s="216"/>
      <c r="F1838" s="216"/>
      <c r="G1838" s="435"/>
      <c r="H1838" s="216"/>
      <c r="I1838" s="435"/>
    </row>
    <row r="1839" spans="1:9" ht="12.75">
      <c r="A1839" s="669"/>
      <c r="B1839" s="670"/>
      <c r="C1839" s="216"/>
      <c r="D1839" s="216"/>
      <c r="E1839" s="216"/>
      <c r="F1839" s="216"/>
      <c r="G1839" s="435"/>
      <c r="H1839" s="216"/>
      <c r="I1839" s="435"/>
    </row>
    <row r="1840" spans="1:9" ht="12.75">
      <c r="A1840" s="669"/>
      <c r="B1840" s="670"/>
      <c r="C1840" s="216"/>
      <c r="D1840" s="216"/>
      <c r="E1840" s="216"/>
      <c r="F1840" s="216"/>
      <c r="G1840" s="435"/>
      <c r="H1840" s="216"/>
      <c r="I1840" s="435"/>
    </row>
    <row r="1841" spans="1:9" ht="12.75">
      <c r="A1841" s="669"/>
      <c r="B1841" s="670"/>
      <c r="C1841" s="216"/>
      <c r="D1841" s="216"/>
      <c r="E1841" s="216"/>
      <c r="F1841" s="216"/>
      <c r="G1841" s="435"/>
      <c r="H1841" s="216"/>
      <c r="I1841" s="435"/>
    </row>
    <row r="1842" spans="1:9" ht="12.75">
      <c r="A1842" s="669"/>
      <c r="B1842" s="670"/>
      <c r="C1842" s="216"/>
      <c r="D1842" s="216"/>
      <c r="E1842" s="216"/>
      <c r="F1842" s="216"/>
      <c r="G1842" s="435"/>
      <c r="H1842" s="216"/>
      <c r="I1842" s="435"/>
    </row>
    <row r="1843" spans="1:9" ht="12.75">
      <c r="A1843" s="669"/>
      <c r="B1843" s="670"/>
      <c r="C1843" s="216"/>
      <c r="D1843" s="216"/>
      <c r="E1843" s="216"/>
      <c r="F1843" s="216"/>
      <c r="G1843" s="435"/>
      <c r="H1843" s="216"/>
      <c r="I1843" s="435"/>
    </row>
    <row r="1844" spans="1:9" ht="12.75">
      <c r="A1844" s="669"/>
      <c r="B1844" s="670"/>
      <c r="C1844" s="216"/>
      <c r="D1844" s="216"/>
      <c r="E1844" s="216"/>
      <c r="F1844" s="216"/>
      <c r="G1844" s="435"/>
      <c r="H1844" s="216"/>
      <c r="I1844" s="435"/>
    </row>
    <row r="1845" spans="1:9" ht="12.75">
      <c r="A1845" s="669"/>
      <c r="B1845" s="670"/>
      <c r="C1845" s="216"/>
      <c r="D1845" s="216"/>
      <c r="E1845" s="216"/>
      <c r="F1845" s="216"/>
      <c r="G1845" s="435"/>
      <c r="H1845" s="216"/>
      <c r="I1845" s="435"/>
    </row>
    <row r="1846" spans="1:9" ht="12.75">
      <c r="A1846" s="669"/>
      <c r="B1846" s="670"/>
      <c r="C1846" s="216"/>
      <c r="D1846" s="216"/>
      <c r="E1846" s="216"/>
      <c r="F1846" s="216"/>
      <c r="G1846" s="435"/>
      <c r="H1846" s="216"/>
      <c r="I1846" s="435"/>
    </row>
    <row r="1847" spans="1:9" ht="12.75">
      <c r="A1847" s="669"/>
      <c r="B1847" s="670"/>
      <c r="C1847" s="216"/>
      <c r="D1847" s="216"/>
      <c r="E1847" s="216"/>
      <c r="F1847" s="216"/>
      <c r="G1847" s="435"/>
      <c r="H1847" s="216"/>
      <c r="I1847" s="435"/>
    </row>
    <row r="1848" spans="1:9" ht="12.75">
      <c r="A1848" s="669"/>
      <c r="B1848" s="670"/>
      <c r="C1848" s="216"/>
      <c r="D1848" s="216"/>
      <c r="E1848" s="216"/>
      <c r="F1848" s="216"/>
      <c r="G1848" s="435"/>
      <c r="H1848" s="216"/>
      <c r="I1848" s="435"/>
    </row>
    <row r="1849" spans="1:9" ht="12.75">
      <c r="A1849" s="669"/>
      <c r="B1849" s="670"/>
      <c r="C1849" s="216"/>
      <c r="D1849" s="216"/>
      <c r="E1849" s="216"/>
      <c r="F1849" s="216"/>
      <c r="G1849" s="435"/>
      <c r="H1849" s="216"/>
      <c r="I1849" s="435"/>
    </row>
    <row r="1850" spans="1:9" ht="12.75">
      <c r="A1850" s="669"/>
      <c r="B1850" s="670"/>
      <c r="C1850" s="216"/>
      <c r="D1850" s="216"/>
      <c r="E1850" s="216"/>
      <c r="F1850" s="216"/>
      <c r="G1850" s="435"/>
      <c r="H1850" s="216"/>
      <c r="I1850" s="435"/>
    </row>
    <row r="1851" spans="1:9" ht="12.75">
      <c r="A1851" s="669"/>
      <c r="B1851" s="670"/>
      <c r="C1851" s="216"/>
      <c r="D1851" s="216"/>
      <c r="E1851" s="216"/>
      <c r="F1851" s="216"/>
      <c r="G1851" s="435"/>
      <c r="H1851" s="216"/>
      <c r="I1851" s="435"/>
    </row>
    <row r="1852" spans="1:9" ht="12.75">
      <c r="A1852" s="669"/>
      <c r="B1852" s="670"/>
      <c r="C1852" s="216"/>
      <c r="D1852" s="216"/>
      <c r="E1852" s="216"/>
      <c r="F1852" s="216"/>
      <c r="G1852" s="435"/>
      <c r="H1852" s="216"/>
      <c r="I1852" s="435"/>
    </row>
    <row r="1853" spans="1:9" ht="12.75">
      <c r="A1853" s="669"/>
      <c r="B1853" s="670"/>
      <c r="C1853" s="216"/>
      <c r="D1853" s="216"/>
      <c r="E1853" s="216"/>
      <c r="F1853" s="216"/>
      <c r="G1853" s="435"/>
      <c r="H1853" s="216"/>
      <c r="I1853" s="435"/>
    </row>
    <row r="1854" spans="1:9" ht="12.75">
      <c r="A1854" s="669"/>
      <c r="B1854" s="670"/>
      <c r="C1854" s="216"/>
      <c r="D1854" s="216"/>
      <c r="E1854" s="216"/>
      <c r="F1854" s="216"/>
      <c r="G1854" s="435"/>
      <c r="H1854" s="216"/>
      <c r="I1854" s="435"/>
    </row>
    <row r="1855" spans="1:9" ht="12.75">
      <c r="A1855" s="669"/>
      <c r="B1855" s="670"/>
      <c r="C1855" s="216"/>
      <c r="D1855" s="216"/>
      <c r="E1855" s="216"/>
      <c r="F1855" s="216"/>
      <c r="G1855" s="435"/>
      <c r="H1855" s="216"/>
      <c r="I1855" s="435"/>
    </row>
    <row r="1856" spans="1:9" ht="12.75">
      <c r="A1856" s="669"/>
      <c r="B1856" s="670"/>
      <c r="C1856" s="216"/>
      <c r="D1856" s="216"/>
      <c r="E1856" s="216"/>
      <c r="F1856" s="216"/>
      <c r="G1856" s="435"/>
      <c r="H1856" s="216"/>
      <c r="I1856" s="435"/>
    </row>
    <row r="1857" spans="1:9" ht="12.75">
      <c r="A1857" s="669"/>
      <c r="B1857" s="670"/>
      <c r="C1857" s="216"/>
      <c r="D1857" s="216"/>
      <c r="E1857" s="216"/>
      <c r="F1857" s="216"/>
      <c r="G1857" s="435"/>
      <c r="H1857" s="216"/>
      <c r="I1857" s="435"/>
    </row>
    <row r="1858" spans="1:9" ht="12.75">
      <c r="A1858" s="669"/>
      <c r="B1858" s="670"/>
      <c r="C1858" s="216"/>
      <c r="D1858" s="216"/>
      <c r="E1858" s="216"/>
      <c r="F1858" s="216"/>
      <c r="G1858" s="435"/>
      <c r="H1858" s="216"/>
      <c r="I1858" s="435"/>
    </row>
    <row r="1859" spans="1:9" ht="12.75">
      <c r="A1859" s="669"/>
      <c r="B1859" s="670"/>
      <c r="C1859" s="216"/>
      <c r="D1859" s="216"/>
      <c r="E1859" s="216"/>
      <c r="F1859" s="216"/>
      <c r="G1859" s="435"/>
      <c r="H1859" s="216"/>
      <c r="I1859" s="435"/>
    </row>
    <row r="1860" spans="1:9" ht="12.75">
      <c r="A1860" s="669"/>
      <c r="B1860" s="670"/>
      <c r="C1860" s="216"/>
      <c r="D1860" s="216"/>
      <c r="E1860" s="216"/>
      <c r="F1860" s="216"/>
      <c r="G1860" s="435"/>
      <c r="H1860" s="216"/>
      <c r="I1860" s="435"/>
    </row>
    <row r="1861" spans="1:9" ht="12.75">
      <c r="A1861" s="669"/>
      <c r="B1861" s="670"/>
      <c r="C1861" s="216"/>
      <c r="D1861" s="216"/>
      <c r="E1861" s="216"/>
      <c r="F1861" s="216"/>
      <c r="G1861" s="435"/>
      <c r="H1861" s="216"/>
      <c r="I1861" s="435"/>
    </row>
    <row r="1862" spans="1:9" ht="12.75">
      <c r="A1862" s="669"/>
      <c r="B1862" s="670"/>
      <c r="C1862" s="216"/>
      <c r="D1862" s="216"/>
      <c r="E1862" s="216"/>
      <c r="F1862" s="216"/>
      <c r="G1862" s="435"/>
      <c r="H1862" s="216"/>
      <c r="I1862" s="435"/>
    </row>
    <row r="1863" spans="1:9" ht="12.75">
      <c r="A1863" s="669"/>
      <c r="B1863" s="670"/>
      <c r="C1863" s="216"/>
      <c r="D1863" s="216"/>
      <c r="E1863" s="216"/>
      <c r="F1863" s="216"/>
      <c r="G1863" s="435"/>
      <c r="H1863" s="216"/>
      <c r="I1863" s="435"/>
    </row>
    <row r="1864" spans="1:9" ht="12.75">
      <c r="A1864" s="669"/>
      <c r="B1864" s="670"/>
      <c r="C1864" s="216"/>
      <c r="D1864" s="216"/>
      <c r="E1864" s="216"/>
      <c r="F1864" s="216"/>
      <c r="G1864" s="435"/>
      <c r="H1864" s="216"/>
      <c r="I1864" s="435"/>
    </row>
    <row r="1865" spans="1:9" ht="12.75">
      <c r="A1865" s="669"/>
      <c r="B1865" s="670"/>
      <c r="C1865" s="216"/>
      <c r="D1865" s="216"/>
      <c r="E1865" s="216"/>
      <c r="F1865" s="216"/>
      <c r="G1865" s="435"/>
      <c r="H1865" s="216"/>
      <c r="I1865" s="435"/>
    </row>
    <row r="1866" spans="1:9" ht="12.75">
      <c r="A1866" s="669"/>
      <c r="B1866" s="670"/>
      <c r="C1866" s="216"/>
      <c r="D1866" s="216"/>
      <c r="E1866" s="216"/>
      <c r="F1866" s="216"/>
      <c r="G1866" s="435"/>
      <c r="H1866" s="216"/>
      <c r="I1866" s="435"/>
    </row>
    <row r="1867" spans="1:9" ht="12.75">
      <c r="A1867" s="669"/>
      <c r="B1867" s="670"/>
      <c r="C1867" s="216"/>
      <c r="D1867" s="216"/>
      <c r="E1867" s="216"/>
      <c r="F1867" s="216"/>
      <c r="G1867" s="435"/>
      <c r="H1867" s="216"/>
      <c r="I1867" s="435"/>
    </row>
    <row r="1868" spans="1:9" ht="12.75">
      <c r="A1868" s="669"/>
      <c r="B1868" s="670"/>
      <c r="C1868" s="216"/>
      <c r="D1868" s="216"/>
      <c r="E1868" s="216"/>
      <c r="F1868" s="216"/>
      <c r="G1868" s="435"/>
      <c r="H1868" s="216"/>
      <c r="I1868" s="435"/>
    </row>
    <row r="1869" spans="1:9" ht="12.75">
      <c r="A1869" s="669"/>
      <c r="B1869" s="670"/>
      <c r="C1869" s="216"/>
      <c r="D1869" s="216"/>
      <c r="E1869" s="216"/>
      <c r="F1869" s="216"/>
      <c r="G1869" s="435"/>
      <c r="H1869" s="216"/>
      <c r="I1869" s="435"/>
    </row>
    <row r="1870" spans="1:9" ht="12.75">
      <c r="A1870" s="669"/>
      <c r="B1870" s="670"/>
      <c r="C1870" s="216"/>
      <c r="D1870" s="216"/>
      <c r="E1870" s="216"/>
      <c r="F1870" s="216"/>
      <c r="G1870" s="435"/>
      <c r="H1870" s="216"/>
      <c r="I1870" s="435"/>
    </row>
    <row r="1871" spans="1:9" ht="12.75">
      <c r="A1871" s="669"/>
      <c r="B1871" s="670"/>
      <c r="C1871" s="216"/>
      <c r="D1871" s="216"/>
      <c r="E1871" s="216"/>
      <c r="F1871" s="216"/>
      <c r="G1871" s="435"/>
      <c r="H1871" s="216"/>
      <c r="I1871" s="435"/>
    </row>
    <row r="1872" spans="1:9" ht="12.75">
      <c r="A1872" s="669"/>
      <c r="B1872" s="670"/>
      <c r="C1872" s="216"/>
      <c r="D1872" s="216"/>
      <c r="E1872" s="216"/>
      <c r="F1872" s="216"/>
      <c r="G1872" s="435"/>
      <c r="H1872" s="216"/>
      <c r="I1872" s="435"/>
    </row>
    <row r="1873" spans="1:9" ht="12.75">
      <c r="A1873" s="669"/>
      <c r="B1873" s="670"/>
      <c r="C1873" s="216"/>
      <c r="D1873" s="216"/>
      <c r="E1873" s="216"/>
      <c r="F1873" s="216"/>
      <c r="G1873" s="435"/>
      <c r="H1873" s="216"/>
      <c r="I1873" s="435"/>
    </row>
    <row r="1874" spans="1:9" ht="12.75">
      <c r="A1874" s="669"/>
      <c r="B1874" s="670"/>
      <c r="C1874" s="216"/>
      <c r="D1874" s="216"/>
      <c r="E1874" s="216"/>
      <c r="F1874" s="216"/>
      <c r="G1874" s="435"/>
      <c r="H1874" s="216"/>
      <c r="I1874" s="435"/>
    </row>
    <row r="1875" spans="1:9" ht="12.75">
      <c r="A1875" s="669"/>
      <c r="B1875" s="670"/>
      <c r="C1875" s="216"/>
      <c r="D1875" s="216"/>
      <c r="E1875" s="216"/>
      <c r="F1875" s="216"/>
      <c r="G1875" s="435"/>
      <c r="H1875" s="216"/>
      <c r="I1875" s="435"/>
    </row>
    <row r="1876" spans="1:9" ht="12.75">
      <c r="A1876" s="669"/>
      <c r="B1876" s="670"/>
      <c r="C1876" s="216"/>
      <c r="D1876" s="216"/>
      <c r="E1876" s="216"/>
      <c r="F1876" s="216"/>
      <c r="G1876" s="435"/>
      <c r="H1876" s="216"/>
      <c r="I1876" s="435"/>
    </row>
    <row r="1877" spans="1:9" ht="12.75">
      <c r="A1877" s="669"/>
      <c r="B1877" s="670"/>
      <c r="C1877" s="216"/>
      <c r="D1877" s="216"/>
      <c r="E1877" s="216"/>
      <c r="F1877" s="216"/>
      <c r="G1877" s="435"/>
      <c r="H1877" s="216"/>
      <c r="I1877" s="435"/>
    </row>
    <row r="1878" spans="1:9" ht="12.75">
      <c r="A1878" s="669"/>
      <c r="B1878" s="670"/>
      <c r="C1878" s="216"/>
      <c r="D1878" s="216"/>
      <c r="E1878" s="216"/>
      <c r="F1878" s="216"/>
      <c r="G1878" s="435"/>
      <c r="H1878" s="216"/>
      <c r="I1878" s="435"/>
    </row>
    <row r="1879" spans="1:9" ht="12.75">
      <c r="A1879" s="669"/>
      <c r="B1879" s="670"/>
      <c r="C1879" s="216"/>
      <c r="D1879" s="216"/>
      <c r="E1879" s="216"/>
      <c r="F1879" s="216"/>
      <c r="G1879" s="435"/>
      <c r="H1879" s="216"/>
      <c r="I1879" s="435"/>
    </row>
    <row r="1880" spans="1:9" ht="12.75">
      <c r="A1880" s="669"/>
      <c r="B1880" s="670"/>
      <c r="C1880" s="216"/>
      <c r="D1880" s="216"/>
      <c r="E1880" s="216"/>
      <c r="F1880" s="216"/>
      <c r="G1880" s="435"/>
      <c r="H1880" s="216"/>
      <c r="I1880" s="435"/>
    </row>
    <row r="1881" spans="1:9" ht="12.75">
      <c r="A1881" s="669"/>
      <c r="B1881" s="670"/>
      <c r="C1881" s="216"/>
      <c r="D1881" s="216"/>
      <c r="E1881" s="216"/>
      <c r="F1881" s="216"/>
      <c r="G1881" s="435"/>
      <c r="H1881" s="216"/>
      <c r="I1881" s="435"/>
    </row>
    <row r="1882" spans="1:9" ht="12.75">
      <c r="A1882" s="669"/>
      <c r="B1882" s="670"/>
      <c r="C1882" s="216"/>
      <c r="D1882" s="216"/>
      <c r="E1882" s="216"/>
      <c r="F1882" s="216"/>
      <c r="G1882" s="435"/>
      <c r="H1882" s="216"/>
      <c r="I1882" s="435"/>
    </row>
    <row r="1883" spans="1:9" ht="12.75">
      <c r="A1883" s="669"/>
      <c r="B1883" s="670"/>
      <c r="C1883" s="216"/>
      <c r="D1883" s="216"/>
      <c r="E1883" s="216"/>
      <c r="F1883" s="216"/>
      <c r="G1883" s="435"/>
      <c r="H1883" s="216"/>
      <c r="I1883" s="435"/>
    </row>
    <row r="1884" spans="1:9" ht="12.75">
      <c r="A1884" s="669"/>
      <c r="B1884" s="670"/>
      <c r="C1884" s="216"/>
      <c r="D1884" s="216"/>
      <c r="E1884" s="216"/>
      <c r="F1884" s="216"/>
      <c r="G1884" s="435"/>
      <c r="H1884" s="216"/>
      <c r="I1884" s="435"/>
    </row>
    <row r="1885" spans="1:9" ht="12.75">
      <c r="A1885" s="669"/>
      <c r="B1885" s="670"/>
      <c r="C1885" s="216"/>
      <c r="D1885" s="216"/>
      <c r="E1885" s="216"/>
      <c r="F1885" s="216"/>
      <c r="G1885" s="435"/>
      <c r="H1885" s="216"/>
      <c r="I1885" s="435"/>
    </row>
    <row r="1886" spans="1:9" ht="12.75">
      <c r="A1886" s="669"/>
      <c r="B1886" s="670"/>
      <c r="C1886" s="216"/>
      <c r="D1886" s="216"/>
      <c r="E1886" s="216"/>
      <c r="F1886" s="216"/>
      <c r="G1886" s="435"/>
      <c r="H1886" s="216"/>
      <c r="I1886" s="435"/>
    </row>
    <row r="1887" spans="1:9" ht="12.75">
      <c r="A1887" s="669"/>
      <c r="B1887" s="670"/>
      <c r="C1887" s="216"/>
      <c r="D1887" s="216"/>
      <c r="E1887" s="216"/>
      <c r="F1887" s="216"/>
      <c r="G1887" s="435"/>
      <c r="H1887" s="216"/>
      <c r="I1887" s="435"/>
    </row>
    <row r="1888" spans="1:9" ht="12.75">
      <c r="A1888" s="669"/>
      <c r="B1888" s="670"/>
      <c r="C1888" s="216"/>
      <c r="D1888" s="216"/>
      <c r="E1888" s="216"/>
      <c r="F1888" s="216"/>
      <c r="G1888" s="435"/>
      <c r="H1888" s="216"/>
      <c r="I1888" s="435"/>
    </row>
    <row r="1889" spans="1:9" ht="12.75">
      <c r="A1889" s="669"/>
      <c r="B1889" s="670"/>
      <c r="C1889" s="216"/>
      <c r="D1889" s="216"/>
      <c r="E1889" s="216"/>
      <c r="F1889" s="216"/>
      <c r="G1889" s="435"/>
      <c r="H1889" s="216"/>
      <c r="I1889" s="435"/>
    </row>
    <row r="1890" spans="1:9" ht="12.75">
      <c r="A1890" s="669"/>
      <c r="B1890" s="670"/>
      <c r="C1890" s="216"/>
      <c r="D1890" s="216"/>
      <c r="E1890" s="216"/>
      <c r="F1890" s="216"/>
      <c r="G1890" s="435"/>
      <c r="H1890" s="216"/>
      <c r="I1890" s="435"/>
    </row>
    <row r="1891" spans="1:9" ht="12.75">
      <c r="A1891" s="669"/>
      <c r="B1891" s="670"/>
      <c r="C1891" s="216"/>
      <c r="D1891" s="216"/>
      <c r="E1891" s="216"/>
      <c r="F1891" s="216"/>
      <c r="G1891" s="435"/>
      <c r="H1891" s="216"/>
      <c r="I1891" s="435"/>
    </row>
    <row r="1892" spans="1:9" ht="12.75">
      <c r="A1892" s="669"/>
      <c r="B1892" s="670"/>
      <c r="C1892" s="216"/>
      <c r="D1892" s="216"/>
      <c r="E1892" s="216"/>
      <c r="F1892" s="216"/>
      <c r="G1892" s="435"/>
      <c r="H1892" s="216"/>
      <c r="I1892" s="435"/>
    </row>
    <row r="1893" spans="1:9" ht="12.75">
      <c r="A1893" s="669"/>
      <c r="B1893" s="670"/>
      <c r="C1893" s="216"/>
      <c r="D1893" s="216"/>
      <c r="E1893" s="216"/>
      <c r="F1893" s="216"/>
      <c r="G1893" s="435"/>
      <c r="H1893" s="216"/>
      <c r="I1893" s="435"/>
    </row>
    <row r="1894" spans="1:9" ht="12.75">
      <c r="A1894" s="669"/>
      <c r="B1894" s="670"/>
      <c r="C1894" s="216"/>
      <c r="D1894" s="216"/>
      <c r="E1894" s="216"/>
      <c r="F1894" s="216"/>
      <c r="G1894" s="435"/>
      <c r="H1894" s="216"/>
      <c r="I1894" s="435"/>
    </row>
    <row r="1895" spans="1:9" ht="12.75">
      <c r="A1895" s="669"/>
      <c r="B1895" s="670"/>
      <c r="C1895" s="216"/>
      <c r="D1895" s="216"/>
      <c r="E1895" s="216"/>
      <c r="F1895" s="216"/>
      <c r="G1895" s="435"/>
      <c r="H1895" s="216"/>
      <c r="I1895" s="435"/>
    </row>
    <row r="1896" spans="1:9" ht="12.75">
      <c r="A1896" s="669"/>
      <c r="B1896" s="670"/>
      <c r="C1896" s="216"/>
      <c r="D1896" s="216"/>
      <c r="E1896" s="216"/>
      <c r="F1896" s="216"/>
      <c r="G1896" s="435"/>
      <c r="H1896" s="216"/>
      <c r="I1896" s="435"/>
    </row>
    <row r="1897" spans="1:9" ht="12.75">
      <c r="A1897" s="669"/>
      <c r="B1897" s="670"/>
      <c r="C1897" s="216"/>
      <c r="D1897" s="216"/>
      <c r="E1897" s="216"/>
      <c r="F1897" s="216"/>
      <c r="G1897" s="435"/>
      <c r="H1897" s="216"/>
      <c r="I1897" s="435"/>
    </row>
    <row r="1898" spans="1:9" ht="12.75">
      <c r="A1898" s="669"/>
      <c r="B1898" s="670"/>
      <c r="C1898" s="216"/>
      <c r="D1898" s="216"/>
      <c r="E1898" s="216"/>
      <c r="F1898" s="216"/>
      <c r="G1898" s="435"/>
      <c r="H1898" s="216"/>
      <c r="I1898" s="435"/>
    </row>
    <row r="1899" spans="1:9" ht="12.75">
      <c r="A1899" s="669"/>
      <c r="B1899" s="670"/>
      <c r="C1899" s="216"/>
      <c r="D1899" s="216"/>
      <c r="E1899" s="216"/>
      <c r="F1899" s="216"/>
      <c r="G1899" s="435"/>
      <c r="H1899" s="216"/>
      <c r="I1899" s="435"/>
    </row>
    <row r="1900" spans="1:9" ht="12.75">
      <c r="A1900" s="669"/>
      <c r="B1900" s="670"/>
      <c r="C1900" s="216"/>
      <c r="D1900" s="216"/>
      <c r="E1900" s="216"/>
      <c r="F1900" s="216"/>
      <c r="G1900" s="435"/>
      <c r="H1900" s="216"/>
      <c r="I1900" s="435"/>
    </row>
    <row r="1901" spans="1:9" ht="12.75">
      <c r="A1901" s="669"/>
      <c r="B1901" s="670"/>
      <c r="C1901" s="216"/>
      <c r="D1901" s="216"/>
      <c r="E1901" s="216"/>
      <c r="F1901" s="216"/>
      <c r="G1901" s="435"/>
      <c r="H1901" s="216"/>
      <c r="I1901" s="435"/>
    </row>
    <row r="1902" spans="1:9" ht="12.75">
      <c r="A1902" s="669"/>
      <c r="B1902" s="670"/>
      <c r="C1902" s="216"/>
      <c r="D1902" s="216"/>
      <c r="E1902" s="216"/>
      <c r="F1902" s="216"/>
      <c r="G1902" s="435"/>
      <c r="H1902" s="216"/>
      <c r="I1902" s="435"/>
    </row>
    <row r="1903" spans="1:9" ht="12.75">
      <c r="A1903" s="669"/>
      <c r="B1903" s="670"/>
      <c r="C1903" s="216"/>
      <c r="D1903" s="216"/>
      <c r="E1903" s="216"/>
      <c r="F1903" s="216"/>
      <c r="G1903" s="435"/>
      <c r="H1903" s="216"/>
      <c r="I1903" s="435"/>
    </row>
    <row r="1904" spans="1:9" ht="12.75">
      <c r="A1904" s="669"/>
      <c r="B1904" s="670"/>
      <c r="C1904" s="216"/>
      <c r="D1904" s="216"/>
      <c r="E1904" s="216"/>
      <c r="F1904" s="216"/>
      <c r="G1904" s="435"/>
      <c r="H1904" s="216"/>
      <c r="I1904" s="435"/>
    </row>
    <row r="1905" spans="1:9" ht="12.75">
      <c r="A1905" s="669"/>
      <c r="B1905" s="670"/>
      <c r="C1905" s="216"/>
      <c r="D1905" s="216"/>
      <c r="E1905" s="216"/>
      <c r="F1905" s="216"/>
      <c r="G1905" s="435"/>
      <c r="H1905" s="216"/>
      <c r="I1905" s="435"/>
    </row>
    <row r="1906" spans="1:9" ht="12.75">
      <c r="A1906" s="669"/>
      <c r="B1906" s="670"/>
      <c r="C1906" s="216"/>
      <c r="D1906" s="216"/>
      <c r="E1906" s="216"/>
      <c r="F1906" s="216"/>
      <c r="G1906" s="435"/>
      <c r="H1906" s="216"/>
      <c r="I1906" s="435"/>
    </row>
    <row r="1907" spans="1:9" ht="12.75">
      <c r="A1907" s="669"/>
      <c r="B1907" s="670"/>
      <c r="C1907" s="216"/>
      <c r="D1907" s="216"/>
      <c r="E1907" s="216"/>
      <c r="F1907" s="216"/>
      <c r="G1907" s="435"/>
      <c r="H1907" s="216"/>
      <c r="I1907" s="435"/>
    </row>
    <row r="1908" spans="1:9" ht="12.75">
      <c r="A1908" s="669"/>
      <c r="B1908" s="670"/>
      <c r="C1908" s="216"/>
      <c r="D1908" s="216"/>
      <c r="E1908" s="216"/>
      <c r="F1908" s="216"/>
      <c r="G1908" s="435"/>
      <c r="H1908" s="216"/>
      <c r="I1908" s="435"/>
    </row>
    <row r="1909" spans="1:9" ht="12.75">
      <c r="A1909" s="669"/>
      <c r="B1909" s="670"/>
      <c r="C1909" s="216"/>
      <c r="D1909" s="216"/>
      <c r="E1909" s="216"/>
      <c r="F1909" s="216"/>
      <c r="G1909" s="435"/>
      <c r="H1909" s="216"/>
      <c r="I1909" s="435"/>
    </row>
    <row r="1910" spans="1:9" ht="12.75">
      <c r="A1910" s="669"/>
      <c r="B1910" s="670"/>
      <c r="C1910" s="216"/>
      <c r="D1910" s="216"/>
      <c r="E1910" s="216"/>
      <c r="F1910" s="216"/>
      <c r="G1910" s="435"/>
      <c r="H1910" s="216"/>
      <c r="I1910" s="435"/>
    </row>
    <row r="1911" spans="1:9" ht="12.75">
      <c r="A1911" s="669"/>
      <c r="B1911" s="670"/>
      <c r="C1911" s="216"/>
      <c r="D1911" s="216"/>
      <c r="E1911" s="216"/>
      <c r="F1911" s="216"/>
      <c r="G1911" s="435"/>
      <c r="H1911" s="216"/>
      <c r="I1911" s="435"/>
    </row>
    <row r="1912" spans="1:9" ht="12.75">
      <c r="A1912" s="669"/>
      <c r="B1912" s="670"/>
      <c r="C1912" s="216"/>
      <c r="D1912" s="216"/>
      <c r="E1912" s="216"/>
      <c r="F1912" s="216"/>
      <c r="G1912" s="435"/>
      <c r="H1912" s="216"/>
      <c r="I1912" s="435"/>
    </row>
    <row r="1913" spans="1:9" ht="12.75">
      <c r="A1913" s="669"/>
      <c r="B1913" s="670"/>
      <c r="C1913" s="216"/>
      <c r="D1913" s="216"/>
      <c r="E1913" s="216"/>
      <c r="F1913" s="216"/>
      <c r="G1913" s="435"/>
      <c r="H1913" s="216"/>
      <c r="I1913" s="435"/>
    </row>
    <row r="1914" spans="1:9" ht="12.75">
      <c r="A1914" s="669"/>
      <c r="B1914" s="670"/>
      <c r="C1914" s="216"/>
      <c r="D1914" s="216"/>
      <c r="E1914" s="216"/>
      <c r="F1914" s="216"/>
      <c r="G1914" s="435"/>
      <c r="H1914" s="216"/>
      <c r="I1914" s="435"/>
    </row>
    <row r="1915" spans="1:9" ht="12.75">
      <c r="A1915" s="669"/>
      <c r="B1915" s="670"/>
      <c r="C1915" s="216"/>
      <c r="D1915" s="216"/>
      <c r="E1915" s="216"/>
      <c r="F1915" s="216"/>
      <c r="G1915" s="435"/>
      <c r="H1915" s="216"/>
      <c r="I1915" s="435"/>
    </row>
    <row r="1916" spans="1:9" ht="12.75">
      <c r="A1916" s="669"/>
      <c r="B1916" s="670"/>
      <c r="C1916" s="216"/>
      <c r="D1916" s="216"/>
      <c r="E1916" s="216"/>
      <c r="F1916" s="216"/>
      <c r="G1916" s="435"/>
      <c r="H1916" s="216"/>
      <c r="I1916" s="435"/>
    </row>
    <row r="1917" spans="1:9" ht="12.75">
      <c r="A1917" s="669"/>
      <c r="B1917" s="670"/>
      <c r="C1917" s="216"/>
      <c r="D1917" s="216"/>
      <c r="E1917" s="216"/>
      <c r="F1917" s="216"/>
      <c r="G1917" s="435"/>
      <c r="H1917" s="216"/>
      <c r="I1917" s="435"/>
    </row>
    <row r="1918" spans="1:9" ht="12.75">
      <c r="A1918" s="669"/>
      <c r="B1918" s="670"/>
      <c r="C1918" s="216"/>
      <c r="D1918" s="216"/>
      <c r="E1918" s="216"/>
      <c r="F1918" s="216"/>
      <c r="G1918" s="435"/>
      <c r="H1918" s="216"/>
      <c r="I1918" s="435"/>
    </row>
    <row r="1919" spans="1:9" ht="12.75">
      <c r="A1919" s="669"/>
      <c r="B1919" s="670"/>
      <c r="C1919" s="216"/>
      <c r="D1919" s="216"/>
      <c r="E1919" s="216"/>
      <c r="F1919" s="216"/>
      <c r="G1919" s="435"/>
      <c r="H1919" s="216"/>
      <c r="I1919" s="435"/>
    </row>
    <row r="1920" spans="1:9" ht="12.75">
      <c r="A1920" s="669"/>
      <c r="B1920" s="670"/>
      <c r="C1920" s="216"/>
      <c r="D1920" s="216"/>
      <c r="E1920" s="216"/>
      <c r="F1920" s="216"/>
      <c r="G1920" s="435"/>
      <c r="H1920" s="216"/>
      <c r="I1920" s="435"/>
    </row>
    <row r="1921" spans="1:9" ht="12.75">
      <c r="A1921" s="669"/>
      <c r="B1921" s="670"/>
      <c r="C1921" s="216"/>
      <c r="D1921" s="216"/>
      <c r="E1921" s="216"/>
      <c r="F1921" s="216"/>
      <c r="G1921" s="435"/>
      <c r="H1921" s="216"/>
      <c r="I1921" s="435"/>
    </row>
    <row r="1922" spans="1:9" ht="12.75">
      <c r="A1922" s="669"/>
      <c r="B1922" s="670"/>
      <c r="C1922" s="216"/>
      <c r="D1922" s="216"/>
      <c r="E1922" s="216"/>
      <c r="F1922" s="216"/>
      <c r="G1922" s="435"/>
      <c r="H1922" s="216"/>
      <c r="I1922" s="435"/>
    </row>
    <row r="1923" spans="1:9" ht="12.75">
      <c r="A1923" s="669"/>
      <c r="B1923" s="670"/>
      <c r="C1923" s="216"/>
      <c r="D1923" s="216"/>
      <c r="E1923" s="216"/>
      <c r="F1923" s="216"/>
      <c r="G1923" s="435"/>
      <c r="H1923" s="216"/>
      <c r="I1923" s="435"/>
    </row>
    <row r="1924" spans="1:9" ht="12.75">
      <c r="A1924" s="669"/>
      <c r="B1924" s="670"/>
      <c r="C1924" s="216"/>
      <c r="D1924" s="216"/>
      <c r="E1924" s="216"/>
      <c r="F1924" s="216"/>
      <c r="G1924" s="435"/>
      <c r="H1924" s="216"/>
      <c r="I1924" s="435"/>
    </row>
    <row r="1925" spans="1:9" ht="12.75">
      <c r="A1925" s="669"/>
      <c r="B1925" s="670"/>
      <c r="C1925" s="216"/>
      <c r="D1925" s="216"/>
      <c r="E1925" s="216"/>
      <c r="F1925" s="216"/>
      <c r="G1925" s="435"/>
      <c r="H1925" s="216"/>
      <c r="I1925" s="435"/>
    </row>
    <row r="1926" spans="1:9" ht="12.75">
      <c r="A1926" s="669"/>
      <c r="B1926" s="670"/>
      <c r="C1926" s="216"/>
      <c r="D1926" s="216"/>
      <c r="E1926" s="216"/>
      <c r="F1926" s="216"/>
      <c r="G1926" s="435"/>
      <c r="H1926" s="216"/>
      <c r="I1926" s="435"/>
    </row>
    <row r="1927" spans="1:9" ht="12.75">
      <c r="A1927" s="669"/>
      <c r="B1927" s="670"/>
      <c r="C1927" s="216"/>
      <c r="D1927" s="216"/>
      <c r="E1927" s="216"/>
      <c r="F1927" s="216"/>
      <c r="G1927" s="435"/>
      <c r="H1927" s="216"/>
      <c r="I1927" s="435"/>
    </row>
    <row r="1928" spans="1:9" ht="12.75">
      <c r="A1928" s="669"/>
      <c r="B1928" s="670"/>
      <c r="C1928" s="216"/>
      <c r="D1928" s="216"/>
      <c r="E1928" s="216"/>
      <c r="F1928" s="216"/>
      <c r="G1928" s="435"/>
      <c r="H1928" s="216"/>
      <c r="I1928" s="435"/>
    </row>
    <row r="1929" spans="1:9" ht="12.75">
      <c r="A1929" s="669"/>
      <c r="B1929" s="670"/>
      <c r="C1929" s="216"/>
      <c r="D1929" s="216"/>
      <c r="E1929" s="216"/>
      <c r="F1929" s="216"/>
      <c r="G1929" s="435"/>
      <c r="H1929" s="216"/>
      <c r="I1929" s="435"/>
    </row>
    <row r="1930" spans="1:9" ht="12.75">
      <c r="A1930" s="669"/>
      <c r="B1930" s="670"/>
      <c r="C1930" s="216"/>
      <c r="D1930" s="216"/>
      <c r="E1930" s="216"/>
      <c r="F1930" s="216"/>
      <c r="G1930" s="435"/>
      <c r="H1930" s="216"/>
      <c r="I1930" s="435"/>
    </row>
    <row r="1931" spans="1:9" ht="12.75">
      <c r="A1931" s="669"/>
      <c r="B1931" s="670"/>
      <c r="C1931" s="216"/>
      <c r="D1931" s="216"/>
      <c r="E1931" s="216"/>
      <c r="F1931" s="216"/>
      <c r="G1931" s="435"/>
      <c r="H1931" s="216"/>
      <c r="I1931" s="435"/>
    </row>
    <row r="1932" spans="1:9" ht="12.75">
      <c r="A1932" s="669"/>
      <c r="B1932" s="670"/>
      <c r="C1932" s="216"/>
      <c r="D1932" s="216"/>
      <c r="E1932" s="216"/>
      <c r="F1932" s="216"/>
      <c r="G1932" s="435"/>
      <c r="H1932" s="216"/>
      <c r="I1932" s="435"/>
    </row>
    <row r="1933" spans="1:9" ht="12.75">
      <c r="A1933" s="669"/>
      <c r="B1933" s="670"/>
      <c r="C1933" s="216"/>
      <c r="D1933" s="216"/>
      <c r="E1933" s="216"/>
      <c r="F1933" s="216"/>
      <c r="G1933" s="435"/>
      <c r="H1933" s="216"/>
      <c r="I1933" s="435"/>
    </row>
    <row r="1934" spans="1:9" ht="12.75">
      <c r="A1934" s="669"/>
      <c r="B1934" s="670"/>
      <c r="C1934" s="216"/>
      <c r="D1934" s="216"/>
      <c r="E1934" s="216"/>
      <c r="F1934" s="216"/>
      <c r="G1934" s="435"/>
      <c r="H1934" s="216"/>
      <c r="I1934" s="435"/>
    </row>
    <row r="1935" spans="1:9" ht="12.75">
      <c r="A1935" s="669"/>
      <c r="B1935" s="670"/>
      <c r="C1935" s="216"/>
      <c r="D1935" s="216"/>
      <c r="E1935" s="216"/>
      <c r="F1935" s="216"/>
      <c r="G1935" s="435"/>
      <c r="H1935" s="216"/>
      <c r="I1935" s="435"/>
    </row>
    <row r="1936" spans="1:9" ht="12.75">
      <c r="A1936" s="669"/>
      <c r="B1936" s="670"/>
      <c r="C1936" s="216"/>
      <c r="D1936" s="216"/>
      <c r="E1936" s="216"/>
      <c r="F1936" s="216"/>
      <c r="G1936" s="435"/>
      <c r="H1936" s="216"/>
      <c r="I1936" s="435"/>
    </row>
    <row r="1937" spans="1:9" ht="12.75">
      <c r="A1937" s="669"/>
      <c r="B1937" s="670"/>
      <c r="C1937" s="216"/>
      <c r="D1937" s="216"/>
      <c r="E1937" s="216"/>
      <c r="F1937" s="216"/>
      <c r="G1937" s="435"/>
      <c r="H1937" s="216"/>
      <c r="I1937" s="435"/>
    </row>
    <row r="1938" spans="1:9" ht="12.75">
      <c r="A1938" s="669"/>
      <c r="B1938" s="670"/>
      <c r="C1938" s="216"/>
      <c r="D1938" s="216"/>
      <c r="E1938" s="216"/>
      <c r="F1938" s="216"/>
      <c r="G1938" s="435"/>
      <c r="H1938" s="216"/>
      <c r="I1938" s="435"/>
    </row>
    <row r="1939" spans="1:9" ht="12.75">
      <c r="A1939" s="669"/>
      <c r="B1939" s="670"/>
      <c r="C1939" s="216"/>
      <c r="D1939" s="216"/>
      <c r="E1939" s="216"/>
      <c r="F1939" s="216"/>
      <c r="G1939" s="435"/>
      <c r="H1939" s="216"/>
      <c r="I1939" s="435"/>
    </row>
    <row r="1940" spans="1:9" ht="12.75">
      <c r="A1940" s="669"/>
      <c r="B1940" s="670"/>
      <c r="C1940" s="216"/>
      <c r="D1940" s="216"/>
      <c r="E1940" s="216"/>
      <c r="F1940" s="216"/>
      <c r="G1940" s="435"/>
      <c r="H1940" s="216"/>
      <c r="I1940" s="435"/>
    </row>
    <row r="1941" spans="1:9" ht="12.75">
      <c r="A1941" s="669"/>
      <c r="B1941" s="670"/>
      <c r="C1941" s="216"/>
      <c r="D1941" s="216"/>
      <c r="E1941" s="216"/>
      <c r="F1941" s="216"/>
      <c r="G1941" s="435"/>
      <c r="H1941" s="216"/>
      <c r="I1941" s="435"/>
    </row>
    <row r="1942" spans="1:9" ht="12.75">
      <c r="A1942" s="669"/>
      <c r="B1942" s="670"/>
      <c r="C1942" s="216"/>
      <c r="D1942" s="216"/>
      <c r="E1942" s="216"/>
      <c r="F1942" s="216"/>
      <c r="G1942" s="435"/>
      <c r="H1942" s="216"/>
      <c r="I1942" s="435"/>
    </row>
    <row r="1943" spans="1:9" ht="12.75">
      <c r="A1943" s="669"/>
      <c r="B1943" s="670"/>
      <c r="C1943" s="216"/>
      <c r="D1943" s="216"/>
      <c r="E1943" s="216"/>
      <c r="F1943" s="216"/>
      <c r="G1943" s="435"/>
      <c r="H1943" s="216"/>
      <c r="I1943" s="435"/>
    </row>
    <row r="1944" spans="1:9" ht="12.75">
      <c r="A1944" s="669"/>
      <c r="B1944" s="670"/>
      <c r="C1944" s="216"/>
      <c r="D1944" s="216"/>
      <c r="E1944" s="216"/>
      <c r="F1944" s="216"/>
      <c r="G1944" s="435"/>
      <c r="H1944" s="216"/>
      <c r="I1944" s="435"/>
    </row>
    <row r="1945" spans="1:9" ht="12.75">
      <c r="A1945" s="669"/>
      <c r="B1945" s="670"/>
      <c r="C1945" s="216"/>
      <c r="D1945" s="216"/>
      <c r="E1945" s="216"/>
      <c r="F1945" s="216"/>
      <c r="G1945" s="435"/>
      <c r="H1945" s="216"/>
      <c r="I1945" s="435"/>
    </row>
    <row r="1946" spans="1:9" ht="12.75">
      <c r="A1946" s="669"/>
      <c r="B1946" s="670"/>
      <c r="C1946" s="216"/>
      <c r="D1946" s="216"/>
      <c r="E1946" s="216"/>
      <c r="F1946" s="216"/>
      <c r="G1946" s="435"/>
      <c r="H1946" s="216"/>
      <c r="I1946" s="435"/>
    </row>
    <row r="1947" spans="1:9" ht="12.75">
      <c r="A1947" s="669"/>
      <c r="B1947" s="670"/>
      <c r="C1947" s="216"/>
      <c r="D1947" s="216"/>
      <c r="E1947" s="216"/>
      <c r="F1947" s="216"/>
      <c r="G1947" s="435"/>
      <c r="H1947" s="216"/>
      <c r="I1947" s="435"/>
    </row>
    <row r="1948" spans="1:9" ht="12.75">
      <c r="A1948" s="669"/>
      <c r="B1948" s="670"/>
      <c r="C1948" s="216"/>
      <c r="D1948" s="216"/>
      <c r="E1948" s="216"/>
      <c r="F1948" s="216"/>
      <c r="G1948" s="435"/>
      <c r="H1948" s="216"/>
      <c r="I1948" s="435"/>
    </row>
    <row r="1949" spans="1:9" ht="12.75">
      <c r="A1949" s="669"/>
      <c r="B1949" s="670"/>
      <c r="C1949" s="216"/>
      <c r="D1949" s="216"/>
      <c r="E1949" s="216"/>
      <c r="F1949" s="216"/>
      <c r="G1949" s="435"/>
      <c r="H1949" s="216"/>
      <c r="I1949" s="435"/>
    </row>
    <row r="1950" spans="1:9" ht="12.75">
      <c r="A1950" s="669"/>
      <c r="B1950" s="670"/>
      <c r="C1950" s="216"/>
      <c r="D1950" s="216"/>
      <c r="E1950" s="216"/>
      <c r="F1950" s="216"/>
      <c r="G1950" s="435"/>
      <c r="H1950" s="216"/>
      <c r="I1950" s="435"/>
    </row>
    <row r="1951" spans="1:9" ht="12.75">
      <c r="A1951" s="669"/>
      <c r="B1951" s="670"/>
      <c r="C1951" s="216"/>
      <c r="D1951" s="216"/>
      <c r="E1951" s="216"/>
      <c r="F1951" s="216"/>
      <c r="G1951" s="435"/>
      <c r="H1951" s="216"/>
      <c r="I1951" s="435"/>
    </row>
    <row r="1952" spans="1:9" ht="12.75">
      <c r="A1952" s="669"/>
      <c r="B1952" s="670"/>
      <c r="C1952" s="216"/>
      <c r="D1952" s="216"/>
      <c r="E1952" s="216"/>
      <c r="F1952" s="216"/>
      <c r="G1952" s="435"/>
      <c r="H1952" s="216"/>
      <c r="I1952" s="435"/>
    </row>
    <row r="1953" spans="1:9" ht="12.75">
      <c r="A1953" s="669"/>
      <c r="B1953" s="670"/>
      <c r="C1953" s="216"/>
      <c r="D1953" s="216"/>
      <c r="E1953" s="216"/>
      <c r="F1953" s="216"/>
      <c r="G1953" s="435"/>
      <c r="H1953" s="216"/>
      <c r="I1953" s="435"/>
    </row>
    <row r="1954" spans="1:9" ht="12.75">
      <c r="A1954" s="669"/>
      <c r="B1954" s="670"/>
      <c r="C1954" s="216"/>
      <c r="D1954" s="216"/>
      <c r="E1954" s="216"/>
      <c r="F1954" s="216"/>
      <c r="G1954" s="435"/>
      <c r="H1954" s="216"/>
      <c r="I1954" s="435"/>
    </row>
    <row r="1955" spans="1:9" ht="12.75">
      <c r="A1955" s="669"/>
      <c r="B1955" s="670"/>
      <c r="C1955" s="216"/>
      <c r="D1955" s="216"/>
      <c r="E1955" s="216"/>
      <c r="F1955" s="216"/>
      <c r="G1955" s="435"/>
      <c r="H1955" s="216"/>
      <c r="I1955" s="435"/>
    </row>
    <row r="1956" spans="1:9" ht="12.75">
      <c r="A1956" s="669"/>
      <c r="B1956" s="670"/>
      <c r="C1956" s="216"/>
      <c r="D1956" s="216"/>
      <c r="E1956" s="216"/>
      <c r="F1956" s="216"/>
      <c r="G1956" s="435"/>
      <c r="H1956" s="216"/>
      <c r="I1956" s="435"/>
    </row>
    <row r="1957" spans="1:9" ht="12.75">
      <c r="A1957" s="669"/>
      <c r="B1957" s="670"/>
      <c r="C1957" s="216"/>
      <c r="D1957" s="216"/>
      <c r="E1957" s="216"/>
      <c r="F1957" s="216"/>
      <c r="G1957" s="435"/>
      <c r="H1957" s="216"/>
      <c r="I1957" s="435"/>
    </row>
    <row r="1958" spans="1:9" ht="12.75">
      <c r="A1958" s="669"/>
      <c r="B1958" s="670"/>
      <c r="C1958" s="216"/>
      <c r="D1958" s="216"/>
      <c r="E1958" s="216"/>
      <c r="F1958" s="216"/>
      <c r="G1958" s="435"/>
      <c r="H1958" s="216"/>
      <c r="I1958" s="435"/>
    </row>
    <row r="1959" spans="1:9" ht="12.75">
      <c r="A1959" s="669"/>
      <c r="B1959" s="670"/>
      <c r="C1959" s="216"/>
      <c r="D1959" s="216"/>
      <c r="E1959" s="216"/>
      <c r="F1959" s="216"/>
      <c r="G1959" s="435"/>
      <c r="H1959" s="216"/>
      <c r="I1959" s="435"/>
    </row>
    <row r="1960" spans="1:9" ht="12.75">
      <c r="A1960" s="669"/>
      <c r="B1960" s="670"/>
      <c r="C1960" s="216"/>
      <c r="D1960" s="216"/>
      <c r="E1960" s="216"/>
      <c r="F1960" s="216"/>
      <c r="G1960" s="435"/>
      <c r="H1960" s="216"/>
      <c r="I1960" s="435"/>
    </row>
    <row r="1961" spans="1:9" ht="12.75">
      <c r="A1961" s="669"/>
      <c r="B1961" s="670"/>
      <c r="C1961" s="216"/>
      <c r="D1961" s="216"/>
      <c r="E1961" s="216"/>
      <c r="F1961" s="216"/>
      <c r="G1961" s="435"/>
      <c r="H1961" s="216"/>
      <c r="I1961" s="435"/>
    </row>
    <row r="1962" spans="1:9" ht="12.75">
      <c r="A1962" s="669"/>
      <c r="B1962" s="670"/>
      <c r="C1962" s="216"/>
      <c r="D1962" s="216"/>
      <c r="E1962" s="216"/>
      <c r="F1962" s="216"/>
      <c r="G1962" s="435"/>
      <c r="H1962" s="216"/>
      <c r="I1962" s="435"/>
    </row>
    <row r="1963" spans="1:9" ht="12.75">
      <c r="A1963" s="669"/>
      <c r="B1963" s="670"/>
      <c r="C1963" s="216"/>
      <c r="D1963" s="216"/>
      <c r="E1963" s="216"/>
      <c r="F1963" s="216"/>
      <c r="G1963" s="435"/>
      <c r="H1963" s="216"/>
      <c r="I1963" s="435"/>
    </row>
    <row r="1964" spans="1:9" ht="12.75">
      <c r="A1964" s="669"/>
      <c r="B1964" s="670"/>
      <c r="C1964" s="216"/>
      <c r="D1964" s="216"/>
      <c r="E1964" s="216"/>
      <c r="F1964" s="216"/>
      <c r="G1964" s="435"/>
      <c r="H1964" s="216"/>
      <c r="I1964" s="435"/>
    </row>
    <row r="1965" spans="1:9" ht="12.75">
      <c r="A1965" s="669"/>
      <c r="B1965" s="670"/>
      <c r="C1965" s="216"/>
      <c r="D1965" s="216"/>
      <c r="E1965" s="216"/>
      <c r="F1965" s="216"/>
      <c r="G1965" s="435"/>
      <c r="H1965" s="216"/>
      <c r="I1965" s="435"/>
    </row>
    <row r="1966" spans="1:9" ht="12.75">
      <c r="A1966" s="669"/>
      <c r="B1966" s="670"/>
      <c r="C1966" s="216"/>
      <c r="D1966" s="216"/>
      <c r="E1966" s="216"/>
      <c r="F1966" s="216"/>
      <c r="G1966" s="435"/>
      <c r="H1966" s="216"/>
      <c r="I1966" s="435"/>
    </row>
    <row r="1967" spans="1:9" ht="12.75">
      <c r="A1967" s="669"/>
      <c r="B1967" s="670"/>
      <c r="C1967" s="216"/>
      <c r="D1967" s="216"/>
      <c r="E1967" s="216"/>
      <c r="F1967" s="216"/>
      <c r="G1967" s="435"/>
      <c r="H1967" s="216"/>
      <c r="I1967" s="435"/>
    </row>
    <row r="1968" spans="1:9" ht="12.75">
      <c r="A1968" s="669"/>
      <c r="B1968" s="670"/>
      <c r="C1968" s="216"/>
      <c r="D1968" s="216"/>
      <c r="E1968" s="216"/>
      <c r="F1968" s="216"/>
      <c r="G1968" s="435"/>
      <c r="H1968" s="216"/>
      <c r="I1968" s="435"/>
    </row>
    <row r="1969" spans="1:9" ht="12.75">
      <c r="A1969" s="669"/>
      <c r="B1969" s="670"/>
      <c r="C1969" s="216"/>
      <c r="D1969" s="216"/>
      <c r="E1969" s="216"/>
      <c r="F1969" s="216"/>
      <c r="G1969" s="435"/>
      <c r="H1969" s="216"/>
      <c r="I1969" s="435"/>
    </row>
    <row r="1970" spans="1:9" ht="12.75">
      <c r="A1970" s="669"/>
      <c r="B1970" s="670"/>
      <c r="C1970" s="216"/>
      <c r="D1970" s="216"/>
      <c r="E1970" s="216"/>
      <c r="F1970" s="216"/>
      <c r="G1970" s="435"/>
      <c r="H1970" s="216"/>
      <c r="I1970" s="435"/>
    </row>
    <row r="1971" spans="1:9" ht="12.75">
      <c r="A1971" s="669"/>
      <c r="B1971" s="670"/>
      <c r="C1971" s="216"/>
      <c r="D1971" s="216"/>
      <c r="E1971" s="216"/>
      <c r="F1971" s="216"/>
      <c r="G1971" s="435"/>
      <c r="H1971" s="216"/>
      <c r="I1971" s="435"/>
    </row>
    <row r="1972" spans="1:9" ht="12.75">
      <c r="A1972" s="669"/>
      <c r="B1972" s="670"/>
      <c r="C1972" s="216"/>
      <c r="D1972" s="216"/>
      <c r="E1972" s="216"/>
      <c r="F1972" s="216"/>
      <c r="G1972" s="435"/>
      <c r="H1972" s="216"/>
      <c r="I1972" s="435"/>
    </row>
    <row r="1973" spans="1:9" ht="12.75">
      <c r="A1973" s="669"/>
      <c r="B1973" s="670"/>
      <c r="C1973" s="216"/>
      <c r="D1973" s="216"/>
      <c r="E1973" s="216"/>
      <c r="F1973" s="216"/>
      <c r="G1973" s="435"/>
      <c r="H1973" s="216"/>
      <c r="I1973" s="435"/>
    </row>
    <row r="1974" spans="1:9" ht="12.75">
      <c r="A1974" s="669"/>
      <c r="B1974" s="670"/>
      <c r="C1974" s="216"/>
      <c r="D1974" s="216"/>
      <c r="E1974" s="216"/>
      <c r="F1974" s="216"/>
      <c r="G1974" s="435"/>
      <c r="H1974" s="216"/>
      <c r="I1974" s="435"/>
    </row>
    <row r="1975" spans="1:9" ht="12.75">
      <c r="A1975" s="669"/>
      <c r="B1975" s="670"/>
      <c r="C1975" s="216"/>
      <c r="D1975" s="216"/>
      <c r="E1975" s="216"/>
      <c r="F1975" s="216"/>
      <c r="G1975" s="435"/>
      <c r="H1975" s="216"/>
      <c r="I1975" s="435"/>
    </row>
    <row r="1976" spans="1:9" ht="12.75">
      <c r="A1976" s="669"/>
      <c r="B1976" s="670"/>
      <c r="C1976" s="216"/>
      <c r="D1976" s="216"/>
      <c r="E1976" s="216"/>
      <c r="F1976" s="216"/>
      <c r="G1976" s="435"/>
      <c r="H1976" s="216"/>
      <c r="I1976" s="435"/>
    </row>
    <row r="1977" spans="1:9" ht="12.75">
      <c r="A1977" s="669"/>
      <c r="B1977" s="670"/>
      <c r="C1977" s="216"/>
      <c r="D1977" s="216"/>
      <c r="E1977" s="216"/>
      <c r="F1977" s="216"/>
      <c r="G1977" s="435"/>
      <c r="H1977" s="216"/>
      <c r="I1977" s="435"/>
    </row>
    <row r="1978" spans="1:9" ht="12.75">
      <c r="A1978" s="669"/>
      <c r="B1978" s="670"/>
      <c r="C1978" s="216"/>
      <c r="D1978" s="216"/>
      <c r="E1978" s="216"/>
      <c r="F1978" s="216"/>
      <c r="G1978" s="435"/>
      <c r="H1978" s="216"/>
      <c r="I1978" s="435"/>
    </row>
    <row r="1979" spans="1:9" ht="12.75">
      <c r="A1979" s="669"/>
      <c r="B1979" s="670"/>
      <c r="C1979" s="216"/>
      <c r="D1979" s="216"/>
      <c r="E1979" s="216"/>
      <c r="F1979" s="216"/>
      <c r="G1979" s="435"/>
      <c r="H1979" s="216"/>
      <c r="I1979" s="435"/>
    </row>
    <row r="1980" spans="1:9" ht="12.75">
      <c r="A1980" s="669"/>
      <c r="B1980" s="670"/>
      <c r="C1980" s="216"/>
      <c r="D1980" s="216"/>
      <c r="E1980" s="216"/>
      <c r="F1980" s="216"/>
      <c r="G1980" s="435"/>
      <c r="H1980" s="216"/>
      <c r="I1980" s="435"/>
    </row>
    <row r="1981" spans="1:9" ht="12.75">
      <c r="A1981" s="669"/>
      <c r="B1981" s="670"/>
      <c r="C1981" s="216"/>
      <c r="D1981" s="216"/>
      <c r="E1981" s="216"/>
      <c r="F1981" s="216"/>
      <c r="G1981" s="435"/>
      <c r="H1981" s="216"/>
      <c r="I1981" s="435"/>
    </row>
    <row r="1982" spans="1:9" ht="12.75">
      <c r="A1982" s="669"/>
      <c r="B1982" s="670"/>
      <c r="C1982" s="216"/>
      <c r="D1982" s="216"/>
      <c r="E1982" s="216"/>
      <c r="F1982" s="216"/>
      <c r="G1982" s="435"/>
      <c r="H1982" s="216"/>
      <c r="I1982" s="435"/>
    </row>
    <row r="1983" spans="1:9" ht="12.75">
      <c r="A1983" s="669"/>
      <c r="B1983" s="670"/>
      <c r="C1983" s="216"/>
      <c r="D1983" s="216"/>
      <c r="E1983" s="216"/>
      <c r="F1983" s="216"/>
      <c r="G1983" s="435"/>
      <c r="H1983" s="216"/>
      <c r="I1983" s="435"/>
    </row>
    <row r="1984" spans="1:9" ht="12.75">
      <c r="A1984" s="669"/>
      <c r="B1984" s="670"/>
      <c r="C1984" s="216"/>
      <c r="D1984" s="216"/>
      <c r="E1984" s="216"/>
      <c r="F1984" s="216"/>
      <c r="G1984" s="435"/>
      <c r="H1984" s="216"/>
      <c r="I1984" s="435"/>
    </row>
    <row r="1985" spans="1:9" ht="12.75">
      <c r="A1985" s="669"/>
      <c r="B1985" s="670"/>
      <c r="C1985" s="216"/>
      <c r="D1985" s="216"/>
      <c r="E1985" s="216"/>
      <c r="F1985" s="216"/>
      <c r="G1985" s="435"/>
      <c r="H1985" s="216"/>
      <c r="I1985" s="435"/>
    </row>
    <row r="1986" spans="1:9" ht="12.75">
      <c r="A1986" s="669"/>
      <c r="B1986" s="670"/>
      <c r="C1986" s="216"/>
      <c r="D1986" s="216"/>
      <c r="E1986" s="216"/>
      <c r="F1986" s="216"/>
      <c r="G1986" s="435"/>
      <c r="H1986" s="216"/>
      <c r="I1986" s="435"/>
    </row>
    <row r="1987" spans="1:9" ht="12.75">
      <c r="A1987" s="669"/>
      <c r="B1987" s="670"/>
      <c r="C1987" s="216"/>
      <c r="D1987" s="216"/>
      <c r="E1987" s="216"/>
      <c r="F1987" s="216"/>
      <c r="G1987" s="435"/>
      <c r="H1987" s="216"/>
      <c r="I1987" s="435"/>
    </row>
    <row r="1988" spans="1:9" ht="12.75">
      <c r="A1988" s="669"/>
      <c r="B1988" s="670"/>
      <c r="C1988" s="216"/>
      <c r="D1988" s="216"/>
      <c r="E1988" s="216"/>
      <c r="F1988" s="216"/>
      <c r="G1988" s="435"/>
      <c r="H1988" s="216"/>
      <c r="I1988" s="435"/>
    </row>
    <row r="1989" spans="1:9" ht="12.75">
      <c r="A1989" s="669"/>
      <c r="B1989" s="670"/>
      <c r="C1989" s="216"/>
      <c r="D1989" s="216"/>
      <c r="E1989" s="216"/>
      <c r="F1989" s="216"/>
      <c r="G1989" s="435"/>
      <c r="H1989" s="216"/>
      <c r="I1989" s="435"/>
    </row>
    <row r="1990" spans="1:9" ht="12.75">
      <c r="A1990" s="669"/>
      <c r="B1990" s="670"/>
      <c r="C1990" s="216"/>
      <c r="D1990" s="216"/>
      <c r="E1990" s="216"/>
      <c r="F1990" s="216"/>
      <c r="G1990" s="435"/>
      <c r="H1990" s="216"/>
      <c r="I1990" s="435"/>
    </row>
    <row r="1991" spans="1:9" ht="12.75">
      <c r="A1991" s="669"/>
      <c r="B1991" s="670"/>
      <c r="C1991" s="216"/>
      <c r="D1991" s="216"/>
      <c r="E1991" s="216"/>
      <c r="F1991" s="216"/>
      <c r="G1991" s="435"/>
      <c r="H1991" s="216"/>
      <c r="I1991" s="435"/>
    </row>
    <row r="1992" spans="1:9" ht="12.75">
      <c r="A1992" s="669"/>
      <c r="B1992" s="670"/>
      <c r="C1992" s="216"/>
      <c r="D1992" s="216"/>
      <c r="E1992" s="216"/>
      <c r="F1992" s="216"/>
      <c r="G1992" s="435"/>
      <c r="H1992" s="216"/>
      <c r="I1992" s="435"/>
    </row>
    <row r="1993" spans="1:9" ht="12.75">
      <c r="A1993" s="669"/>
      <c r="B1993" s="670"/>
      <c r="C1993" s="216"/>
      <c r="D1993" s="216"/>
      <c r="E1993" s="216"/>
      <c r="F1993" s="216"/>
      <c r="G1993" s="435"/>
      <c r="H1993" s="216"/>
      <c r="I1993" s="435"/>
    </row>
    <row r="1994" spans="1:9" ht="12.75">
      <c r="A1994" s="669"/>
      <c r="B1994" s="670"/>
      <c r="C1994" s="216"/>
      <c r="D1994" s="216"/>
      <c r="E1994" s="216"/>
      <c r="F1994" s="216"/>
      <c r="G1994" s="435"/>
      <c r="H1994" s="216"/>
      <c r="I1994" s="435"/>
    </row>
    <row r="1995" spans="1:9" ht="12.75">
      <c r="A1995" s="669"/>
      <c r="B1995" s="670"/>
      <c r="C1995" s="216"/>
      <c r="D1995" s="216"/>
      <c r="E1995" s="216"/>
      <c r="F1995" s="216"/>
      <c r="G1995" s="435"/>
      <c r="H1995" s="216"/>
      <c r="I1995" s="435"/>
    </row>
    <row r="1996" spans="1:9" ht="12.75">
      <c r="A1996" s="669"/>
      <c r="B1996" s="670"/>
      <c r="C1996" s="216"/>
      <c r="D1996" s="216"/>
      <c r="E1996" s="216"/>
      <c r="F1996" s="216"/>
      <c r="G1996" s="435"/>
      <c r="H1996" s="216"/>
      <c r="I1996" s="435"/>
    </row>
    <row r="1997" spans="1:9" ht="12.75">
      <c r="A1997" s="669"/>
      <c r="B1997" s="670"/>
      <c r="C1997" s="216"/>
      <c r="D1997" s="216"/>
      <c r="E1997" s="216"/>
      <c r="F1997" s="216"/>
      <c r="G1997" s="435"/>
      <c r="H1997" s="216"/>
      <c r="I1997" s="435"/>
    </row>
    <row r="1998" spans="1:9" ht="12.75">
      <c r="A1998" s="669"/>
      <c r="B1998" s="670"/>
      <c r="C1998" s="216"/>
      <c r="D1998" s="216"/>
      <c r="E1998" s="216"/>
      <c r="F1998" s="216"/>
      <c r="G1998" s="435"/>
      <c r="H1998" s="216"/>
      <c r="I1998" s="435"/>
    </row>
    <row r="1999" spans="1:9" ht="12.75">
      <c r="A1999" s="669"/>
      <c r="B1999" s="670"/>
      <c r="C1999" s="216"/>
      <c r="D1999" s="216"/>
      <c r="E1999" s="216"/>
      <c r="F1999" s="216"/>
      <c r="G1999" s="435"/>
      <c r="H1999" s="216"/>
      <c r="I1999" s="435"/>
    </row>
    <row r="2000" spans="1:9" ht="12.75">
      <c r="A2000" s="669"/>
      <c r="B2000" s="670"/>
      <c r="C2000" s="216"/>
      <c r="D2000" s="216"/>
      <c r="E2000" s="216"/>
      <c r="F2000" s="216"/>
      <c r="G2000" s="435"/>
      <c r="H2000" s="216"/>
      <c r="I2000" s="435"/>
    </row>
    <row r="2001" spans="1:9" ht="12.75">
      <c r="A2001" s="669"/>
      <c r="B2001" s="670"/>
      <c r="C2001" s="216"/>
      <c r="D2001" s="216"/>
      <c r="E2001" s="216"/>
      <c r="F2001" s="216"/>
      <c r="G2001" s="435"/>
      <c r="H2001" s="216"/>
      <c r="I2001" s="435"/>
    </row>
    <row r="2002" spans="1:9" ht="12.75">
      <c r="A2002" s="669"/>
      <c r="B2002" s="670"/>
      <c r="C2002" s="216"/>
      <c r="D2002" s="216"/>
      <c r="E2002" s="216"/>
      <c r="F2002" s="216"/>
      <c r="G2002" s="435"/>
      <c r="H2002" s="216"/>
      <c r="I2002" s="435"/>
    </row>
    <row r="2003" spans="1:9" ht="12.75">
      <c r="A2003" s="669"/>
      <c r="B2003" s="670"/>
      <c r="C2003" s="216"/>
      <c r="D2003" s="216"/>
      <c r="E2003" s="216"/>
      <c r="F2003" s="216"/>
      <c r="G2003" s="435"/>
      <c r="H2003" s="216"/>
      <c r="I2003" s="435"/>
    </row>
    <row r="2004" spans="1:9" ht="12.75">
      <c r="A2004" s="669"/>
      <c r="B2004" s="670"/>
      <c r="C2004" s="216"/>
      <c r="D2004" s="216"/>
      <c r="E2004" s="216"/>
      <c r="F2004" s="216"/>
      <c r="G2004" s="435"/>
      <c r="H2004" s="216"/>
      <c r="I2004" s="435"/>
    </row>
    <row r="2005" spans="1:9" ht="12.75">
      <c r="A2005" s="669"/>
      <c r="B2005" s="670"/>
      <c r="C2005" s="216"/>
      <c r="D2005" s="216"/>
      <c r="E2005" s="216"/>
      <c r="F2005" s="216"/>
      <c r="G2005" s="435"/>
      <c r="H2005" s="216"/>
      <c r="I2005" s="435"/>
    </row>
    <row r="2006" spans="1:9" ht="12.75">
      <c r="A2006" s="669"/>
      <c r="B2006" s="670"/>
      <c r="C2006" s="216"/>
      <c r="D2006" s="216"/>
      <c r="E2006" s="216"/>
      <c r="F2006" s="216"/>
      <c r="G2006" s="435"/>
      <c r="H2006" s="216"/>
      <c r="I2006" s="435"/>
    </row>
    <row r="2007" spans="1:9" ht="12.75">
      <c r="A2007" s="669"/>
      <c r="B2007" s="670"/>
      <c r="C2007" s="216"/>
      <c r="D2007" s="216"/>
      <c r="E2007" s="216"/>
      <c r="F2007" s="216"/>
      <c r="G2007" s="435"/>
      <c r="H2007" s="216"/>
      <c r="I2007" s="435"/>
    </row>
    <row r="2008" spans="1:9" ht="12.75">
      <c r="A2008" s="669"/>
      <c r="B2008" s="670"/>
      <c r="C2008" s="216"/>
      <c r="D2008" s="216"/>
      <c r="E2008" s="216"/>
      <c r="F2008" s="216"/>
      <c r="G2008" s="435"/>
      <c r="H2008" s="216"/>
      <c r="I2008" s="435"/>
    </row>
    <row r="2009" spans="1:9" ht="12.75">
      <c r="A2009" s="669"/>
      <c r="B2009" s="670"/>
      <c r="C2009" s="216"/>
      <c r="D2009" s="216"/>
      <c r="E2009" s="216"/>
      <c r="F2009" s="216"/>
      <c r="G2009" s="435"/>
      <c r="H2009" s="216"/>
      <c r="I2009" s="435"/>
    </row>
    <row r="2010" spans="1:9" ht="12.75">
      <c r="A2010" s="669"/>
      <c r="B2010" s="670"/>
      <c r="C2010" s="216"/>
      <c r="D2010" s="216"/>
      <c r="E2010" s="216"/>
      <c r="F2010" s="216"/>
      <c r="G2010" s="435"/>
      <c r="H2010" s="216"/>
      <c r="I2010" s="435"/>
    </row>
    <row r="2011" spans="1:9" ht="12.75">
      <c r="A2011" s="669"/>
      <c r="B2011" s="670"/>
      <c r="C2011" s="216"/>
      <c r="D2011" s="216"/>
      <c r="E2011" s="216"/>
      <c r="F2011" s="216"/>
      <c r="G2011" s="435"/>
      <c r="H2011" s="216"/>
      <c r="I2011" s="435"/>
    </row>
    <row r="2012" spans="1:9" ht="12.75">
      <c r="A2012" s="669"/>
      <c r="B2012" s="670"/>
      <c r="C2012" s="216"/>
      <c r="D2012" s="216"/>
      <c r="E2012" s="216"/>
      <c r="F2012" s="216"/>
      <c r="G2012" s="435"/>
      <c r="H2012" s="216"/>
      <c r="I2012" s="435"/>
    </row>
    <row r="2013" spans="1:9" ht="12.75">
      <c r="A2013" s="669"/>
      <c r="B2013" s="670"/>
      <c r="C2013" s="216"/>
      <c r="D2013" s="216"/>
      <c r="E2013" s="216"/>
      <c r="F2013" s="216"/>
      <c r="G2013" s="435"/>
      <c r="H2013" s="216"/>
      <c r="I2013" s="435"/>
    </row>
    <row r="2014" spans="1:9" ht="12.75">
      <c r="A2014" s="669"/>
      <c r="B2014" s="670"/>
      <c r="C2014" s="216"/>
      <c r="D2014" s="216"/>
      <c r="E2014" s="216"/>
      <c r="F2014" s="216"/>
      <c r="G2014" s="435"/>
      <c r="H2014" s="216"/>
      <c r="I2014" s="435"/>
    </row>
    <row r="2015" spans="1:9" ht="12.75">
      <c r="A2015" s="669"/>
      <c r="B2015" s="670"/>
      <c r="C2015" s="216"/>
      <c r="D2015" s="216"/>
      <c r="E2015" s="216"/>
      <c r="F2015" s="216"/>
      <c r="G2015" s="435"/>
      <c r="H2015" s="216"/>
      <c r="I2015" s="435"/>
    </row>
    <row r="2016" spans="1:9" ht="12.75">
      <c r="A2016" s="669"/>
      <c r="B2016" s="670"/>
      <c r="C2016" s="216"/>
      <c r="D2016" s="216"/>
      <c r="E2016" s="216"/>
      <c r="F2016" s="216"/>
      <c r="G2016" s="435"/>
      <c r="H2016" s="216"/>
      <c r="I2016" s="435"/>
    </row>
    <row r="2017" spans="1:9" ht="12.75">
      <c r="A2017" s="669"/>
      <c r="B2017" s="670"/>
      <c r="C2017" s="216"/>
      <c r="D2017" s="216"/>
      <c r="E2017" s="216"/>
      <c r="F2017" s="216"/>
      <c r="G2017" s="435"/>
      <c r="H2017" s="216"/>
      <c r="I2017" s="435"/>
    </row>
    <row r="2018" spans="1:9" ht="12.75">
      <c r="A2018" s="669"/>
      <c r="B2018" s="670"/>
      <c r="C2018" s="216"/>
      <c r="D2018" s="216"/>
      <c r="E2018" s="216"/>
      <c r="F2018" s="216"/>
      <c r="G2018" s="435"/>
      <c r="H2018" s="216"/>
      <c r="I2018" s="435"/>
    </row>
    <row r="2019" spans="1:9" ht="12.75">
      <c r="A2019" s="669"/>
      <c r="B2019" s="670"/>
      <c r="C2019" s="216"/>
      <c r="D2019" s="216"/>
      <c r="E2019" s="216"/>
      <c r="F2019" s="216"/>
      <c r="G2019" s="435"/>
      <c r="H2019" s="216"/>
      <c r="I2019" s="435"/>
    </row>
    <row r="2020" spans="1:9" ht="12.75">
      <c r="A2020" s="669"/>
      <c r="B2020" s="670"/>
      <c r="C2020" s="216"/>
      <c r="D2020" s="216"/>
      <c r="E2020" s="216"/>
      <c r="F2020" s="216"/>
      <c r="G2020" s="435"/>
      <c r="H2020" s="216"/>
      <c r="I2020" s="435"/>
    </row>
    <row r="2021" spans="1:9" ht="12.75">
      <c r="A2021" s="669"/>
      <c r="B2021" s="670"/>
      <c r="C2021" s="216"/>
      <c r="D2021" s="216"/>
      <c r="E2021" s="216"/>
      <c r="F2021" s="216"/>
      <c r="G2021" s="435"/>
      <c r="H2021" s="216"/>
      <c r="I2021" s="435"/>
    </row>
    <row r="2022" spans="1:9" ht="12.75">
      <c r="A2022" s="669"/>
      <c r="B2022" s="670"/>
      <c r="C2022" s="216"/>
      <c r="D2022" s="216"/>
      <c r="E2022" s="216"/>
      <c r="F2022" s="216"/>
      <c r="G2022" s="435"/>
      <c r="H2022" s="216"/>
      <c r="I2022" s="435"/>
    </row>
    <row r="2023" spans="1:9" ht="12.75">
      <c r="A2023" s="669"/>
      <c r="B2023" s="670"/>
      <c r="C2023" s="216"/>
      <c r="D2023" s="216"/>
      <c r="E2023" s="216"/>
      <c r="F2023" s="216"/>
      <c r="G2023" s="435"/>
      <c r="H2023" s="216"/>
      <c r="I2023" s="435"/>
    </row>
    <row r="2024" spans="1:9" ht="12.75">
      <c r="A2024" s="669"/>
      <c r="B2024" s="670"/>
      <c r="C2024" s="216"/>
      <c r="D2024" s="216"/>
      <c r="E2024" s="216"/>
      <c r="F2024" s="216"/>
      <c r="G2024" s="435"/>
      <c r="H2024" s="216"/>
      <c r="I2024" s="435"/>
    </row>
    <row r="2025" spans="1:9" ht="12.75">
      <c r="A2025" s="669"/>
      <c r="B2025" s="670"/>
      <c r="C2025" s="216"/>
      <c r="D2025" s="216"/>
      <c r="E2025" s="216"/>
      <c r="F2025" s="216"/>
      <c r="G2025" s="435"/>
      <c r="H2025" s="216"/>
      <c r="I2025" s="435"/>
    </row>
    <row r="2026" spans="1:9" ht="12.75">
      <c r="A2026" s="669"/>
      <c r="B2026" s="670"/>
      <c r="C2026" s="216"/>
      <c r="D2026" s="216"/>
      <c r="E2026" s="216"/>
      <c r="F2026" s="216"/>
      <c r="G2026" s="435"/>
      <c r="H2026" s="216"/>
      <c r="I2026" s="435"/>
    </row>
    <row r="2027" spans="1:9" ht="12.75">
      <c r="A2027" s="669"/>
      <c r="B2027" s="670"/>
      <c r="C2027" s="216"/>
      <c r="D2027" s="216"/>
      <c r="E2027" s="216"/>
      <c r="F2027" s="216"/>
      <c r="G2027" s="435"/>
      <c r="H2027" s="216"/>
      <c r="I2027" s="435"/>
    </row>
    <row r="2028" spans="1:9" ht="12.75">
      <c r="A2028" s="669"/>
      <c r="B2028" s="670"/>
      <c r="C2028" s="216"/>
      <c r="D2028" s="216"/>
      <c r="E2028" s="216"/>
      <c r="F2028" s="216"/>
      <c r="G2028" s="435"/>
      <c r="H2028" s="216"/>
      <c r="I2028" s="435"/>
    </row>
    <row r="2029" spans="1:9" ht="12.75">
      <c r="A2029" s="669"/>
      <c r="B2029" s="670"/>
      <c r="C2029" s="216"/>
      <c r="D2029" s="216"/>
      <c r="E2029" s="216"/>
      <c r="F2029" s="216"/>
      <c r="G2029" s="435"/>
      <c r="H2029" s="216"/>
      <c r="I2029" s="435"/>
    </row>
    <row r="2030" spans="1:9" ht="12.75">
      <c r="A2030" s="669"/>
      <c r="B2030" s="670"/>
      <c r="C2030" s="216"/>
      <c r="D2030" s="216"/>
      <c r="E2030" s="216"/>
      <c r="F2030" s="216"/>
      <c r="G2030" s="435"/>
      <c r="H2030" s="216"/>
      <c r="I2030" s="435"/>
    </row>
    <row r="2031" spans="1:9" ht="12.75">
      <c r="A2031" s="669"/>
      <c r="B2031" s="670"/>
      <c r="C2031" s="216"/>
      <c r="D2031" s="216"/>
      <c r="E2031" s="216"/>
      <c r="F2031" s="216"/>
      <c r="G2031" s="435"/>
      <c r="H2031" s="216"/>
      <c r="I2031" s="435"/>
    </row>
    <row r="2032" spans="1:9" ht="12.75">
      <c r="A2032" s="669"/>
      <c r="B2032" s="670"/>
      <c r="C2032" s="216"/>
      <c r="D2032" s="216"/>
      <c r="E2032" s="216"/>
      <c r="F2032" s="216"/>
      <c r="G2032" s="435"/>
      <c r="H2032" s="216"/>
      <c r="I2032" s="435"/>
    </row>
    <row r="2033" spans="1:9" ht="12.75">
      <c r="A2033" s="669"/>
      <c r="B2033" s="670"/>
      <c r="C2033" s="216"/>
      <c r="D2033" s="216"/>
      <c r="E2033" s="216"/>
      <c r="F2033" s="216"/>
      <c r="G2033" s="435"/>
      <c r="H2033" s="216"/>
      <c r="I2033" s="435"/>
    </row>
    <row r="2034" spans="1:9" ht="12.75">
      <c r="A2034" s="669"/>
      <c r="B2034" s="670"/>
      <c r="C2034" s="216"/>
      <c r="D2034" s="216"/>
      <c r="E2034" s="216"/>
      <c r="F2034" s="216"/>
      <c r="G2034" s="435"/>
      <c r="H2034" s="216"/>
      <c r="I2034" s="435"/>
    </row>
    <row r="2035" spans="1:9" ht="12.75">
      <c r="A2035" s="669"/>
      <c r="B2035" s="670"/>
      <c r="C2035" s="216"/>
      <c r="D2035" s="216"/>
      <c r="E2035" s="216"/>
      <c r="F2035" s="216"/>
      <c r="G2035" s="435"/>
      <c r="H2035" s="216"/>
      <c r="I2035" s="435"/>
    </row>
    <row r="2036" spans="1:9" ht="12.75">
      <c r="A2036" s="669"/>
      <c r="B2036" s="670"/>
      <c r="C2036" s="216"/>
      <c r="D2036" s="216"/>
      <c r="E2036" s="216"/>
      <c r="F2036" s="216"/>
      <c r="G2036" s="435"/>
      <c r="H2036" s="216"/>
      <c r="I2036" s="435"/>
    </row>
    <row r="2037" spans="1:9" ht="12.75">
      <c r="A2037" s="669"/>
      <c r="B2037" s="670"/>
      <c r="C2037" s="216"/>
      <c r="D2037" s="216"/>
      <c r="E2037" s="216"/>
      <c r="F2037" s="216"/>
      <c r="G2037" s="435"/>
      <c r="H2037" s="216"/>
      <c r="I2037" s="435"/>
    </row>
    <row r="2038" spans="1:9" ht="12.75">
      <c r="A2038" s="669"/>
      <c r="B2038" s="670"/>
      <c r="C2038" s="216"/>
      <c r="D2038" s="216"/>
      <c r="E2038" s="216"/>
      <c r="F2038" s="216"/>
      <c r="G2038" s="435"/>
      <c r="H2038" s="216"/>
      <c r="I2038" s="435"/>
    </row>
    <row r="2039" spans="1:9" ht="12.75">
      <c r="A2039" s="669"/>
      <c r="B2039" s="670"/>
      <c r="C2039" s="216"/>
      <c r="D2039" s="216"/>
      <c r="E2039" s="216"/>
      <c r="F2039" s="216"/>
      <c r="G2039" s="435"/>
      <c r="H2039" s="216"/>
      <c r="I2039" s="435"/>
    </row>
    <row r="2040" spans="1:9" ht="12.75">
      <c r="A2040" s="669"/>
      <c r="B2040" s="670"/>
      <c r="C2040" s="216"/>
      <c r="D2040" s="216"/>
      <c r="E2040" s="216"/>
      <c r="F2040" s="216"/>
      <c r="G2040" s="435"/>
      <c r="H2040" s="216"/>
      <c r="I2040" s="435"/>
    </row>
    <row r="2041" spans="1:9" ht="12.75">
      <c r="A2041" s="669"/>
      <c r="B2041" s="670"/>
      <c r="C2041" s="216"/>
      <c r="D2041" s="216"/>
      <c r="E2041" s="216"/>
      <c r="F2041" s="216"/>
      <c r="G2041" s="435"/>
      <c r="H2041" s="216"/>
      <c r="I2041" s="435"/>
    </row>
    <row r="2042" spans="1:9" ht="12.75">
      <c r="A2042" s="669"/>
      <c r="B2042" s="670"/>
      <c r="C2042" s="216"/>
      <c r="D2042" s="216"/>
      <c r="E2042" s="216"/>
      <c r="F2042" s="216"/>
      <c r="G2042" s="435"/>
      <c r="H2042" s="216"/>
      <c r="I2042" s="435"/>
    </row>
    <row r="2043" spans="1:9" ht="12.75">
      <c r="A2043" s="669"/>
      <c r="B2043" s="670"/>
      <c r="C2043" s="216"/>
      <c r="D2043" s="216"/>
      <c r="E2043" s="216"/>
      <c r="F2043" s="216"/>
      <c r="G2043" s="435"/>
      <c r="H2043" s="216"/>
      <c r="I2043" s="435"/>
    </row>
    <row r="2044" spans="1:9" ht="12.75">
      <c r="A2044" s="669"/>
      <c r="B2044" s="670"/>
      <c r="C2044" s="216"/>
      <c r="D2044" s="216"/>
      <c r="E2044" s="216"/>
      <c r="F2044" s="216"/>
      <c r="G2044" s="435"/>
      <c r="H2044" s="216"/>
      <c r="I2044" s="435"/>
    </row>
    <row r="2045" spans="1:9" ht="12.75">
      <c r="A2045" s="669"/>
      <c r="B2045" s="670"/>
      <c r="C2045" s="216"/>
      <c r="D2045" s="216"/>
      <c r="E2045" s="216"/>
      <c r="F2045" s="216"/>
      <c r="G2045" s="435"/>
      <c r="H2045" s="216"/>
      <c r="I2045" s="435"/>
    </row>
    <row r="2046" spans="1:9" ht="12.75">
      <c r="A2046" s="669"/>
      <c r="B2046" s="670"/>
      <c r="C2046" s="216"/>
      <c r="D2046" s="216"/>
      <c r="E2046" s="216"/>
      <c r="F2046" s="216"/>
      <c r="G2046" s="435"/>
      <c r="H2046" s="216"/>
      <c r="I2046" s="435"/>
    </row>
    <row r="2047" spans="1:9" ht="12.75">
      <c r="A2047" s="669"/>
      <c r="B2047" s="670"/>
      <c r="C2047" s="216"/>
      <c r="D2047" s="216"/>
      <c r="E2047" s="216"/>
      <c r="F2047" s="216"/>
      <c r="G2047" s="435"/>
      <c r="H2047" s="216"/>
      <c r="I2047" s="435"/>
    </row>
    <row r="2048" spans="1:9" ht="12.75">
      <c r="A2048" s="669"/>
      <c r="B2048" s="670"/>
      <c r="C2048" s="216"/>
      <c r="D2048" s="216"/>
      <c r="E2048" s="216"/>
      <c r="F2048" s="216"/>
      <c r="G2048" s="435"/>
      <c r="H2048" s="216"/>
      <c r="I2048" s="435"/>
    </row>
    <row r="2049" spans="1:9" ht="12.75">
      <c r="A2049" s="669"/>
      <c r="B2049" s="670"/>
      <c r="C2049" s="216"/>
      <c r="D2049" s="216"/>
      <c r="E2049" s="216"/>
      <c r="F2049" s="216"/>
      <c r="G2049" s="435"/>
      <c r="H2049" s="216"/>
      <c r="I2049" s="435"/>
    </row>
    <row r="2050" spans="1:9" ht="12.75">
      <c r="A2050" s="669"/>
      <c r="B2050" s="670"/>
      <c r="C2050" s="216"/>
      <c r="D2050" s="216"/>
      <c r="E2050" s="216"/>
      <c r="F2050" s="216"/>
      <c r="G2050" s="435"/>
      <c r="H2050" s="216"/>
      <c r="I2050" s="435"/>
    </row>
    <row r="2051" spans="1:9" ht="12.75">
      <c r="A2051" s="669"/>
      <c r="B2051" s="670"/>
      <c r="C2051" s="216"/>
      <c r="D2051" s="216"/>
      <c r="E2051" s="216"/>
      <c r="F2051" s="216"/>
      <c r="G2051" s="435"/>
      <c r="H2051" s="216"/>
      <c r="I2051" s="435"/>
    </row>
    <row r="2052" spans="1:9" ht="12.75">
      <c r="A2052" s="669"/>
      <c r="B2052" s="670"/>
      <c r="C2052" s="216"/>
      <c r="D2052" s="216"/>
      <c r="E2052" s="216"/>
      <c r="F2052" s="216"/>
      <c r="G2052" s="435"/>
      <c r="H2052" s="216"/>
      <c r="I2052" s="435"/>
    </row>
    <row r="2053" spans="1:9" ht="12.75">
      <c r="A2053" s="669"/>
      <c r="B2053" s="670"/>
      <c r="C2053" s="216"/>
      <c r="D2053" s="216"/>
      <c r="E2053" s="216"/>
      <c r="F2053" s="216"/>
      <c r="G2053" s="435"/>
      <c r="H2053" s="216"/>
      <c r="I2053" s="435"/>
    </row>
    <row r="2054" spans="1:9" ht="12.75">
      <c r="A2054" s="669"/>
      <c r="B2054" s="670"/>
      <c r="C2054" s="216"/>
      <c r="D2054" s="216"/>
      <c r="E2054" s="216"/>
      <c r="F2054" s="216"/>
      <c r="G2054" s="435"/>
      <c r="H2054" s="216"/>
      <c r="I2054" s="435"/>
    </row>
    <row r="2055" spans="1:9" ht="12.75">
      <c r="A2055" s="669"/>
      <c r="B2055" s="670"/>
      <c r="C2055" s="216"/>
      <c r="D2055" s="216"/>
      <c r="E2055" s="216"/>
      <c r="F2055" s="216"/>
      <c r="G2055" s="435"/>
      <c r="H2055" s="216"/>
      <c r="I2055" s="435"/>
    </row>
    <row r="2056" spans="1:9" ht="12.75">
      <c r="A2056" s="669"/>
      <c r="B2056" s="670"/>
      <c r="C2056" s="216"/>
      <c r="D2056" s="216"/>
      <c r="E2056" s="216"/>
      <c r="F2056" s="216"/>
      <c r="G2056" s="435"/>
      <c r="H2056" s="216"/>
      <c r="I2056" s="435"/>
    </row>
    <row r="2057" spans="1:9" ht="12.75">
      <c r="A2057" s="669"/>
      <c r="B2057" s="670"/>
      <c r="C2057" s="216"/>
      <c r="D2057" s="216"/>
      <c r="E2057" s="216"/>
      <c r="F2057" s="216"/>
      <c r="G2057" s="435"/>
      <c r="H2057" s="216"/>
      <c r="I2057" s="435"/>
    </row>
    <row r="2058" spans="1:9" ht="12.75">
      <c r="A2058" s="669"/>
      <c r="B2058" s="670"/>
      <c r="C2058" s="216"/>
      <c r="D2058" s="216"/>
      <c r="E2058" s="216"/>
      <c r="F2058" s="216"/>
      <c r="G2058" s="435"/>
      <c r="H2058" s="216"/>
      <c r="I2058" s="435"/>
    </row>
    <row r="2059" spans="1:9" ht="12.75">
      <c r="A2059" s="669"/>
      <c r="B2059" s="670"/>
      <c r="C2059" s="216"/>
      <c r="D2059" s="216"/>
      <c r="E2059" s="216"/>
      <c r="F2059" s="216"/>
      <c r="G2059" s="435"/>
      <c r="H2059" s="216"/>
      <c r="I2059" s="435"/>
    </row>
    <row r="2060" spans="1:9" ht="12.75">
      <c r="A2060" s="669"/>
      <c r="B2060" s="670"/>
      <c r="C2060" s="216"/>
      <c r="D2060" s="216"/>
      <c r="E2060" s="216"/>
      <c r="F2060" s="216"/>
      <c r="G2060" s="435"/>
      <c r="H2060" s="216"/>
      <c r="I2060" s="435"/>
    </row>
    <row r="2061" spans="1:9" ht="12.75">
      <c r="A2061" s="669"/>
      <c r="B2061" s="670"/>
      <c r="C2061" s="216"/>
      <c r="D2061" s="216"/>
      <c r="E2061" s="216"/>
      <c r="F2061" s="216"/>
      <c r="G2061" s="435"/>
      <c r="H2061" s="216"/>
      <c r="I2061" s="435"/>
    </row>
    <row r="2062" spans="1:9" ht="12.75">
      <c r="A2062" s="669"/>
      <c r="B2062" s="670"/>
      <c r="C2062" s="216"/>
      <c r="D2062" s="216"/>
      <c r="E2062" s="216"/>
      <c r="F2062" s="216"/>
      <c r="G2062" s="435"/>
      <c r="H2062" s="216"/>
      <c r="I2062" s="435"/>
    </row>
    <row r="2063" spans="1:9" ht="12.75">
      <c r="A2063" s="669"/>
      <c r="B2063" s="670"/>
      <c r="C2063" s="216"/>
      <c r="D2063" s="216"/>
      <c r="E2063" s="216"/>
      <c r="F2063" s="216"/>
      <c r="G2063" s="435"/>
      <c r="H2063" s="216"/>
      <c r="I2063" s="435"/>
    </row>
    <row r="2064" spans="1:9" ht="12.75">
      <c r="A2064" s="669"/>
      <c r="B2064" s="670"/>
      <c r="C2064" s="216"/>
      <c r="D2064" s="216"/>
      <c r="E2064" s="216"/>
      <c r="F2064" s="216"/>
      <c r="G2064" s="435"/>
      <c r="H2064" s="216"/>
      <c r="I2064" s="435"/>
    </row>
    <row r="2065" spans="1:9" ht="12.75">
      <c r="A2065" s="669"/>
      <c r="B2065" s="670"/>
      <c r="C2065" s="216"/>
      <c r="D2065" s="216"/>
      <c r="E2065" s="216"/>
      <c r="F2065" s="216"/>
      <c r="G2065" s="435"/>
      <c r="H2065" s="216"/>
      <c r="I2065" s="435"/>
    </row>
    <row r="2066" spans="1:9" ht="12.75">
      <c r="A2066" s="669"/>
      <c r="B2066" s="670"/>
      <c r="C2066" s="216"/>
      <c r="D2066" s="216"/>
      <c r="E2066" s="216"/>
      <c r="F2066" s="216"/>
      <c r="G2066" s="435"/>
      <c r="H2066" s="216"/>
      <c r="I2066" s="435"/>
    </row>
    <row r="2067" spans="1:9" ht="12.75">
      <c r="A2067" s="669"/>
      <c r="B2067" s="670"/>
      <c r="C2067" s="216"/>
      <c r="D2067" s="216"/>
      <c r="E2067" s="216"/>
      <c r="F2067" s="216"/>
      <c r="G2067" s="435"/>
      <c r="H2067" s="216"/>
      <c r="I2067" s="435"/>
    </row>
    <row r="2068" spans="1:9" ht="12.75">
      <c r="A2068" s="669"/>
      <c r="B2068" s="670"/>
      <c r="C2068" s="216"/>
      <c r="D2068" s="216"/>
      <c r="E2068" s="216"/>
      <c r="F2068" s="216"/>
      <c r="G2068" s="435"/>
      <c r="H2068" s="216"/>
      <c r="I2068" s="435"/>
    </row>
    <row r="2069" spans="1:9" ht="12.75">
      <c r="A2069" s="669"/>
      <c r="B2069" s="670"/>
      <c r="C2069" s="216"/>
      <c r="D2069" s="216"/>
      <c r="E2069" s="216"/>
      <c r="F2069" s="216"/>
      <c r="G2069" s="435"/>
      <c r="H2069" s="216"/>
      <c r="I2069" s="435"/>
    </row>
    <row r="2070" spans="1:9" ht="12.75">
      <c r="A2070" s="669"/>
      <c r="B2070" s="670"/>
      <c r="C2070" s="216"/>
      <c r="D2070" s="216"/>
      <c r="E2070" s="216"/>
      <c r="F2070" s="216"/>
      <c r="G2070" s="435"/>
      <c r="H2070" s="216"/>
      <c r="I2070" s="435"/>
    </row>
    <row r="2071" spans="1:9" ht="12.75">
      <c r="A2071" s="669"/>
      <c r="B2071" s="670"/>
      <c r="C2071" s="216"/>
      <c r="D2071" s="216"/>
      <c r="E2071" s="216"/>
      <c r="F2071" s="216"/>
      <c r="G2071" s="435"/>
      <c r="H2071" s="216"/>
      <c r="I2071" s="435"/>
    </row>
    <row r="2072" spans="1:9" ht="12.75">
      <c r="A2072" s="669"/>
      <c r="B2072" s="670"/>
      <c r="C2072" s="216"/>
      <c r="D2072" s="216"/>
      <c r="E2072" s="216"/>
      <c r="F2072" s="216"/>
      <c r="G2072" s="435"/>
      <c r="H2072" s="216"/>
      <c r="I2072" s="435"/>
    </row>
    <row r="2073" spans="1:9" ht="12.75">
      <c r="A2073" s="669"/>
      <c r="B2073" s="670"/>
      <c r="C2073" s="216"/>
      <c r="D2073" s="216"/>
      <c r="E2073" s="216"/>
      <c r="F2073" s="216"/>
      <c r="G2073" s="435"/>
      <c r="H2073" s="216"/>
      <c r="I2073" s="435"/>
    </row>
    <row r="2074" spans="1:9" ht="12.75">
      <c r="A2074" s="669"/>
      <c r="B2074" s="670"/>
      <c r="C2074" s="216"/>
      <c r="D2074" s="216"/>
      <c r="E2074" s="216"/>
      <c r="F2074" s="216"/>
      <c r="G2074" s="435"/>
      <c r="H2074" s="216"/>
      <c r="I2074" s="435"/>
    </row>
    <row r="2075" spans="1:9" ht="12.75">
      <c r="A2075" s="669"/>
      <c r="B2075" s="670"/>
      <c r="C2075" s="216"/>
      <c r="D2075" s="216"/>
      <c r="E2075" s="216"/>
      <c r="F2075" s="216"/>
      <c r="G2075" s="435"/>
      <c r="H2075" s="216"/>
      <c r="I2075" s="435"/>
    </row>
    <row r="2076" spans="1:9" ht="12.75">
      <c r="A2076" s="669"/>
      <c r="B2076" s="670"/>
      <c r="C2076" s="216"/>
      <c r="D2076" s="216"/>
      <c r="E2076" s="216"/>
      <c r="F2076" s="216"/>
      <c r="G2076" s="435"/>
      <c r="H2076" s="216"/>
      <c r="I2076" s="435"/>
    </row>
    <row r="2077" spans="1:9" ht="12.75">
      <c r="A2077" s="669"/>
      <c r="B2077" s="670"/>
      <c r="C2077" s="216"/>
      <c r="D2077" s="216"/>
      <c r="E2077" s="216"/>
      <c r="F2077" s="216"/>
      <c r="G2077" s="435"/>
      <c r="H2077" s="216"/>
      <c r="I2077" s="435"/>
    </row>
    <row r="2078" spans="1:9" ht="12.75">
      <c r="A2078" s="669"/>
      <c r="B2078" s="670"/>
      <c r="C2078" s="216"/>
      <c r="D2078" s="216"/>
      <c r="E2078" s="216"/>
      <c r="F2078" s="216"/>
      <c r="G2078" s="435"/>
      <c r="H2078" s="216"/>
      <c r="I2078" s="435"/>
    </row>
    <row r="2079" spans="1:9" ht="12.75">
      <c r="A2079" s="669"/>
      <c r="B2079" s="670"/>
      <c r="C2079" s="216"/>
      <c r="D2079" s="216"/>
      <c r="E2079" s="216"/>
      <c r="F2079" s="216"/>
      <c r="G2079" s="435"/>
      <c r="H2079" s="216"/>
      <c r="I2079" s="435"/>
    </row>
    <row r="2080" spans="1:9" ht="12.75">
      <c r="A2080" s="669"/>
      <c r="B2080" s="670"/>
      <c r="C2080" s="216"/>
      <c r="D2080" s="216"/>
      <c r="E2080" s="216"/>
      <c r="F2080" s="216"/>
      <c r="G2080" s="435"/>
      <c r="H2080" s="216"/>
      <c r="I2080" s="435"/>
    </row>
    <row r="2081" spans="1:9" ht="12.75">
      <c r="A2081" s="669"/>
      <c r="B2081" s="670"/>
      <c r="C2081" s="216"/>
      <c r="D2081" s="216"/>
      <c r="E2081" s="216"/>
      <c r="F2081" s="216"/>
      <c r="G2081" s="435"/>
      <c r="H2081" s="216"/>
      <c r="I2081" s="435"/>
    </row>
    <row r="2082" spans="1:9" ht="12.75">
      <c r="A2082" s="669"/>
      <c r="B2082" s="670"/>
      <c r="C2082" s="216"/>
      <c r="D2082" s="216"/>
      <c r="E2082" s="216"/>
      <c r="F2082" s="216"/>
      <c r="G2082" s="435"/>
      <c r="H2082" s="216"/>
      <c r="I2082" s="435"/>
    </row>
    <row r="2083" spans="1:9" ht="12.75">
      <c r="A2083" s="669"/>
      <c r="B2083" s="670"/>
      <c r="C2083" s="216"/>
      <c r="D2083" s="216"/>
      <c r="E2083" s="216"/>
      <c r="F2083" s="216"/>
      <c r="G2083" s="435"/>
      <c r="H2083" s="216"/>
      <c r="I2083" s="435"/>
    </row>
    <row r="2084" spans="1:9" ht="12.75">
      <c r="A2084" s="669"/>
      <c r="B2084" s="670"/>
      <c r="C2084" s="216"/>
      <c r="D2084" s="216"/>
      <c r="E2084" s="216"/>
      <c r="F2084" s="216"/>
      <c r="G2084" s="435"/>
      <c r="H2084" s="216"/>
      <c r="I2084" s="435"/>
    </row>
    <row r="2085" spans="1:9" ht="12.75">
      <c r="A2085" s="669"/>
      <c r="B2085" s="670"/>
      <c r="C2085" s="216"/>
      <c r="D2085" s="216"/>
      <c r="E2085" s="216"/>
      <c r="F2085" s="216"/>
      <c r="G2085" s="435"/>
      <c r="H2085" s="216"/>
      <c r="I2085" s="435"/>
    </row>
    <row r="2086" spans="1:9" ht="12.75">
      <c r="A2086" s="669"/>
      <c r="B2086" s="670"/>
      <c r="C2086" s="216"/>
      <c r="D2086" s="216"/>
      <c r="E2086" s="216"/>
      <c r="F2086" s="216"/>
      <c r="G2086" s="435"/>
      <c r="H2086" s="216"/>
      <c r="I2086" s="435"/>
    </row>
    <row r="2087" spans="1:9" ht="12.75">
      <c r="A2087" s="669"/>
      <c r="B2087" s="670"/>
      <c r="C2087" s="216"/>
      <c r="D2087" s="216"/>
      <c r="E2087" s="216"/>
      <c r="F2087" s="216"/>
      <c r="G2087" s="435"/>
      <c r="H2087" s="216"/>
      <c r="I2087" s="435"/>
    </row>
    <row r="2088" spans="1:9" ht="12.75">
      <c r="A2088" s="669"/>
      <c r="B2088" s="670"/>
      <c r="C2088" s="216"/>
      <c r="D2088" s="216"/>
      <c r="E2088" s="216"/>
      <c r="F2088" s="216"/>
      <c r="G2088" s="435"/>
      <c r="H2088" s="216"/>
      <c r="I2088" s="435"/>
    </row>
    <row r="2089" spans="1:9" ht="12.75">
      <c r="A2089" s="669"/>
      <c r="B2089" s="670"/>
      <c r="C2089" s="216"/>
      <c r="D2089" s="216"/>
      <c r="E2089" s="216"/>
      <c r="F2089" s="216"/>
      <c r="G2089" s="435"/>
      <c r="H2089" s="216"/>
      <c r="I2089" s="435"/>
    </row>
    <row r="2090" spans="1:9" ht="12.75">
      <c r="A2090" s="669"/>
      <c r="B2090" s="670"/>
      <c r="C2090" s="216"/>
      <c r="D2090" s="216"/>
      <c r="E2090" s="216"/>
      <c r="F2090" s="216"/>
      <c r="G2090" s="435"/>
      <c r="H2090" s="216"/>
      <c r="I2090" s="435"/>
    </row>
    <row r="2091" spans="1:9" ht="12.75">
      <c r="A2091" s="669"/>
      <c r="B2091" s="670"/>
      <c r="C2091" s="216"/>
      <c r="D2091" s="216"/>
      <c r="E2091" s="216"/>
      <c r="F2091" s="216"/>
      <c r="G2091" s="435"/>
      <c r="H2091" s="216"/>
      <c r="I2091" s="435"/>
    </row>
    <row r="2092" spans="1:9" ht="12.75">
      <c r="A2092" s="669"/>
      <c r="B2092" s="670"/>
      <c r="C2092" s="216"/>
      <c r="D2092" s="216"/>
      <c r="E2092" s="216"/>
      <c r="F2092" s="216"/>
      <c r="G2092" s="435"/>
      <c r="H2092" s="216"/>
      <c r="I2092" s="435"/>
    </row>
    <row r="2093" spans="1:9" ht="12.75">
      <c r="A2093" s="669"/>
      <c r="B2093" s="670"/>
      <c r="C2093" s="216"/>
      <c r="D2093" s="216"/>
      <c r="E2093" s="216"/>
      <c r="F2093" s="216"/>
      <c r="G2093" s="435"/>
      <c r="H2093" s="216"/>
      <c r="I2093" s="435"/>
    </row>
    <row r="2094" spans="1:9" ht="12.75">
      <c r="A2094" s="669"/>
      <c r="B2094" s="670"/>
      <c r="C2094" s="216"/>
      <c r="D2094" s="216"/>
      <c r="E2094" s="216"/>
      <c r="F2094" s="216"/>
      <c r="G2094" s="435"/>
      <c r="H2094" s="216"/>
      <c r="I2094" s="435"/>
    </row>
    <row r="2095" spans="1:9" ht="12.75">
      <c r="A2095" s="669"/>
      <c r="B2095" s="670"/>
      <c r="C2095" s="216"/>
      <c r="D2095" s="216"/>
      <c r="E2095" s="216"/>
      <c r="F2095" s="216"/>
      <c r="G2095" s="435"/>
      <c r="H2095" s="216"/>
      <c r="I2095" s="435"/>
    </row>
    <row r="2096" spans="1:9" ht="12.75">
      <c r="A2096" s="669"/>
      <c r="B2096" s="670"/>
      <c r="C2096" s="216"/>
      <c r="D2096" s="216"/>
      <c r="E2096" s="216"/>
      <c r="F2096" s="216"/>
      <c r="G2096" s="435"/>
      <c r="H2096" s="216"/>
      <c r="I2096" s="435"/>
    </row>
    <row r="2097" spans="1:9" ht="12.75">
      <c r="A2097" s="669"/>
      <c r="B2097" s="670"/>
      <c r="C2097" s="216"/>
      <c r="D2097" s="216"/>
      <c r="E2097" s="216"/>
      <c r="F2097" s="216"/>
      <c r="G2097" s="435"/>
      <c r="H2097" s="216"/>
      <c r="I2097" s="435"/>
    </row>
    <row r="2098" spans="1:9" ht="12.75">
      <c r="A2098" s="669"/>
      <c r="B2098" s="670"/>
      <c r="C2098" s="216"/>
      <c r="D2098" s="216"/>
      <c r="E2098" s="216"/>
      <c r="F2098" s="216"/>
      <c r="G2098" s="435"/>
      <c r="H2098" s="216"/>
      <c r="I2098" s="435"/>
    </row>
    <row r="2099" spans="1:9" ht="12.75">
      <c r="A2099" s="669"/>
      <c r="B2099" s="670"/>
      <c r="C2099" s="216"/>
      <c r="D2099" s="216"/>
      <c r="E2099" s="216"/>
      <c r="F2099" s="216"/>
      <c r="G2099" s="435"/>
      <c r="H2099" s="216"/>
      <c r="I2099" s="435"/>
    </row>
    <row r="2100" spans="1:9" ht="12.75">
      <c r="A2100" s="669"/>
      <c r="B2100" s="670"/>
      <c r="C2100" s="216"/>
      <c r="D2100" s="216"/>
      <c r="E2100" s="216"/>
      <c r="F2100" s="216"/>
      <c r="G2100" s="435"/>
      <c r="H2100" s="216"/>
      <c r="I2100" s="435"/>
    </row>
    <row r="2101" spans="1:9" ht="12.75">
      <c r="A2101" s="669"/>
      <c r="B2101" s="670"/>
      <c r="C2101" s="216"/>
      <c r="D2101" s="216"/>
      <c r="E2101" s="216"/>
      <c r="F2101" s="216"/>
      <c r="G2101" s="435"/>
      <c r="H2101" s="216"/>
      <c r="I2101" s="435"/>
    </row>
    <row r="2102" spans="1:9" ht="12.75">
      <c r="A2102" s="669"/>
      <c r="B2102" s="670"/>
      <c r="C2102" s="216"/>
      <c r="D2102" s="216"/>
      <c r="E2102" s="216"/>
      <c r="F2102" s="216"/>
      <c r="G2102" s="435"/>
      <c r="H2102" s="216"/>
      <c r="I2102" s="435"/>
    </row>
    <row r="2103" spans="1:9" ht="12.75">
      <c r="A2103" s="669"/>
      <c r="B2103" s="670"/>
      <c r="C2103" s="216"/>
      <c r="D2103" s="216"/>
      <c r="E2103" s="216"/>
      <c r="F2103" s="216"/>
      <c r="G2103" s="435"/>
      <c r="H2103" s="216"/>
      <c r="I2103" s="435"/>
    </row>
    <row r="2104" spans="1:9" ht="12.75">
      <c r="A2104" s="669"/>
      <c r="B2104" s="670"/>
      <c r="C2104" s="216"/>
      <c r="D2104" s="216"/>
      <c r="E2104" s="216"/>
      <c r="F2104" s="216"/>
      <c r="G2104" s="435"/>
      <c r="H2104" s="216"/>
      <c r="I2104" s="435"/>
    </row>
    <row r="2105" spans="1:9" ht="12.75">
      <c r="A2105" s="669"/>
      <c r="B2105" s="670"/>
      <c r="C2105" s="216"/>
      <c r="D2105" s="216"/>
      <c r="E2105" s="216"/>
      <c r="F2105" s="216"/>
      <c r="G2105" s="435"/>
      <c r="H2105" s="216"/>
      <c r="I2105" s="435"/>
    </row>
    <row r="2106" spans="1:9" ht="12.75">
      <c r="A2106" s="669"/>
      <c r="B2106" s="670"/>
      <c r="C2106" s="216"/>
      <c r="D2106" s="216"/>
      <c r="E2106" s="216"/>
      <c r="F2106" s="216"/>
      <c r="G2106" s="435"/>
      <c r="H2106" s="216"/>
      <c r="I2106" s="435"/>
    </row>
    <row r="2107" spans="1:9" ht="12.75">
      <c r="A2107" s="669"/>
      <c r="B2107" s="670"/>
      <c r="C2107" s="216"/>
      <c r="D2107" s="216"/>
      <c r="E2107" s="216"/>
      <c r="F2107" s="216"/>
      <c r="G2107" s="435"/>
      <c r="H2107" s="216"/>
      <c r="I2107" s="435"/>
    </row>
    <row r="2108" spans="1:9" ht="12.75">
      <c r="A2108" s="669"/>
      <c r="B2108" s="670"/>
      <c r="C2108" s="216"/>
      <c r="D2108" s="216"/>
      <c r="E2108" s="216"/>
      <c r="F2108" s="216"/>
      <c r="G2108" s="435"/>
      <c r="H2108" s="216"/>
      <c r="I2108" s="435"/>
    </row>
    <row r="2109" spans="1:9" ht="12.75">
      <c r="A2109" s="669"/>
      <c r="B2109" s="670"/>
      <c r="C2109" s="216"/>
      <c r="D2109" s="216"/>
      <c r="E2109" s="216"/>
      <c r="F2109" s="216"/>
      <c r="G2109" s="435"/>
      <c r="H2109" s="216"/>
      <c r="I2109" s="435"/>
    </row>
    <row r="2110" spans="1:9" ht="12.75">
      <c r="A2110" s="669"/>
      <c r="B2110" s="670"/>
      <c r="C2110" s="216"/>
      <c r="D2110" s="216"/>
      <c r="E2110" s="216"/>
      <c r="F2110" s="216"/>
      <c r="G2110" s="435"/>
      <c r="H2110" s="216"/>
      <c r="I2110" s="435"/>
    </row>
    <row r="2111" spans="1:9" ht="12.75">
      <c r="A2111" s="669"/>
      <c r="B2111" s="670"/>
      <c r="C2111" s="216"/>
      <c r="D2111" s="216"/>
      <c r="E2111" s="216"/>
      <c r="F2111" s="216"/>
      <c r="G2111" s="435"/>
      <c r="H2111" s="216"/>
      <c r="I2111" s="435"/>
    </row>
    <row r="2112" spans="1:9" ht="12.75">
      <c r="A2112" s="669"/>
      <c r="B2112" s="670"/>
      <c r="C2112" s="216"/>
      <c r="D2112" s="216"/>
      <c r="E2112" s="216"/>
      <c r="F2112" s="216"/>
      <c r="G2112" s="435"/>
      <c r="H2112" s="216"/>
      <c r="I2112" s="435"/>
    </row>
    <row r="2113" spans="1:9" ht="12.75">
      <c r="A2113" s="669"/>
      <c r="B2113" s="670"/>
      <c r="C2113" s="216"/>
      <c r="D2113" s="216"/>
      <c r="E2113" s="216"/>
      <c r="F2113" s="216"/>
      <c r="G2113" s="435"/>
      <c r="H2113" s="216"/>
      <c r="I2113" s="435"/>
    </row>
    <row r="2114" spans="1:9" ht="12.75">
      <c r="A2114" s="669"/>
      <c r="B2114" s="670"/>
      <c r="C2114" s="216"/>
      <c r="D2114" s="216"/>
      <c r="E2114" s="216"/>
      <c r="F2114" s="216"/>
      <c r="G2114" s="435"/>
      <c r="H2114" s="216"/>
      <c r="I2114" s="435"/>
    </row>
    <row r="2115" spans="1:9" ht="12.75">
      <c r="A2115" s="669"/>
      <c r="B2115" s="670"/>
      <c r="C2115" s="216"/>
      <c r="D2115" s="216"/>
      <c r="E2115" s="216"/>
      <c r="F2115" s="216"/>
      <c r="G2115" s="435"/>
      <c r="H2115" s="216"/>
      <c r="I2115" s="435"/>
    </row>
    <row r="2116" spans="1:9" ht="12.75">
      <c r="A2116" s="669"/>
      <c r="B2116" s="670"/>
      <c r="C2116" s="216"/>
      <c r="D2116" s="216"/>
      <c r="E2116" s="216"/>
      <c r="F2116" s="216"/>
      <c r="G2116" s="435"/>
      <c r="H2116" s="216"/>
      <c r="I2116" s="435"/>
    </row>
    <row r="2117" spans="1:9" ht="12.75">
      <c r="A2117" s="669"/>
      <c r="B2117" s="670"/>
      <c r="C2117" s="216"/>
      <c r="D2117" s="216"/>
      <c r="E2117" s="216"/>
      <c r="F2117" s="216"/>
      <c r="G2117" s="435"/>
      <c r="H2117" s="216"/>
      <c r="I2117" s="435"/>
    </row>
    <row r="2118" spans="1:9" ht="12.75">
      <c r="A2118" s="669"/>
      <c r="B2118" s="670"/>
      <c r="C2118" s="216"/>
      <c r="D2118" s="216"/>
      <c r="E2118" s="216"/>
      <c r="F2118" s="216"/>
      <c r="G2118" s="435"/>
      <c r="H2118" s="216"/>
      <c r="I2118" s="435"/>
    </row>
    <row r="2119" spans="1:9" ht="12.75">
      <c r="A2119" s="669"/>
      <c r="B2119" s="670"/>
      <c r="C2119" s="216"/>
      <c r="D2119" s="216"/>
      <c r="E2119" s="216"/>
      <c r="F2119" s="216"/>
      <c r="G2119" s="435"/>
      <c r="H2119" s="216"/>
      <c r="I2119" s="435"/>
    </row>
    <row r="2120" spans="1:9" ht="12.75">
      <c r="A2120" s="669"/>
      <c r="B2120" s="670"/>
      <c r="C2120" s="216"/>
      <c r="D2120" s="216"/>
      <c r="E2120" s="216"/>
      <c r="F2120" s="216"/>
      <c r="G2120" s="435"/>
      <c r="H2120" s="216"/>
      <c r="I2120" s="435"/>
    </row>
    <row r="2121" spans="1:9" ht="12.75">
      <c r="A2121" s="669"/>
      <c r="B2121" s="670"/>
      <c r="C2121" s="216"/>
      <c r="D2121" s="216"/>
      <c r="E2121" s="216"/>
      <c r="F2121" s="216"/>
      <c r="G2121" s="435"/>
      <c r="H2121" s="216"/>
      <c r="I2121" s="435"/>
    </row>
    <row r="2122" spans="1:9" ht="12.75">
      <c r="A2122" s="669"/>
      <c r="B2122" s="670"/>
      <c r="C2122" s="216"/>
      <c r="D2122" s="216"/>
      <c r="E2122" s="216"/>
      <c r="F2122" s="216"/>
      <c r="G2122" s="435"/>
      <c r="H2122" s="216"/>
      <c r="I2122" s="435"/>
    </row>
    <row r="2123" spans="1:9" ht="12.75">
      <c r="A2123" s="669"/>
      <c r="B2123" s="670"/>
      <c r="C2123" s="216"/>
      <c r="D2123" s="216"/>
      <c r="E2123" s="216"/>
      <c r="F2123" s="216"/>
      <c r="G2123" s="435"/>
      <c r="H2123" s="216"/>
      <c r="I2123" s="435"/>
    </row>
    <row r="2124" spans="1:9" ht="12.75">
      <c r="A2124" s="669"/>
      <c r="B2124" s="670"/>
      <c r="C2124" s="216"/>
      <c r="D2124" s="216"/>
      <c r="E2124" s="216"/>
      <c r="F2124" s="216"/>
      <c r="G2124" s="435"/>
      <c r="H2124" s="216"/>
      <c r="I2124" s="435"/>
    </row>
    <row r="2125" spans="1:9" ht="12.75">
      <c r="A2125" s="669"/>
      <c r="B2125" s="670"/>
      <c r="C2125" s="216"/>
      <c r="D2125" s="216"/>
      <c r="E2125" s="216"/>
      <c r="F2125" s="216"/>
      <c r="G2125" s="435"/>
      <c r="H2125" s="216"/>
      <c r="I2125" s="435"/>
    </row>
    <row r="2126" spans="1:9" ht="12.75">
      <c r="A2126" s="669"/>
      <c r="B2126" s="670"/>
      <c r="C2126" s="216"/>
      <c r="D2126" s="216"/>
      <c r="E2126" s="216"/>
      <c r="F2126" s="216"/>
      <c r="G2126" s="435"/>
      <c r="H2126" s="216"/>
      <c r="I2126" s="435"/>
    </row>
    <row r="2127" spans="1:9" ht="12.75">
      <c r="A2127" s="669"/>
      <c r="B2127" s="670"/>
      <c r="C2127" s="216"/>
      <c r="D2127" s="216"/>
      <c r="E2127" s="216"/>
      <c r="F2127" s="216"/>
      <c r="G2127" s="435"/>
      <c r="H2127" s="216"/>
      <c r="I2127" s="435"/>
    </row>
    <row r="2128" spans="1:9" ht="12.75">
      <c r="A2128" s="669"/>
      <c r="B2128" s="670"/>
      <c r="C2128" s="216"/>
      <c r="D2128" s="216"/>
      <c r="E2128" s="216"/>
      <c r="F2128" s="216"/>
      <c r="G2128" s="435"/>
      <c r="H2128" s="216"/>
      <c r="I2128" s="435"/>
    </row>
    <row r="2129" spans="1:9" ht="12.75">
      <c r="A2129" s="669"/>
      <c r="B2129" s="670"/>
      <c r="C2129" s="216"/>
      <c r="D2129" s="216"/>
      <c r="E2129" s="216"/>
      <c r="F2129" s="216"/>
      <c r="G2129" s="435"/>
      <c r="H2129" s="216"/>
      <c r="I2129" s="435"/>
    </row>
    <row r="2130" spans="1:9" ht="12.75">
      <c r="A2130" s="669"/>
      <c r="B2130" s="670"/>
      <c r="C2130" s="216"/>
      <c r="D2130" s="216"/>
      <c r="E2130" s="216"/>
      <c r="F2130" s="216"/>
      <c r="G2130" s="435"/>
      <c r="H2130" s="216"/>
      <c r="I2130" s="435"/>
    </row>
    <row r="2131" spans="1:9" ht="12.75">
      <c r="A2131" s="669"/>
      <c r="B2131" s="670"/>
      <c r="C2131" s="216"/>
      <c r="D2131" s="216"/>
      <c r="E2131" s="216"/>
      <c r="F2131" s="216"/>
      <c r="G2131" s="435"/>
      <c r="H2131" s="216"/>
      <c r="I2131" s="435"/>
    </row>
    <row r="2132" spans="1:9" ht="12.75">
      <c r="A2132" s="669"/>
      <c r="B2132" s="670"/>
      <c r="C2132" s="216"/>
      <c r="D2132" s="216"/>
      <c r="E2132" s="216"/>
      <c r="F2132" s="216"/>
      <c r="G2132" s="435"/>
      <c r="H2132" s="216"/>
      <c r="I2132" s="435"/>
    </row>
    <row r="2133" spans="1:9" ht="12.75">
      <c r="A2133" s="669"/>
      <c r="B2133" s="670"/>
      <c r="C2133" s="216"/>
      <c r="D2133" s="216"/>
      <c r="E2133" s="216"/>
      <c r="F2133" s="216"/>
      <c r="G2133" s="435"/>
      <c r="H2133" s="216"/>
      <c r="I2133" s="435"/>
    </row>
    <row r="2134" spans="1:9" ht="12.75">
      <c r="A2134" s="669"/>
      <c r="B2134" s="670"/>
      <c r="C2134" s="216"/>
      <c r="D2134" s="216"/>
      <c r="E2134" s="216"/>
      <c r="F2134" s="216"/>
      <c r="G2134" s="435"/>
      <c r="H2134" s="216"/>
      <c r="I2134" s="435"/>
    </row>
    <row r="2135" spans="1:9" ht="12.75">
      <c r="A2135" s="669"/>
      <c r="B2135" s="670"/>
      <c r="C2135" s="216"/>
      <c r="D2135" s="216"/>
      <c r="E2135" s="216"/>
      <c r="F2135" s="216"/>
      <c r="G2135" s="435"/>
      <c r="H2135" s="216"/>
      <c r="I2135" s="435"/>
    </row>
    <row r="2136" spans="1:9" ht="12.75">
      <c r="A2136" s="669"/>
      <c r="B2136" s="670"/>
      <c r="C2136" s="216"/>
      <c r="D2136" s="216"/>
      <c r="E2136" s="216"/>
      <c r="F2136" s="216"/>
      <c r="G2136" s="435"/>
      <c r="H2136" s="216"/>
      <c r="I2136" s="435"/>
    </row>
    <row r="2137" spans="1:9" ht="12.75">
      <c r="A2137" s="669"/>
      <c r="B2137" s="670"/>
      <c r="C2137" s="216"/>
      <c r="D2137" s="216"/>
      <c r="E2137" s="216"/>
      <c r="F2137" s="216"/>
      <c r="G2137" s="435"/>
      <c r="H2137" s="216"/>
      <c r="I2137" s="435"/>
    </row>
    <row r="2138" spans="1:9" ht="12.75">
      <c r="A2138" s="669"/>
      <c r="B2138" s="670"/>
      <c r="C2138" s="216"/>
      <c r="D2138" s="216"/>
      <c r="E2138" s="216"/>
      <c r="F2138" s="216"/>
      <c r="G2138" s="435"/>
      <c r="H2138" s="216"/>
      <c r="I2138" s="435"/>
    </row>
    <row r="2139" spans="1:9" ht="12.75">
      <c r="A2139" s="669"/>
      <c r="B2139" s="670"/>
      <c r="C2139" s="216"/>
      <c r="D2139" s="216"/>
      <c r="E2139" s="216"/>
      <c r="F2139" s="216"/>
      <c r="G2139" s="435"/>
      <c r="H2139" s="216"/>
      <c r="I2139" s="435"/>
    </row>
    <row r="2140" spans="1:9" ht="12.75">
      <c r="A2140" s="669"/>
      <c r="B2140" s="670"/>
      <c r="C2140" s="216"/>
      <c r="D2140" s="216"/>
      <c r="E2140" s="216"/>
      <c r="F2140" s="216"/>
      <c r="G2140" s="435"/>
      <c r="H2140" s="216"/>
      <c r="I2140" s="435"/>
    </row>
    <row r="2141" spans="1:9" ht="12.75">
      <c r="A2141" s="669"/>
      <c r="B2141" s="670"/>
      <c r="C2141" s="216"/>
      <c r="D2141" s="216"/>
      <c r="E2141" s="216"/>
      <c r="F2141" s="216"/>
      <c r="G2141" s="435"/>
      <c r="H2141" s="216"/>
      <c r="I2141" s="435"/>
    </row>
    <row r="2142" spans="1:9" ht="12.75">
      <c r="A2142" s="669"/>
      <c r="B2142" s="670"/>
      <c r="C2142" s="216"/>
      <c r="D2142" s="216"/>
      <c r="E2142" s="216"/>
      <c r="F2142" s="216"/>
      <c r="G2142" s="435"/>
      <c r="H2142" s="216"/>
      <c r="I2142" s="435"/>
    </row>
    <row r="2143" spans="1:9" ht="12.75">
      <c r="A2143" s="669"/>
      <c r="B2143" s="670"/>
      <c r="C2143" s="216"/>
      <c r="D2143" s="216"/>
      <c r="E2143" s="216"/>
      <c r="F2143" s="216"/>
      <c r="G2143" s="435"/>
      <c r="H2143" s="216"/>
      <c r="I2143" s="435"/>
    </row>
    <row r="2144" spans="1:9" ht="12.75">
      <c r="A2144" s="669"/>
      <c r="B2144" s="670"/>
      <c r="C2144" s="216"/>
      <c r="D2144" s="216"/>
      <c r="E2144" s="216"/>
      <c r="F2144" s="216"/>
      <c r="G2144" s="435"/>
      <c r="H2144" s="216"/>
      <c r="I2144" s="435"/>
    </row>
    <row r="2145" spans="1:9" ht="12.75">
      <c r="A2145" s="669"/>
      <c r="B2145" s="670"/>
      <c r="C2145" s="216"/>
      <c r="D2145" s="216"/>
      <c r="E2145" s="216"/>
      <c r="F2145" s="216"/>
      <c r="G2145" s="435"/>
      <c r="H2145" s="216"/>
      <c r="I2145" s="435"/>
    </row>
    <row r="2146" spans="1:9" ht="12.75">
      <c r="A2146" s="669"/>
      <c r="B2146" s="670"/>
      <c r="C2146" s="216"/>
      <c r="D2146" s="216"/>
      <c r="E2146" s="216"/>
      <c r="F2146" s="216"/>
      <c r="G2146" s="435"/>
      <c r="H2146" s="216"/>
      <c r="I2146" s="435"/>
    </row>
    <row r="2147" spans="1:9" ht="12.75">
      <c r="A2147" s="669"/>
      <c r="B2147" s="670"/>
      <c r="C2147" s="216"/>
      <c r="D2147" s="216"/>
      <c r="E2147" s="216"/>
      <c r="F2147" s="216"/>
      <c r="G2147" s="435"/>
      <c r="H2147" s="216"/>
      <c r="I2147" s="435"/>
    </row>
    <row r="2148" spans="1:9" ht="12.75">
      <c r="A2148" s="669"/>
      <c r="B2148" s="670"/>
      <c r="C2148" s="216"/>
      <c r="D2148" s="216"/>
      <c r="E2148" s="216"/>
      <c r="F2148" s="216"/>
      <c r="G2148" s="435"/>
      <c r="H2148" s="216"/>
      <c r="I2148" s="435"/>
    </row>
    <row r="2149" spans="1:9" ht="12.75">
      <c r="A2149" s="669"/>
      <c r="B2149" s="670"/>
      <c r="C2149" s="216"/>
      <c r="D2149" s="216"/>
      <c r="E2149" s="216"/>
      <c r="F2149" s="216"/>
      <c r="G2149" s="435"/>
      <c r="H2149" s="216"/>
      <c r="I2149" s="435"/>
    </row>
    <row r="2150" spans="1:9" ht="12.75">
      <c r="A2150" s="669"/>
      <c r="B2150" s="670"/>
      <c r="C2150" s="216"/>
      <c r="D2150" s="216"/>
      <c r="E2150" s="216"/>
      <c r="F2150" s="216"/>
      <c r="G2150" s="435"/>
      <c r="H2150" s="216"/>
      <c r="I2150" s="435"/>
    </row>
    <row r="2151" spans="1:9" ht="12.75">
      <c r="A2151" s="669"/>
      <c r="B2151" s="670"/>
      <c r="C2151" s="216"/>
      <c r="D2151" s="216"/>
      <c r="E2151" s="216"/>
      <c r="F2151" s="216"/>
      <c r="G2151" s="435"/>
      <c r="H2151" s="216"/>
      <c r="I2151" s="435"/>
    </row>
    <row r="2152" spans="1:9" ht="12.75">
      <c r="A2152" s="669"/>
      <c r="B2152" s="670"/>
      <c r="C2152" s="216"/>
      <c r="D2152" s="216"/>
      <c r="E2152" s="216"/>
      <c r="F2152" s="216"/>
      <c r="G2152" s="435"/>
      <c r="H2152" s="216"/>
      <c r="I2152" s="435"/>
    </row>
    <row r="2153" spans="1:9" ht="12.75">
      <c r="A2153" s="669"/>
      <c r="B2153" s="670"/>
      <c r="C2153" s="216"/>
      <c r="D2153" s="216"/>
      <c r="E2153" s="216"/>
      <c r="F2153" s="216"/>
      <c r="G2153" s="435"/>
      <c r="H2153" s="216"/>
      <c r="I2153" s="435"/>
    </row>
    <row r="2154" spans="1:9" ht="12.75">
      <c r="A2154" s="669"/>
      <c r="B2154" s="670"/>
      <c r="C2154" s="216"/>
      <c r="D2154" s="216"/>
      <c r="E2154" s="216"/>
      <c r="F2154" s="216"/>
      <c r="G2154" s="435"/>
      <c r="H2154" s="216"/>
      <c r="I2154" s="435"/>
    </row>
    <row r="2155" spans="1:9" ht="12.75">
      <c r="A2155" s="669"/>
      <c r="B2155" s="670"/>
      <c r="C2155" s="216"/>
      <c r="D2155" s="216"/>
      <c r="E2155" s="216"/>
      <c r="F2155" s="216"/>
      <c r="G2155" s="435"/>
      <c r="H2155" s="216"/>
      <c r="I2155" s="435"/>
    </row>
    <row r="2156" spans="1:9" ht="12.75">
      <c r="A2156" s="669"/>
      <c r="B2156" s="670"/>
      <c r="C2156" s="216"/>
      <c r="D2156" s="216"/>
      <c r="E2156" s="216"/>
      <c r="F2156" s="216"/>
      <c r="G2156" s="435"/>
      <c r="H2156" s="216"/>
      <c r="I2156" s="435"/>
    </row>
    <row r="2157" spans="1:9" ht="12.75">
      <c r="A2157" s="669"/>
      <c r="B2157" s="670"/>
      <c r="C2157" s="216"/>
      <c r="D2157" s="216"/>
      <c r="E2157" s="216"/>
      <c r="F2157" s="216"/>
      <c r="G2157" s="435"/>
      <c r="H2157" s="216"/>
      <c r="I2157" s="435"/>
    </row>
    <row r="2158" spans="1:9" ht="12.75">
      <c r="A2158" s="669"/>
      <c r="B2158" s="670"/>
      <c r="C2158" s="216"/>
      <c r="D2158" s="216"/>
      <c r="E2158" s="216"/>
      <c r="F2158" s="216"/>
      <c r="G2158" s="435"/>
      <c r="H2158" s="216"/>
      <c r="I2158" s="435"/>
    </row>
    <row r="2159" spans="1:9" ht="12.75">
      <c r="A2159" s="669"/>
      <c r="B2159" s="670"/>
      <c r="C2159" s="216"/>
      <c r="D2159" s="216"/>
      <c r="E2159" s="216"/>
      <c r="F2159" s="216"/>
      <c r="G2159" s="435"/>
      <c r="H2159" s="216"/>
      <c r="I2159" s="435"/>
    </row>
    <row r="2160" spans="1:9" ht="12.75">
      <c r="A2160" s="669"/>
      <c r="B2160" s="670"/>
      <c r="C2160" s="216"/>
      <c r="D2160" s="216"/>
      <c r="E2160" s="216"/>
      <c r="F2160" s="216"/>
      <c r="G2160" s="435"/>
      <c r="H2160" s="216"/>
      <c r="I2160" s="435"/>
    </row>
    <row r="2161" spans="1:9" ht="12.75">
      <c r="A2161" s="669"/>
      <c r="B2161" s="670"/>
      <c r="C2161" s="216"/>
      <c r="D2161" s="216"/>
      <c r="E2161" s="216"/>
      <c r="F2161" s="216"/>
      <c r="G2161" s="435"/>
      <c r="H2161" s="216"/>
      <c r="I2161" s="435"/>
    </row>
    <row r="2162" spans="1:9" ht="12.75">
      <c r="A2162" s="669"/>
      <c r="B2162" s="670"/>
      <c r="C2162" s="216"/>
      <c r="D2162" s="216"/>
      <c r="E2162" s="216"/>
      <c r="F2162" s="216"/>
      <c r="G2162" s="435"/>
      <c r="H2162" s="216"/>
      <c r="I2162" s="435"/>
    </row>
    <row r="2163" spans="1:9" ht="12.75">
      <c r="A2163" s="669"/>
      <c r="B2163" s="670"/>
      <c r="C2163" s="216"/>
      <c r="D2163" s="216"/>
      <c r="E2163" s="216"/>
      <c r="F2163" s="216"/>
      <c r="G2163" s="435"/>
      <c r="H2163" s="216"/>
      <c r="I2163" s="435"/>
    </row>
    <row r="2164" spans="1:9" ht="12.75">
      <c r="A2164" s="669"/>
      <c r="B2164" s="670"/>
      <c r="C2164" s="216"/>
      <c r="D2164" s="216"/>
      <c r="E2164" s="216"/>
      <c r="F2164" s="216"/>
      <c r="G2164" s="435"/>
      <c r="H2164" s="216"/>
      <c r="I2164" s="435"/>
    </row>
    <row r="2165" spans="1:9" ht="12.75">
      <c r="A2165" s="669"/>
      <c r="B2165" s="670"/>
      <c r="C2165" s="216"/>
      <c r="D2165" s="216"/>
      <c r="E2165" s="216"/>
      <c r="F2165" s="216"/>
      <c r="G2165" s="435"/>
      <c r="H2165" s="216"/>
      <c r="I2165" s="435"/>
    </row>
    <row r="2166" spans="1:9" ht="12.75">
      <c r="A2166" s="669"/>
      <c r="B2166" s="670"/>
      <c r="C2166" s="216"/>
      <c r="D2166" s="216"/>
      <c r="E2166" s="216"/>
      <c r="F2166" s="216"/>
      <c r="G2166" s="435"/>
      <c r="H2166" s="216"/>
      <c r="I2166" s="435"/>
    </row>
    <row r="2167" spans="1:9" ht="12.75">
      <c r="A2167" s="669"/>
      <c r="B2167" s="670"/>
      <c r="C2167" s="216"/>
      <c r="D2167" s="216"/>
      <c r="E2167" s="216"/>
      <c r="F2167" s="216"/>
      <c r="G2167" s="435"/>
      <c r="H2167" s="216"/>
      <c r="I2167" s="435"/>
    </row>
    <row r="2168" spans="1:9" ht="12.75">
      <c r="A2168" s="669"/>
      <c r="B2168" s="670"/>
      <c r="C2168" s="216"/>
      <c r="D2168" s="216"/>
      <c r="E2168" s="216"/>
      <c r="F2168" s="216"/>
      <c r="G2168" s="435"/>
      <c r="H2168" s="216"/>
      <c r="I2168" s="435"/>
    </row>
    <row r="2169" spans="1:9" ht="12.75">
      <c r="A2169" s="669"/>
      <c r="B2169" s="670"/>
      <c r="C2169" s="216"/>
      <c r="D2169" s="216"/>
      <c r="E2169" s="216"/>
      <c r="F2169" s="216"/>
      <c r="G2169" s="435"/>
      <c r="H2169" s="216"/>
      <c r="I2169" s="435"/>
    </row>
    <row r="2170" spans="1:9" ht="12.75">
      <c r="A2170" s="669"/>
      <c r="B2170" s="670"/>
      <c r="C2170" s="216"/>
      <c r="D2170" s="216"/>
      <c r="E2170" s="216"/>
      <c r="F2170" s="216"/>
      <c r="G2170" s="435"/>
      <c r="H2170" s="216"/>
      <c r="I2170" s="435"/>
    </row>
    <row r="2171" spans="1:9" ht="12.75">
      <c r="A2171" s="669"/>
      <c r="B2171" s="670"/>
      <c r="C2171" s="216"/>
      <c r="D2171" s="216"/>
      <c r="E2171" s="216"/>
      <c r="F2171" s="216"/>
      <c r="G2171" s="435"/>
      <c r="H2171" s="216"/>
      <c r="I2171" s="435"/>
    </row>
    <row r="2172" spans="1:9" ht="12.75">
      <c r="A2172" s="669"/>
      <c r="B2172" s="670"/>
      <c r="C2172" s="216"/>
      <c r="D2172" s="216"/>
      <c r="E2172" s="216"/>
      <c r="F2172" s="216"/>
      <c r="G2172" s="435"/>
      <c r="H2172" s="216"/>
      <c r="I2172" s="435"/>
    </row>
    <row r="2173" spans="1:9" ht="12.75">
      <c r="A2173" s="669"/>
      <c r="B2173" s="670"/>
      <c r="C2173" s="216"/>
      <c r="D2173" s="216"/>
      <c r="E2173" s="216"/>
      <c r="F2173" s="216"/>
      <c r="G2173" s="435"/>
      <c r="H2173" s="216"/>
      <c r="I2173" s="435"/>
    </row>
    <row r="2174" spans="1:9" ht="12.75">
      <c r="A2174" s="669"/>
      <c r="B2174" s="670"/>
      <c r="C2174" s="216"/>
      <c r="D2174" s="216"/>
      <c r="E2174" s="216"/>
      <c r="F2174" s="216"/>
      <c r="G2174" s="435"/>
      <c r="H2174" s="216"/>
      <c r="I2174" s="435"/>
    </row>
    <row r="2175" spans="1:9" ht="12.75">
      <c r="A2175" s="669"/>
      <c r="B2175" s="670"/>
      <c r="C2175" s="216"/>
      <c r="D2175" s="216"/>
      <c r="E2175" s="216"/>
      <c r="F2175" s="216"/>
      <c r="G2175" s="435"/>
      <c r="H2175" s="216"/>
      <c r="I2175" s="435"/>
    </row>
    <row r="2176" spans="1:9" ht="12.75">
      <c r="A2176" s="669"/>
      <c r="B2176" s="670"/>
      <c r="C2176" s="216"/>
      <c r="D2176" s="216"/>
      <c r="E2176" s="216"/>
      <c r="F2176" s="216"/>
      <c r="G2176" s="435"/>
      <c r="H2176" s="216"/>
      <c r="I2176" s="435"/>
    </row>
    <row r="2177" spans="1:9" ht="12.75">
      <c r="A2177" s="669"/>
      <c r="B2177" s="670"/>
      <c r="C2177" s="216"/>
      <c r="D2177" s="216"/>
      <c r="E2177" s="216"/>
      <c r="F2177" s="216"/>
      <c r="G2177" s="435"/>
      <c r="H2177" s="216"/>
      <c r="I2177" s="435"/>
    </row>
    <row r="2178" spans="1:9" ht="12.75">
      <c r="A2178" s="669"/>
      <c r="B2178" s="670"/>
      <c r="C2178" s="216"/>
      <c r="D2178" s="216"/>
      <c r="E2178" s="216"/>
      <c r="F2178" s="216"/>
      <c r="G2178" s="435"/>
      <c r="H2178" s="216"/>
      <c r="I2178" s="435"/>
    </row>
    <row r="2179" spans="1:9" ht="12.75">
      <c r="A2179" s="669"/>
      <c r="B2179" s="670"/>
      <c r="C2179" s="216"/>
      <c r="D2179" s="216"/>
      <c r="E2179" s="216"/>
      <c r="F2179" s="216"/>
      <c r="G2179" s="435"/>
      <c r="H2179" s="216"/>
      <c r="I2179" s="435"/>
    </row>
    <row r="2180" spans="1:9" ht="12.75">
      <c r="A2180" s="669"/>
      <c r="B2180" s="670"/>
      <c r="C2180" s="216"/>
      <c r="D2180" s="216"/>
      <c r="E2180" s="216"/>
      <c r="F2180" s="216"/>
      <c r="G2180" s="435"/>
      <c r="H2180" s="216"/>
      <c r="I2180" s="435"/>
    </row>
    <row r="2181" spans="1:9" ht="12.75">
      <c r="A2181" s="669"/>
      <c r="B2181" s="670"/>
      <c r="C2181" s="216"/>
      <c r="D2181" s="216"/>
      <c r="E2181" s="216"/>
      <c r="F2181" s="216"/>
      <c r="G2181" s="435"/>
      <c r="H2181" s="216"/>
      <c r="I2181" s="435"/>
    </row>
    <row r="2182" spans="1:9" ht="12.75">
      <c r="A2182" s="669"/>
      <c r="B2182" s="670"/>
      <c r="C2182" s="216"/>
      <c r="D2182" s="216"/>
      <c r="E2182" s="216"/>
      <c r="F2182" s="216"/>
      <c r="G2182" s="435"/>
      <c r="H2182" s="216"/>
      <c r="I2182" s="435"/>
    </row>
    <row r="2183" spans="1:9" ht="12.75">
      <c r="A2183" s="669"/>
      <c r="B2183" s="670"/>
      <c r="C2183" s="216"/>
      <c r="D2183" s="216"/>
      <c r="E2183" s="216"/>
      <c r="F2183" s="216"/>
      <c r="G2183" s="435"/>
      <c r="H2183" s="216"/>
      <c r="I2183" s="435"/>
    </row>
    <row r="2184" spans="1:9" ht="12.75">
      <c r="A2184" s="669"/>
      <c r="B2184" s="670"/>
      <c r="C2184" s="216"/>
      <c r="D2184" s="216"/>
      <c r="E2184" s="216"/>
      <c r="F2184" s="216"/>
      <c r="G2184" s="435"/>
      <c r="H2184" s="216"/>
      <c r="I2184" s="435"/>
    </row>
    <row r="2185" spans="1:9" ht="12.75">
      <c r="A2185" s="669"/>
      <c r="B2185" s="670"/>
      <c r="C2185" s="216"/>
      <c r="D2185" s="216"/>
      <c r="E2185" s="216"/>
      <c r="F2185" s="216"/>
      <c r="G2185" s="435"/>
      <c r="H2185" s="216"/>
      <c r="I2185" s="435"/>
    </row>
    <row r="2186" spans="1:9" ht="12.75">
      <c r="A2186" s="669"/>
      <c r="B2186" s="670"/>
      <c r="C2186" s="216"/>
      <c r="D2186" s="216"/>
      <c r="E2186" s="216"/>
      <c r="F2186" s="216"/>
      <c r="G2186" s="435"/>
      <c r="H2186" s="216"/>
      <c r="I2186" s="435"/>
    </row>
    <row r="2187" spans="1:9" ht="12.75">
      <c r="A2187" s="669"/>
      <c r="B2187" s="670"/>
      <c r="C2187" s="216"/>
      <c r="D2187" s="216"/>
      <c r="E2187" s="216"/>
      <c r="F2187" s="216"/>
      <c r="G2187" s="435"/>
      <c r="H2187" s="216"/>
      <c r="I2187" s="435"/>
    </row>
    <row r="2188" spans="1:9" ht="12.75">
      <c r="A2188" s="669"/>
      <c r="B2188" s="670"/>
      <c r="C2188" s="216"/>
      <c r="D2188" s="216"/>
      <c r="E2188" s="216"/>
      <c r="F2188" s="216"/>
      <c r="G2188" s="435"/>
      <c r="H2188" s="216"/>
      <c r="I2188" s="435"/>
    </row>
    <row r="2189" spans="1:9" ht="12.75">
      <c r="A2189" s="669"/>
      <c r="B2189" s="670"/>
      <c r="C2189" s="216"/>
      <c r="D2189" s="216"/>
      <c r="E2189" s="216"/>
      <c r="F2189" s="216"/>
      <c r="G2189" s="435"/>
      <c r="H2189" s="216"/>
      <c r="I2189" s="435"/>
    </row>
    <row r="2190" spans="1:9" ht="12.75">
      <c r="A2190" s="669"/>
      <c r="B2190" s="670"/>
      <c r="C2190" s="216"/>
      <c r="D2190" s="216"/>
      <c r="E2190" s="216"/>
      <c r="F2190" s="216"/>
      <c r="G2190" s="435"/>
      <c r="H2190" s="216"/>
      <c r="I2190" s="435"/>
    </row>
    <row r="2191" spans="1:9" ht="12.75">
      <c r="A2191" s="669"/>
      <c r="B2191" s="670"/>
      <c r="C2191" s="216"/>
      <c r="D2191" s="216"/>
      <c r="E2191" s="216"/>
      <c r="F2191" s="216"/>
      <c r="G2191" s="435"/>
      <c r="H2191" s="216"/>
      <c r="I2191" s="435"/>
    </row>
    <row r="2192" spans="1:9" ht="12.75">
      <c r="A2192" s="669"/>
      <c r="B2192" s="670"/>
      <c r="C2192" s="216"/>
      <c r="D2192" s="216"/>
      <c r="E2192" s="216"/>
      <c r="F2192" s="216"/>
      <c r="G2192" s="435"/>
      <c r="H2192" s="216"/>
      <c r="I2192" s="435"/>
    </row>
    <row r="2193" spans="1:9" ht="12.75">
      <c r="A2193" s="669"/>
      <c r="B2193" s="670"/>
      <c r="C2193" s="216"/>
      <c r="D2193" s="216"/>
      <c r="E2193" s="216"/>
      <c r="F2193" s="216"/>
      <c r="G2193" s="435"/>
      <c r="H2193" s="216"/>
      <c r="I2193" s="435"/>
    </row>
    <row r="2194" spans="1:9" ht="12.75">
      <c r="A2194" s="669"/>
      <c r="B2194" s="670"/>
      <c r="C2194" s="216"/>
      <c r="D2194" s="216"/>
      <c r="E2194" s="216"/>
      <c r="F2194" s="216"/>
      <c r="G2194" s="435"/>
      <c r="H2194" s="216"/>
      <c r="I2194" s="435"/>
    </row>
    <row r="2195" spans="1:9" ht="12.75">
      <c r="A2195" s="669"/>
      <c r="B2195" s="670"/>
      <c r="C2195" s="216"/>
      <c r="D2195" s="216"/>
      <c r="E2195" s="216"/>
      <c r="F2195" s="216"/>
      <c r="G2195" s="435"/>
      <c r="H2195" s="216"/>
      <c r="I2195" s="435"/>
    </row>
    <row r="2196" spans="1:9" ht="12.75">
      <c r="A2196" s="669"/>
      <c r="B2196" s="670"/>
      <c r="C2196" s="216"/>
      <c r="D2196" s="216"/>
      <c r="E2196" s="216"/>
      <c r="F2196" s="216"/>
      <c r="G2196" s="435"/>
      <c r="H2196" s="216"/>
      <c r="I2196" s="435"/>
    </row>
    <row r="2197" spans="1:9" ht="12.75">
      <c r="A2197" s="669"/>
      <c r="B2197" s="670"/>
      <c r="C2197" s="216"/>
      <c r="D2197" s="216"/>
      <c r="E2197" s="216"/>
      <c r="F2197" s="216"/>
      <c r="G2197" s="435"/>
      <c r="H2197" s="216"/>
      <c r="I2197" s="435"/>
    </row>
    <row r="2198" spans="1:9" ht="12.75">
      <c r="A2198" s="669"/>
      <c r="B2198" s="670"/>
      <c r="C2198" s="216"/>
      <c r="D2198" s="216"/>
      <c r="E2198" s="216"/>
      <c r="F2198" s="216"/>
      <c r="G2198" s="435"/>
      <c r="H2198" s="216"/>
      <c r="I2198" s="435"/>
    </row>
    <row r="2199" spans="1:9" ht="12.75">
      <c r="A2199" s="669"/>
      <c r="B2199" s="670"/>
      <c r="C2199" s="216"/>
      <c r="D2199" s="216"/>
      <c r="E2199" s="216"/>
      <c r="F2199" s="216"/>
      <c r="G2199" s="435"/>
      <c r="H2199" s="216"/>
      <c r="I2199" s="435"/>
    </row>
    <row r="2200" spans="1:9" ht="12.75">
      <c r="A2200" s="669"/>
      <c r="B2200" s="670"/>
      <c r="C2200" s="216"/>
      <c r="D2200" s="216"/>
      <c r="E2200" s="216"/>
      <c r="F2200" s="216"/>
      <c r="G2200" s="435"/>
      <c r="H2200" s="216"/>
      <c r="I2200" s="435"/>
    </row>
    <row r="2201" spans="1:9" ht="12.75">
      <c r="A2201" s="669"/>
      <c r="B2201" s="670"/>
      <c r="C2201" s="216"/>
      <c r="D2201" s="216"/>
      <c r="E2201" s="216"/>
      <c r="F2201" s="216"/>
      <c r="G2201" s="435"/>
      <c r="H2201" s="216"/>
      <c r="I2201" s="435"/>
    </row>
    <row r="2202" spans="1:9" ht="12.75">
      <c r="A2202" s="669"/>
      <c r="B2202" s="670"/>
      <c r="C2202" s="216"/>
      <c r="D2202" s="216"/>
      <c r="E2202" s="216"/>
      <c r="F2202" s="216"/>
      <c r="G2202" s="435"/>
      <c r="H2202" s="216"/>
      <c r="I2202" s="435"/>
    </row>
    <row r="2203" spans="1:9" ht="12.75">
      <c r="A2203" s="669"/>
      <c r="B2203" s="670"/>
      <c r="C2203" s="216"/>
      <c r="D2203" s="216"/>
      <c r="E2203" s="216"/>
      <c r="F2203" s="216"/>
      <c r="G2203" s="435"/>
      <c r="H2203" s="216"/>
      <c r="I2203" s="435"/>
    </row>
    <row r="2204" spans="1:9" ht="12.75">
      <c r="A2204" s="669"/>
      <c r="B2204" s="670"/>
      <c r="C2204" s="216"/>
      <c r="D2204" s="216"/>
      <c r="E2204" s="216"/>
      <c r="F2204" s="216"/>
      <c r="G2204" s="435"/>
      <c r="H2204" s="216"/>
      <c r="I2204" s="435"/>
    </row>
    <row r="2205" spans="1:9" ht="12.75">
      <c r="A2205" s="669"/>
      <c r="B2205" s="670"/>
      <c r="C2205" s="216"/>
      <c r="D2205" s="216"/>
      <c r="E2205" s="216"/>
      <c r="F2205" s="216"/>
      <c r="G2205" s="435"/>
      <c r="H2205" s="216"/>
      <c r="I2205" s="435"/>
    </row>
    <row r="2206" spans="1:9" ht="12.75">
      <c r="A2206" s="669"/>
      <c r="B2206" s="670"/>
      <c r="C2206" s="216"/>
      <c r="D2206" s="216"/>
      <c r="E2206" s="216"/>
      <c r="F2206" s="216"/>
      <c r="G2206" s="435"/>
      <c r="H2206" s="216"/>
      <c r="I2206" s="435"/>
    </row>
    <row r="2207" spans="1:9" ht="12.75">
      <c r="A2207" s="669"/>
      <c r="B2207" s="670"/>
      <c r="C2207" s="216"/>
      <c r="D2207" s="216"/>
      <c r="E2207" s="216"/>
      <c r="F2207" s="216"/>
      <c r="G2207" s="435"/>
      <c r="H2207" s="216"/>
      <c r="I2207" s="435"/>
    </row>
    <row r="2208" spans="1:9" ht="12.75">
      <c r="A2208" s="669"/>
      <c r="B2208" s="670"/>
      <c r="C2208" s="216"/>
      <c r="D2208" s="216"/>
      <c r="E2208" s="216"/>
      <c r="F2208" s="216"/>
      <c r="G2208" s="435"/>
      <c r="H2208" s="216"/>
      <c r="I2208" s="435"/>
    </row>
    <row r="2209" spans="1:9" ht="12.75">
      <c r="A2209" s="669"/>
      <c r="B2209" s="670"/>
      <c r="C2209" s="216"/>
      <c r="D2209" s="216"/>
      <c r="E2209" s="216"/>
      <c r="F2209" s="216"/>
      <c r="G2209" s="435"/>
      <c r="H2209" s="216"/>
      <c r="I2209" s="435"/>
    </row>
    <row r="2210" spans="1:9" ht="12.75">
      <c r="A2210" s="669"/>
      <c r="B2210" s="670"/>
      <c r="C2210" s="216"/>
      <c r="D2210" s="216"/>
      <c r="E2210" s="216"/>
      <c r="F2210" s="216"/>
      <c r="G2210" s="435"/>
      <c r="H2210" s="216"/>
      <c r="I2210" s="435"/>
    </row>
    <row r="2211" spans="1:9" ht="12.75">
      <c r="A2211" s="669"/>
      <c r="B2211" s="670"/>
      <c r="C2211" s="216"/>
      <c r="D2211" s="216"/>
      <c r="E2211" s="216"/>
      <c r="F2211" s="216"/>
      <c r="G2211" s="435"/>
      <c r="H2211" s="216"/>
      <c r="I2211" s="435"/>
    </row>
    <row r="2212" spans="1:9" ht="12.75">
      <c r="A2212" s="669"/>
      <c r="B2212" s="670"/>
      <c r="C2212" s="216"/>
      <c r="D2212" s="216"/>
      <c r="E2212" s="216"/>
      <c r="F2212" s="216"/>
      <c r="G2212" s="435"/>
      <c r="H2212" s="216"/>
      <c r="I2212" s="435"/>
    </row>
    <row r="2213" spans="1:9" ht="12.75">
      <c r="A2213" s="669"/>
      <c r="B2213" s="670"/>
      <c r="C2213" s="216"/>
      <c r="D2213" s="216"/>
      <c r="E2213" s="216"/>
      <c r="F2213" s="216"/>
      <c r="G2213" s="435"/>
      <c r="H2213" s="216"/>
      <c r="I2213" s="435"/>
    </row>
    <row r="2214" spans="1:9" ht="12.75">
      <c r="A2214" s="669"/>
      <c r="B2214" s="670"/>
      <c r="C2214" s="216"/>
      <c r="D2214" s="216"/>
      <c r="E2214" s="216"/>
      <c r="F2214" s="216"/>
      <c r="G2214" s="435"/>
      <c r="H2214" s="216"/>
      <c r="I2214" s="435"/>
    </row>
    <row r="2215" spans="1:9" ht="12.75">
      <c r="A2215" s="669"/>
      <c r="B2215" s="670"/>
      <c r="C2215" s="216"/>
      <c r="D2215" s="216"/>
      <c r="E2215" s="216"/>
      <c r="F2215" s="216"/>
      <c r="G2215" s="435"/>
      <c r="H2215" s="216"/>
      <c r="I2215" s="435"/>
    </row>
    <row r="2216" spans="1:9" ht="12.75">
      <c r="A2216" s="669"/>
      <c r="B2216" s="670"/>
      <c r="C2216" s="216"/>
      <c r="D2216" s="216"/>
      <c r="E2216" s="216"/>
      <c r="F2216" s="216"/>
      <c r="G2216" s="435"/>
      <c r="H2216" s="216"/>
      <c r="I2216" s="435"/>
    </row>
    <row r="2217" spans="1:9" ht="12.75">
      <c r="A2217" s="669"/>
      <c r="B2217" s="670"/>
      <c r="C2217" s="216"/>
      <c r="D2217" s="216"/>
      <c r="E2217" s="216"/>
      <c r="F2217" s="216"/>
      <c r="G2217" s="435"/>
      <c r="H2217" s="216"/>
      <c r="I2217" s="435"/>
    </row>
    <row r="2218" spans="1:9" ht="12.75">
      <c r="A2218" s="669"/>
      <c r="B2218" s="670"/>
      <c r="C2218" s="216"/>
      <c r="D2218" s="216"/>
      <c r="E2218" s="216"/>
      <c r="F2218" s="216"/>
      <c r="G2218" s="435"/>
      <c r="H2218" s="216"/>
      <c r="I2218" s="435"/>
    </row>
    <row r="2219" spans="1:9" ht="12.75">
      <c r="A2219" s="669"/>
      <c r="B2219" s="670"/>
      <c r="C2219" s="216"/>
      <c r="D2219" s="216"/>
      <c r="E2219" s="216"/>
      <c r="F2219" s="216"/>
      <c r="G2219" s="435"/>
      <c r="H2219" s="216"/>
      <c r="I2219" s="435"/>
    </row>
    <row r="2220" spans="1:9" ht="12.75">
      <c r="A2220" s="669"/>
      <c r="B2220" s="670"/>
      <c r="C2220" s="216"/>
      <c r="D2220" s="216"/>
      <c r="E2220" s="216"/>
      <c r="F2220" s="216"/>
      <c r="G2220" s="435"/>
      <c r="H2220" s="216"/>
      <c r="I2220" s="435"/>
    </row>
    <row r="2221" spans="1:9" ht="12.75">
      <c r="A2221" s="669"/>
      <c r="B2221" s="670"/>
      <c r="C2221" s="216"/>
      <c r="D2221" s="216"/>
      <c r="E2221" s="216"/>
      <c r="F2221" s="216"/>
      <c r="G2221" s="435"/>
      <c r="H2221" s="216"/>
      <c r="I2221" s="435"/>
    </row>
    <row r="2222" spans="1:9" ht="12.75">
      <c r="A2222" s="669"/>
      <c r="B2222" s="670"/>
      <c r="C2222" s="216"/>
      <c r="D2222" s="216"/>
      <c r="E2222" s="216"/>
      <c r="F2222" s="216"/>
      <c r="G2222" s="435"/>
      <c r="H2222" s="216"/>
      <c r="I2222" s="435"/>
    </row>
    <row r="2223" spans="1:9" ht="12.75">
      <c r="A2223" s="669"/>
      <c r="B2223" s="670"/>
      <c r="C2223" s="216"/>
      <c r="D2223" s="216"/>
      <c r="E2223" s="216"/>
      <c r="F2223" s="216"/>
      <c r="G2223" s="435"/>
      <c r="H2223" s="216"/>
      <c r="I2223" s="435"/>
    </row>
    <row r="2224" spans="1:9" ht="12.75">
      <c r="A2224" s="669"/>
      <c r="B2224" s="670"/>
      <c r="C2224" s="216"/>
      <c r="D2224" s="216"/>
      <c r="E2224" s="216"/>
      <c r="F2224" s="216"/>
      <c r="G2224" s="435"/>
      <c r="H2224" s="216"/>
      <c r="I2224" s="435"/>
    </row>
    <row r="2225" spans="1:9" ht="12.75">
      <c r="A2225" s="669"/>
      <c r="B2225" s="670"/>
      <c r="C2225" s="216"/>
      <c r="D2225" s="216"/>
      <c r="E2225" s="216"/>
      <c r="F2225" s="216"/>
      <c r="G2225" s="435"/>
      <c r="H2225" s="216"/>
      <c r="I2225" s="435"/>
    </row>
    <row r="2226" spans="1:9" ht="12.75">
      <c r="A2226" s="669"/>
      <c r="B2226" s="670"/>
      <c r="C2226" s="216"/>
      <c r="D2226" s="216"/>
      <c r="E2226" s="216"/>
      <c r="F2226" s="216"/>
      <c r="G2226" s="435"/>
      <c r="H2226" s="216"/>
      <c r="I2226" s="435"/>
    </row>
    <row r="2227" spans="1:9" ht="12.75">
      <c r="A2227" s="669"/>
      <c r="B2227" s="670"/>
      <c r="C2227" s="216"/>
      <c r="D2227" s="216"/>
      <c r="E2227" s="216"/>
      <c r="F2227" s="216"/>
      <c r="G2227" s="435"/>
      <c r="H2227" s="216"/>
      <c r="I2227" s="435"/>
    </row>
    <row r="2228" spans="1:9" ht="12.75">
      <c r="A2228" s="669"/>
      <c r="B2228" s="670"/>
      <c r="C2228" s="216"/>
      <c r="D2228" s="216"/>
      <c r="E2228" s="216"/>
      <c r="F2228" s="216"/>
      <c r="G2228" s="435"/>
      <c r="H2228" s="216"/>
      <c r="I2228" s="435"/>
    </row>
    <row r="2229" spans="1:9" ht="12.75">
      <c r="A2229" s="669"/>
      <c r="B2229" s="670"/>
      <c r="C2229" s="216"/>
      <c r="D2229" s="216"/>
      <c r="E2229" s="216"/>
      <c r="F2229" s="216"/>
      <c r="G2229" s="435"/>
      <c r="H2229" s="216"/>
      <c r="I2229" s="435"/>
    </row>
    <row r="2230" spans="1:9" ht="12.75">
      <c r="A2230" s="669"/>
      <c r="B2230" s="670"/>
      <c r="C2230" s="216"/>
      <c r="D2230" s="216"/>
      <c r="E2230" s="216"/>
      <c r="F2230" s="216"/>
      <c r="G2230" s="435"/>
      <c r="H2230" s="216"/>
      <c r="I2230" s="435"/>
    </row>
    <row r="2231" spans="1:9" ht="12.75">
      <c r="A2231" s="669"/>
      <c r="B2231" s="670"/>
      <c r="C2231" s="216"/>
      <c r="D2231" s="216"/>
      <c r="E2231" s="216"/>
      <c r="F2231" s="216"/>
      <c r="G2231" s="435"/>
      <c r="H2231" s="216"/>
      <c r="I2231" s="435"/>
    </row>
    <row r="2232" spans="1:9" ht="12.75">
      <c r="A2232" s="669"/>
      <c r="B2232" s="670"/>
      <c r="C2232" s="216"/>
      <c r="D2232" s="216"/>
      <c r="E2232" s="216"/>
      <c r="F2232" s="216"/>
      <c r="G2232" s="435"/>
      <c r="H2232" s="216"/>
      <c r="I2232" s="435"/>
    </row>
    <row r="2233" spans="1:9" ht="12.75">
      <c r="A2233" s="669"/>
      <c r="B2233" s="670"/>
      <c r="C2233" s="216"/>
      <c r="D2233" s="216"/>
      <c r="E2233" s="216"/>
      <c r="F2233" s="216"/>
      <c r="G2233" s="435"/>
      <c r="H2233" s="216"/>
      <c r="I2233" s="435"/>
    </row>
    <row r="2234" spans="1:9" ht="12.75">
      <c r="A2234" s="669"/>
      <c r="B2234" s="670"/>
      <c r="C2234" s="216"/>
      <c r="D2234" s="216"/>
      <c r="E2234" s="216"/>
      <c r="F2234" s="216"/>
      <c r="G2234" s="435"/>
      <c r="H2234" s="216"/>
      <c r="I2234" s="435"/>
    </row>
    <row r="2235" spans="1:9" ht="12.75">
      <c r="A2235" s="669"/>
      <c r="B2235" s="670"/>
      <c r="C2235" s="216"/>
      <c r="D2235" s="216"/>
      <c r="E2235" s="216"/>
      <c r="F2235" s="216"/>
      <c r="G2235" s="435"/>
      <c r="H2235" s="216"/>
      <c r="I2235" s="435"/>
    </row>
    <row r="2236" spans="1:9" ht="12.75">
      <c r="A2236" s="669"/>
      <c r="B2236" s="670"/>
      <c r="C2236" s="216"/>
      <c r="D2236" s="216"/>
      <c r="E2236" s="216"/>
      <c r="F2236" s="216"/>
      <c r="G2236" s="435"/>
      <c r="H2236" s="216"/>
      <c r="I2236" s="435"/>
    </row>
    <row r="2237" spans="1:9" ht="12.75">
      <c r="A2237" s="669"/>
      <c r="B2237" s="670"/>
      <c r="C2237" s="216"/>
      <c r="D2237" s="216"/>
      <c r="E2237" s="216"/>
      <c r="F2237" s="216"/>
      <c r="G2237" s="435"/>
      <c r="H2237" s="216"/>
      <c r="I2237" s="435"/>
    </row>
    <row r="2238" spans="1:9" ht="12.75">
      <c r="A2238" s="669"/>
      <c r="B2238" s="670"/>
      <c r="C2238" s="216"/>
      <c r="D2238" s="216"/>
      <c r="E2238" s="216"/>
      <c r="F2238" s="216"/>
      <c r="G2238" s="435"/>
      <c r="H2238" s="216"/>
      <c r="I2238" s="435"/>
    </row>
    <row r="2239" spans="1:9" ht="12.75">
      <c r="A2239" s="669"/>
      <c r="B2239" s="670"/>
      <c r="C2239" s="216"/>
      <c r="D2239" s="216"/>
      <c r="E2239" s="216"/>
      <c r="F2239" s="216"/>
      <c r="G2239" s="435"/>
      <c r="H2239" s="216"/>
      <c r="I2239" s="435"/>
    </row>
    <row r="2240" spans="1:9" ht="12.75">
      <c r="A2240" s="669"/>
      <c r="B2240" s="670"/>
      <c r="C2240" s="216"/>
      <c r="D2240" s="216"/>
      <c r="E2240" s="216"/>
      <c r="F2240" s="216"/>
      <c r="G2240" s="435"/>
      <c r="H2240" s="216"/>
      <c r="I2240" s="435"/>
    </row>
    <row r="2241" spans="1:9" ht="12.75">
      <c r="A2241" s="669"/>
      <c r="B2241" s="670"/>
      <c r="C2241" s="216"/>
      <c r="D2241" s="216"/>
      <c r="E2241" s="216"/>
      <c r="F2241" s="216"/>
      <c r="G2241" s="435"/>
      <c r="H2241" s="216"/>
      <c r="I2241" s="435"/>
    </row>
    <row r="2242" spans="1:9" ht="12.75">
      <c r="A2242" s="669"/>
      <c r="B2242" s="670"/>
      <c r="C2242" s="216"/>
      <c r="D2242" s="216"/>
      <c r="E2242" s="216"/>
      <c r="F2242" s="216"/>
      <c r="G2242" s="435"/>
      <c r="H2242" s="216"/>
      <c r="I2242" s="435"/>
    </row>
    <row r="2243" spans="1:9" ht="12.75">
      <c r="A2243" s="669"/>
      <c r="B2243" s="670"/>
      <c r="C2243" s="216"/>
      <c r="D2243" s="216"/>
      <c r="E2243" s="216"/>
      <c r="F2243" s="216"/>
      <c r="G2243" s="435"/>
      <c r="H2243" s="216"/>
      <c r="I2243" s="435"/>
    </row>
    <row r="2244" spans="1:9" ht="12.75">
      <c r="A2244" s="669"/>
      <c r="B2244" s="670"/>
      <c r="C2244" s="216"/>
      <c r="D2244" s="216"/>
      <c r="E2244" s="216"/>
      <c r="F2244" s="216"/>
      <c r="G2244" s="435"/>
      <c r="H2244" s="216"/>
      <c r="I2244" s="435"/>
    </row>
    <row r="2245" spans="1:9" ht="12.75">
      <c r="A2245" s="669"/>
      <c r="B2245" s="670"/>
      <c r="C2245" s="216"/>
      <c r="D2245" s="216"/>
      <c r="E2245" s="216"/>
      <c r="F2245" s="216"/>
      <c r="G2245" s="435"/>
      <c r="H2245" s="216"/>
      <c r="I2245" s="435"/>
    </row>
    <row r="2246" spans="1:9" ht="12.75">
      <c r="A2246" s="669"/>
      <c r="B2246" s="670"/>
      <c r="C2246" s="216"/>
      <c r="D2246" s="216"/>
      <c r="E2246" s="216"/>
      <c r="F2246" s="216"/>
      <c r="G2246" s="435"/>
      <c r="H2246" s="216"/>
      <c r="I2246" s="435"/>
    </row>
    <row r="2247" spans="1:9" ht="12.75">
      <c r="A2247" s="669"/>
      <c r="B2247" s="670"/>
      <c r="C2247" s="216"/>
      <c r="D2247" s="216"/>
      <c r="E2247" s="216"/>
      <c r="F2247" s="216"/>
      <c r="G2247" s="435"/>
      <c r="H2247" s="216"/>
      <c r="I2247" s="435"/>
    </row>
    <row r="2248" spans="1:9" ht="12.75">
      <c r="A2248" s="669"/>
      <c r="B2248" s="670"/>
      <c r="C2248" s="216"/>
      <c r="D2248" s="216"/>
      <c r="E2248" s="216"/>
      <c r="F2248" s="216"/>
      <c r="G2248" s="435"/>
      <c r="H2248" s="216"/>
      <c r="I2248" s="435"/>
    </row>
    <row r="2249" spans="1:9" ht="12.75">
      <c r="A2249" s="669"/>
      <c r="B2249" s="670"/>
      <c r="C2249" s="216"/>
      <c r="D2249" s="216"/>
      <c r="E2249" s="216"/>
      <c r="F2249" s="216"/>
      <c r="G2249" s="435"/>
      <c r="H2249" s="216"/>
      <c r="I2249" s="435"/>
    </row>
    <row r="2250" spans="1:9" ht="12.75">
      <c r="A2250" s="669"/>
      <c r="B2250" s="670"/>
      <c r="C2250" s="216"/>
      <c r="D2250" s="216"/>
      <c r="E2250" s="216"/>
      <c r="F2250" s="216"/>
      <c r="G2250" s="435"/>
      <c r="H2250" s="216"/>
      <c r="I2250" s="435"/>
    </row>
    <row r="2251" spans="1:9" ht="12.75">
      <c r="A2251" s="669"/>
      <c r="B2251" s="670"/>
      <c r="C2251" s="216"/>
      <c r="D2251" s="216"/>
      <c r="E2251" s="216"/>
      <c r="F2251" s="216"/>
      <c r="G2251" s="435"/>
      <c r="H2251" s="216"/>
      <c r="I2251" s="435"/>
    </row>
    <row r="2252" spans="1:9" ht="12.75">
      <c r="A2252" s="669"/>
      <c r="B2252" s="670"/>
      <c r="C2252" s="216"/>
      <c r="D2252" s="216"/>
      <c r="E2252" s="216"/>
      <c r="F2252" s="216"/>
      <c r="G2252" s="435"/>
      <c r="H2252" s="216"/>
      <c r="I2252" s="435"/>
    </row>
    <row r="2253" spans="1:9" ht="12.75">
      <c r="A2253" s="669"/>
      <c r="B2253" s="670"/>
      <c r="C2253" s="216"/>
      <c r="D2253" s="216"/>
      <c r="E2253" s="216"/>
      <c r="F2253" s="216"/>
      <c r="G2253" s="435"/>
      <c r="H2253" s="216"/>
      <c r="I2253" s="435"/>
    </row>
    <row r="2254" spans="1:9" ht="12.75">
      <c r="A2254" s="669"/>
      <c r="B2254" s="670"/>
      <c r="C2254" s="216"/>
      <c r="D2254" s="216"/>
      <c r="E2254" s="216"/>
      <c r="F2254" s="216"/>
      <c r="G2254" s="435"/>
      <c r="H2254" s="216"/>
      <c r="I2254" s="435"/>
    </row>
    <row r="2255" spans="1:9" ht="12.75">
      <c r="A2255" s="669"/>
      <c r="B2255" s="670"/>
      <c r="C2255" s="216"/>
      <c r="D2255" s="216"/>
      <c r="E2255" s="216"/>
      <c r="F2255" s="216"/>
      <c r="G2255" s="435"/>
      <c r="H2255" s="216"/>
      <c r="I2255" s="435"/>
    </row>
    <row r="2256" spans="1:9" ht="12.75">
      <c r="A2256" s="669"/>
      <c r="B2256" s="670"/>
      <c r="C2256" s="216"/>
      <c r="D2256" s="216"/>
      <c r="E2256" s="216"/>
      <c r="F2256" s="216"/>
      <c r="G2256" s="435"/>
      <c r="H2256" s="216"/>
      <c r="I2256" s="435"/>
    </row>
    <row r="2257" spans="1:9" ht="12.75">
      <c r="A2257" s="669"/>
      <c r="B2257" s="670"/>
      <c r="C2257" s="216"/>
      <c r="D2257" s="216"/>
      <c r="E2257" s="216"/>
      <c r="F2257" s="216"/>
      <c r="G2257" s="435"/>
      <c r="H2257" s="216"/>
      <c r="I2257" s="435"/>
    </row>
    <row r="2258" spans="1:9" ht="12.75">
      <c r="A2258" s="669"/>
      <c r="B2258" s="670"/>
      <c r="C2258" s="216"/>
      <c r="D2258" s="216"/>
      <c r="E2258" s="216"/>
      <c r="F2258" s="216"/>
      <c r="G2258" s="435"/>
      <c r="H2258" s="216"/>
      <c r="I2258" s="435"/>
    </row>
    <row r="2259" spans="1:9" ht="12.75">
      <c r="A2259" s="669"/>
      <c r="B2259" s="670"/>
      <c r="C2259" s="216"/>
      <c r="D2259" s="216"/>
      <c r="E2259" s="216"/>
      <c r="F2259" s="216"/>
      <c r="G2259" s="435"/>
      <c r="H2259" s="216"/>
      <c r="I2259" s="435"/>
    </row>
    <row r="2260" spans="1:9" ht="12.75">
      <c r="A2260" s="669"/>
      <c r="B2260" s="670"/>
      <c r="C2260" s="216"/>
      <c r="D2260" s="216"/>
      <c r="E2260" s="216"/>
      <c r="F2260" s="216"/>
      <c r="G2260" s="435"/>
      <c r="H2260" s="216"/>
      <c r="I2260" s="435"/>
    </row>
    <row r="2261" spans="1:9" ht="12.75">
      <c r="A2261" s="669"/>
      <c r="B2261" s="670"/>
      <c r="C2261" s="216"/>
      <c r="D2261" s="216"/>
      <c r="E2261" s="216"/>
      <c r="F2261" s="216"/>
      <c r="G2261" s="435"/>
      <c r="H2261" s="216"/>
      <c r="I2261" s="435"/>
    </row>
    <row r="2262" spans="1:9" ht="12.75">
      <c r="A2262" s="669"/>
      <c r="B2262" s="670"/>
      <c r="C2262" s="216"/>
      <c r="D2262" s="216"/>
      <c r="E2262" s="216"/>
      <c r="F2262" s="216"/>
      <c r="G2262" s="435"/>
      <c r="H2262" s="216"/>
      <c r="I2262" s="435"/>
    </row>
    <row r="2263" spans="1:9" ht="12.75">
      <c r="A2263" s="669"/>
      <c r="B2263" s="670"/>
      <c r="C2263" s="216"/>
      <c r="D2263" s="216"/>
      <c r="E2263" s="216"/>
      <c r="F2263" s="216"/>
      <c r="G2263" s="435"/>
      <c r="H2263" s="216"/>
      <c r="I2263" s="435"/>
    </row>
    <row r="2264" spans="1:9" ht="12.75">
      <c r="A2264" s="669"/>
      <c r="B2264" s="670"/>
      <c r="C2264" s="216"/>
      <c r="D2264" s="216"/>
      <c r="E2264" s="216"/>
      <c r="F2264" s="216"/>
      <c r="G2264" s="435"/>
      <c r="H2264" s="216"/>
      <c r="I2264" s="435"/>
    </row>
    <row r="2265" spans="1:9" ht="12.75">
      <c r="A2265" s="669"/>
      <c r="B2265" s="670"/>
      <c r="C2265" s="216"/>
      <c r="D2265" s="216"/>
      <c r="E2265" s="216"/>
      <c r="F2265" s="216"/>
      <c r="G2265" s="435"/>
      <c r="H2265" s="216"/>
      <c r="I2265" s="435"/>
    </row>
    <row r="2266" spans="1:9" ht="12.75">
      <c r="A2266" s="669"/>
      <c r="B2266" s="670"/>
      <c r="C2266" s="216"/>
      <c r="D2266" s="216"/>
      <c r="E2266" s="216"/>
      <c r="F2266" s="216"/>
      <c r="G2266" s="435"/>
      <c r="H2266" s="216"/>
      <c r="I2266" s="435"/>
    </row>
    <row r="2267" spans="1:9" ht="12.75">
      <c r="A2267" s="669"/>
      <c r="B2267" s="670"/>
      <c r="C2267" s="216"/>
      <c r="D2267" s="216"/>
      <c r="E2267" s="216"/>
      <c r="F2267" s="216"/>
      <c r="G2267" s="435"/>
      <c r="H2267" s="216"/>
      <c r="I2267" s="435"/>
    </row>
    <row r="2268" spans="1:9" ht="12.75">
      <c r="A2268" s="669"/>
      <c r="B2268" s="670"/>
      <c r="C2268" s="216"/>
      <c r="D2268" s="216"/>
      <c r="E2268" s="216"/>
      <c r="F2268" s="216"/>
      <c r="G2268" s="435"/>
      <c r="H2268" s="216"/>
      <c r="I2268" s="435"/>
    </row>
    <row r="2269" spans="1:9" ht="12.75">
      <c r="A2269" s="669"/>
      <c r="B2269" s="670"/>
      <c r="C2269" s="216"/>
      <c r="D2269" s="216"/>
      <c r="E2269" s="216"/>
      <c r="F2269" s="216"/>
      <c r="G2269" s="435"/>
      <c r="H2269" s="216"/>
      <c r="I2269" s="435"/>
    </row>
    <row r="2270" spans="1:9" ht="12.75">
      <c r="A2270" s="669"/>
      <c r="B2270" s="670"/>
      <c r="C2270" s="216"/>
      <c r="D2270" s="216"/>
      <c r="E2270" s="216"/>
      <c r="F2270" s="216"/>
      <c r="G2270" s="435"/>
      <c r="H2270" s="216"/>
      <c r="I2270" s="435"/>
    </row>
    <row r="2271" spans="1:9" ht="12.75">
      <c r="A2271" s="669"/>
      <c r="B2271" s="670"/>
      <c r="C2271" s="216"/>
      <c r="D2271" s="216"/>
      <c r="E2271" s="216"/>
      <c r="F2271" s="216"/>
      <c r="G2271" s="435"/>
      <c r="H2271" s="216"/>
      <c r="I2271" s="435"/>
    </row>
    <row r="2272" spans="1:9" ht="12.75">
      <c r="A2272" s="669"/>
      <c r="B2272" s="670"/>
      <c r="C2272" s="216"/>
      <c r="D2272" s="216"/>
      <c r="E2272" s="216"/>
      <c r="F2272" s="216"/>
      <c r="G2272" s="435"/>
      <c r="H2272" s="216"/>
      <c r="I2272" s="435"/>
    </row>
    <row r="2273" spans="1:9" ht="12.75">
      <c r="A2273" s="669"/>
      <c r="B2273" s="670"/>
      <c r="C2273" s="216"/>
      <c r="D2273" s="216"/>
      <c r="E2273" s="216"/>
      <c r="F2273" s="216"/>
      <c r="G2273" s="435"/>
      <c r="H2273" s="216"/>
      <c r="I2273" s="435"/>
    </row>
    <row r="2274" spans="1:9" ht="12.75">
      <c r="A2274" s="669"/>
      <c r="B2274" s="670"/>
      <c r="C2274" s="216"/>
      <c r="D2274" s="216"/>
      <c r="E2274" s="216"/>
      <c r="F2274" s="216"/>
      <c r="G2274" s="435"/>
      <c r="H2274" s="216"/>
      <c r="I2274" s="435"/>
    </row>
    <row r="2275" spans="1:9" ht="12.75">
      <c r="A2275" s="669"/>
      <c r="B2275" s="670"/>
      <c r="C2275" s="216"/>
      <c r="D2275" s="216"/>
      <c r="E2275" s="216"/>
      <c r="F2275" s="216"/>
      <c r="G2275" s="435"/>
      <c r="H2275" s="216"/>
      <c r="I2275" s="435"/>
    </row>
    <row r="2276" spans="1:9" ht="12.75">
      <c r="A2276" s="669"/>
      <c r="B2276" s="670"/>
      <c r="C2276" s="216"/>
      <c r="D2276" s="216"/>
      <c r="E2276" s="216"/>
      <c r="F2276" s="216"/>
      <c r="G2276" s="435"/>
      <c r="H2276" s="216"/>
      <c r="I2276" s="435"/>
    </row>
    <row r="2277" spans="1:9" ht="12.75">
      <c r="A2277" s="669"/>
      <c r="B2277" s="670"/>
      <c r="C2277" s="216"/>
      <c r="D2277" s="216"/>
      <c r="E2277" s="216"/>
      <c r="F2277" s="216"/>
      <c r="G2277" s="435"/>
      <c r="H2277" s="216"/>
      <c r="I2277" s="435"/>
    </row>
    <row r="2278" spans="1:9" ht="12.75">
      <c r="A2278" s="669"/>
      <c r="B2278" s="670"/>
      <c r="C2278" s="216"/>
      <c r="D2278" s="216"/>
      <c r="E2278" s="216"/>
      <c r="F2278" s="216"/>
      <c r="G2278" s="435"/>
      <c r="H2278" s="216"/>
      <c r="I2278" s="435"/>
    </row>
    <row r="2279" spans="1:9" ht="12.75">
      <c r="A2279" s="669"/>
      <c r="B2279" s="670"/>
      <c r="C2279" s="216"/>
      <c r="D2279" s="216"/>
      <c r="E2279" s="216"/>
      <c r="F2279" s="216"/>
      <c r="G2279" s="435"/>
      <c r="H2279" s="216"/>
      <c r="I2279" s="435"/>
    </row>
    <row r="2280" spans="1:9" ht="12.75">
      <c r="A2280" s="669"/>
      <c r="B2280" s="670"/>
      <c r="C2280" s="216"/>
      <c r="D2280" s="216"/>
      <c r="E2280" s="216"/>
      <c r="F2280" s="216"/>
      <c r="G2280" s="435"/>
      <c r="H2280" s="216"/>
      <c r="I2280" s="435"/>
    </row>
    <row r="2281" spans="1:9" ht="12.75">
      <c r="A2281" s="669"/>
      <c r="B2281" s="670"/>
      <c r="C2281" s="216"/>
      <c r="D2281" s="216"/>
      <c r="E2281" s="216"/>
      <c r="F2281" s="216"/>
      <c r="G2281" s="435"/>
      <c r="H2281" s="216"/>
      <c r="I2281" s="435"/>
    </row>
    <row r="2282" spans="1:9" ht="12.75">
      <c r="A2282" s="669"/>
      <c r="B2282" s="670"/>
      <c r="C2282" s="216"/>
      <c r="D2282" s="216"/>
      <c r="E2282" s="216"/>
      <c r="F2282" s="216"/>
      <c r="G2282" s="435"/>
      <c r="H2282" s="216"/>
      <c r="I2282" s="435"/>
    </row>
    <row r="2283" spans="1:9" ht="12.75">
      <c r="A2283" s="669"/>
      <c r="B2283" s="670"/>
      <c r="C2283" s="216"/>
      <c r="D2283" s="216"/>
      <c r="E2283" s="216"/>
      <c r="F2283" s="216"/>
      <c r="G2283" s="435"/>
      <c r="H2283" s="216"/>
      <c r="I2283" s="435"/>
    </row>
    <row r="2284" spans="1:9" ht="12.75">
      <c r="A2284" s="669"/>
      <c r="B2284" s="670"/>
      <c r="C2284" s="216"/>
      <c r="D2284" s="216"/>
      <c r="E2284" s="216"/>
      <c r="F2284" s="216"/>
      <c r="G2284" s="435"/>
      <c r="H2284" s="216"/>
      <c r="I2284" s="435"/>
    </row>
    <row r="2285" spans="1:9" ht="12.75">
      <c r="A2285" s="669"/>
      <c r="B2285" s="670"/>
      <c r="C2285" s="216"/>
      <c r="D2285" s="216"/>
      <c r="E2285" s="216"/>
      <c r="F2285" s="216"/>
      <c r="G2285" s="435"/>
      <c r="H2285" s="216"/>
      <c r="I2285" s="435"/>
    </row>
    <row r="2286" spans="1:9" ht="12.75">
      <c r="A2286" s="669"/>
      <c r="B2286" s="670"/>
      <c r="C2286" s="216"/>
      <c r="D2286" s="216"/>
      <c r="E2286" s="216"/>
      <c r="F2286" s="216"/>
      <c r="G2286" s="435"/>
      <c r="H2286" s="216"/>
      <c r="I2286" s="435"/>
    </row>
    <row r="2287" spans="1:9" ht="12.75">
      <c r="A2287" s="669"/>
      <c r="B2287" s="670"/>
      <c r="C2287" s="216"/>
      <c r="D2287" s="216"/>
      <c r="E2287" s="216"/>
      <c r="F2287" s="216"/>
      <c r="G2287" s="435"/>
      <c r="H2287" s="216"/>
      <c r="I2287" s="435"/>
    </row>
    <row r="2288" spans="1:9" ht="12.75">
      <c r="A2288" s="669"/>
      <c r="B2288" s="670"/>
      <c r="C2288" s="216"/>
      <c r="D2288" s="216"/>
      <c r="E2288" s="216"/>
      <c r="F2288" s="216"/>
      <c r="G2288" s="435"/>
      <c r="H2288" s="216"/>
      <c r="I2288" s="435"/>
    </row>
    <row r="2289" spans="1:9" ht="12.75">
      <c r="A2289" s="669"/>
      <c r="B2289" s="670"/>
      <c r="C2289" s="216"/>
      <c r="D2289" s="216"/>
      <c r="E2289" s="216"/>
      <c r="F2289" s="216"/>
      <c r="G2289" s="435"/>
      <c r="H2289" s="216"/>
      <c r="I2289" s="435"/>
    </row>
    <row r="2290" spans="1:9" ht="12.75">
      <c r="A2290" s="669"/>
      <c r="B2290" s="670"/>
      <c r="C2290" s="216"/>
      <c r="D2290" s="216"/>
      <c r="E2290" s="216"/>
      <c r="F2290" s="216"/>
      <c r="G2290" s="435"/>
      <c r="H2290" s="216"/>
      <c r="I2290" s="435"/>
    </row>
    <row r="2291" spans="1:9" ht="12.75">
      <c r="A2291" s="669"/>
      <c r="B2291" s="670"/>
      <c r="C2291" s="216"/>
      <c r="D2291" s="216"/>
      <c r="E2291" s="216"/>
      <c r="F2291" s="216"/>
      <c r="G2291" s="435"/>
      <c r="H2291" s="216"/>
      <c r="I2291" s="435"/>
    </row>
    <row r="2292" spans="1:9" ht="12.75">
      <c r="A2292" s="669"/>
      <c r="B2292" s="670"/>
      <c r="C2292" s="216"/>
      <c r="D2292" s="216"/>
      <c r="E2292" s="216"/>
      <c r="F2292" s="216"/>
      <c r="G2292" s="435"/>
      <c r="H2292" s="216"/>
      <c r="I2292" s="435"/>
    </row>
    <row r="2293" spans="1:9" ht="12.75">
      <c r="A2293" s="669"/>
      <c r="B2293" s="670"/>
      <c r="C2293" s="216"/>
      <c r="D2293" s="216"/>
      <c r="E2293" s="216"/>
      <c r="F2293" s="216"/>
      <c r="G2293" s="435"/>
      <c r="H2293" s="216"/>
      <c r="I2293" s="435"/>
    </row>
    <row r="2294" spans="1:9" ht="12.75">
      <c r="A2294" s="669"/>
      <c r="B2294" s="670"/>
      <c r="C2294" s="216"/>
      <c r="D2294" s="216"/>
      <c r="E2294" s="216"/>
      <c r="F2294" s="216"/>
      <c r="G2294" s="435"/>
      <c r="H2294" s="216"/>
      <c r="I2294" s="435"/>
    </row>
    <row r="2295" spans="1:9" ht="12.75">
      <c r="A2295" s="669"/>
      <c r="B2295" s="670"/>
      <c r="C2295" s="216"/>
      <c r="D2295" s="216"/>
      <c r="E2295" s="216"/>
      <c r="F2295" s="216"/>
      <c r="G2295" s="435"/>
      <c r="H2295" s="216"/>
      <c r="I2295" s="435"/>
    </row>
    <row r="2296" spans="1:9" ht="12.75">
      <c r="A2296" s="669"/>
      <c r="B2296" s="670"/>
      <c r="C2296" s="216"/>
      <c r="D2296" s="216"/>
      <c r="E2296" s="216"/>
      <c r="F2296" s="216"/>
      <c r="G2296" s="435"/>
      <c r="H2296" s="216"/>
      <c r="I2296" s="435"/>
    </row>
    <row r="2297" spans="1:9" ht="12.75">
      <c r="A2297" s="669"/>
      <c r="B2297" s="670"/>
      <c r="C2297" s="216"/>
      <c r="D2297" s="216"/>
      <c r="E2297" s="216"/>
      <c r="F2297" s="216"/>
      <c r="G2297" s="435"/>
      <c r="H2297" s="216"/>
      <c r="I2297" s="435"/>
    </row>
    <row r="2298" spans="1:9" ht="12.75">
      <c r="A2298" s="669"/>
      <c r="B2298" s="670"/>
      <c r="C2298" s="216"/>
      <c r="D2298" s="216"/>
      <c r="E2298" s="216"/>
      <c r="F2298" s="216"/>
      <c r="G2298" s="435"/>
      <c r="H2298" s="216"/>
      <c r="I2298" s="435"/>
    </row>
    <row r="2299" spans="1:9" ht="12.75">
      <c r="A2299" s="669"/>
      <c r="B2299" s="670"/>
      <c r="C2299" s="216"/>
      <c r="D2299" s="216"/>
      <c r="E2299" s="216"/>
      <c r="F2299" s="216"/>
      <c r="G2299" s="435"/>
      <c r="H2299" s="216"/>
      <c r="I2299" s="435"/>
    </row>
    <row r="2300" spans="1:9" ht="12.75">
      <c r="A2300" s="669"/>
      <c r="B2300" s="670"/>
      <c r="C2300" s="216"/>
      <c r="D2300" s="216"/>
      <c r="E2300" s="216"/>
      <c r="F2300" s="216"/>
      <c r="G2300" s="435"/>
      <c r="H2300" s="216"/>
      <c r="I2300" s="435"/>
    </row>
    <row r="2301" spans="1:9" ht="12.75">
      <c r="A2301" s="669"/>
      <c r="B2301" s="670"/>
      <c r="C2301" s="216"/>
      <c r="D2301" s="216"/>
      <c r="E2301" s="216"/>
      <c r="F2301" s="216"/>
      <c r="G2301" s="435"/>
      <c r="H2301" s="216"/>
      <c r="I2301" s="435"/>
    </row>
    <row r="2302" spans="1:9" ht="12.75">
      <c r="A2302" s="669"/>
      <c r="B2302" s="670"/>
      <c r="C2302" s="216"/>
      <c r="D2302" s="216"/>
      <c r="E2302" s="216"/>
      <c r="F2302" s="216"/>
      <c r="G2302" s="435"/>
      <c r="H2302" s="216"/>
      <c r="I2302" s="435"/>
    </row>
    <row r="2303" spans="1:9" ht="12.75">
      <c r="A2303" s="669"/>
      <c r="B2303" s="670"/>
      <c r="C2303" s="216"/>
      <c r="D2303" s="216"/>
      <c r="E2303" s="216"/>
      <c r="F2303" s="216"/>
      <c r="G2303" s="435"/>
      <c r="H2303" s="216"/>
      <c r="I2303" s="435"/>
    </row>
    <row r="2304" spans="1:9" ht="12.75">
      <c r="A2304" s="669"/>
      <c r="B2304" s="670"/>
      <c r="C2304" s="216"/>
      <c r="D2304" s="216"/>
      <c r="E2304" s="216"/>
      <c r="F2304" s="216"/>
      <c r="G2304" s="435"/>
      <c r="H2304" s="216"/>
      <c r="I2304" s="435"/>
    </row>
    <row r="2305" spans="1:9" ht="12.75">
      <c r="A2305" s="669"/>
      <c r="B2305" s="670"/>
      <c r="C2305" s="216"/>
      <c r="D2305" s="216"/>
      <c r="E2305" s="216"/>
      <c r="F2305" s="216"/>
      <c r="G2305" s="435"/>
      <c r="H2305" s="216"/>
      <c r="I2305" s="435"/>
    </row>
    <row r="2306" spans="1:9" ht="12.75">
      <c r="A2306" s="669"/>
      <c r="B2306" s="670"/>
      <c r="C2306" s="216"/>
      <c r="D2306" s="216"/>
      <c r="E2306" s="216"/>
      <c r="F2306" s="216"/>
      <c r="G2306" s="435"/>
      <c r="H2306" s="216"/>
      <c r="I2306" s="435"/>
    </row>
    <row r="2307" spans="1:9" ht="12.75">
      <c r="A2307" s="669"/>
      <c r="B2307" s="670"/>
      <c r="C2307" s="216"/>
      <c r="D2307" s="216"/>
      <c r="E2307" s="216"/>
      <c r="F2307" s="216"/>
      <c r="G2307" s="435"/>
      <c r="H2307" s="216"/>
      <c r="I2307" s="435"/>
    </row>
    <row r="2308" spans="1:9" ht="12.75">
      <c r="A2308" s="669"/>
      <c r="B2308" s="670"/>
      <c r="C2308" s="216"/>
      <c r="D2308" s="216"/>
      <c r="E2308" s="216"/>
      <c r="F2308" s="216"/>
      <c r="G2308" s="435"/>
      <c r="H2308" s="216"/>
      <c r="I2308" s="435"/>
    </row>
    <row r="2309" spans="1:9" ht="12.75">
      <c r="A2309" s="669"/>
      <c r="B2309" s="670"/>
      <c r="C2309" s="216"/>
      <c r="D2309" s="216"/>
      <c r="E2309" s="216"/>
      <c r="F2309" s="216"/>
      <c r="G2309" s="435"/>
      <c r="H2309" s="216"/>
      <c r="I2309" s="435"/>
    </row>
    <row r="2310" spans="1:9" ht="12.75">
      <c r="A2310" s="669"/>
      <c r="B2310" s="670"/>
      <c r="C2310" s="216"/>
      <c r="D2310" s="216"/>
      <c r="E2310" s="216"/>
      <c r="F2310" s="216"/>
      <c r="G2310" s="435"/>
      <c r="H2310" s="216"/>
      <c r="I2310" s="435"/>
    </row>
    <row r="2311" spans="1:9" ht="12.75">
      <c r="A2311" s="669"/>
      <c r="B2311" s="670"/>
      <c r="C2311" s="216"/>
      <c r="D2311" s="216"/>
      <c r="E2311" s="216"/>
      <c r="F2311" s="216"/>
      <c r="G2311" s="435"/>
      <c r="H2311" s="216"/>
      <c r="I2311" s="435"/>
    </row>
    <row r="2312" spans="1:9" ht="12.75">
      <c r="A2312" s="669"/>
      <c r="B2312" s="670"/>
      <c r="C2312" s="216"/>
      <c r="D2312" s="216"/>
      <c r="E2312" s="216"/>
      <c r="F2312" s="216"/>
      <c r="G2312" s="435"/>
      <c r="H2312" s="216"/>
      <c r="I2312" s="435"/>
    </row>
    <row r="2313" spans="1:9" ht="12.75">
      <c r="A2313" s="669"/>
      <c r="B2313" s="670"/>
      <c r="C2313" s="216"/>
      <c r="D2313" s="216"/>
      <c r="E2313" s="216"/>
      <c r="F2313" s="216"/>
      <c r="G2313" s="435"/>
      <c r="H2313" s="216"/>
      <c r="I2313" s="435"/>
    </row>
    <row r="2314" spans="1:9" ht="12.75">
      <c r="A2314" s="669"/>
      <c r="B2314" s="670"/>
      <c r="C2314" s="216"/>
      <c r="D2314" s="216"/>
      <c r="E2314" s="216"/>
      <c r="F2314" s="216"/>
      <c r="G2314" s="435"/>
      <c r="H2314" s="216"/>
      <c r="I2314" s="435"/>
    </row>
    <row r="2315" spans="1:9" ht="12.75">
      <c r="A2315" s="669"/>
      <c r="B2315" s="670"/>
      <c r="C2315" s="216"/>
      <c r="D2315" s="216"/>
      <c r="E2315" s="216"/>
      <c r="F2315" s="216"/>
      <c r="G2315" s="435"/>
      <c r="H2315" s="216"/>
      <c r="I2315" s="435"/>
    </row>
    <row r="2316" spans="1:9" ht="12.75">
      <c r="A2316" s="669"/>
      <c r="B2316" s="670"/>
      <c r="C2316" s="216"/>
      <c r="D2316" s="216"/>
      <c r="E2316" s="216"/>
      <c r="F2316" s="216"/>
      <c r="G2316" s="435"/>
      <c r="H2316" s="216"/>
      <c r="I2316" s="435"/>
    </row>
    <row r="2317" spans="1:9" ht="12.75">
      <c r="A2317" s="669"/>
      <c r="B2317" s="670"/>
      <c r="C2317" s="216"/>
      <c r="D2317" s="216"/>
      <c r="E2317" s="216"/>
      <c r="F2317" s="216"/>
      <c r="G2317" s="435"/>
      <c r="H2317" s="216"/>
      <c r="I2317" s="435"/>
    </row>
    <row r="2318" spans="1:9" ht="12.75">
      <c r="A2318" s="669"/>
      <c r="B2318" s="670"/>
      <c r="C2318" s="216"/>
      <c r="D2318" s="216"/>
      <c r="E2318" s="216"/>
      <c r="F2318" s="216"/>
      <c r="G2318" s="435"/>
      <c r="H2318" s="216"/>
      <c r="I2318" s="435"/>
    </row>
    <row r="2319" spans="1:9" ht="12.75">
      <c r="A2319" s="669"/>
      <c r="B2319" s="670"/>
      <c r="C2319" s="216"/>
      <c r="D2319" s="216"/>
      <c r="E2319" s="216"/>
      <c r="F2319" s="216"/>
      <c r="G2319" s="435"/>
      <c r="H2319" s="216"/>
      <c r="I2319" s="435"/>
    </row>
    <row r="2320" spans="1:9" ht="12.75">
      <c r="A2320" s="669"/>
      <c r="B2320" s="670"/>
      <c r="C2320" s="216"/>
      <c r="D2320" s="216"/>
      <c r="E2320" s="216"/>
      <c r="F2320" s="216"/>
      <c r="G2320" s="435"/>
      <c r="H2320" s="216"/>
      <c r="I2320" s="435"/>
    </row>
    <row r="2321" spans="1:9" ht="12.75">
      <c r="A2321" s="669"/>
      <c r="B2321" s="670"/>
      <c r="C2321" s="216"/>
      <c r="D2321" s="216"/>
      <c r="E2321" s="216"/>
      <c r="F2321" s="216"/>
      <c r="G2321" s="435"/>
      <c r="H2321" s="216"/>
      <c r="I2321" s="435"/>
    </row>
    <row r="2322" spans="1:9" ht="12.75">
      <c r="A2322" s="669"/>
      <c r="B2322" s="670"/>
      <c r="C2322" s="216"/>
      <c r="D2322" s="216"/>
      <c r="E2322" s="216"/>
      <c r="F2322" s="216"/>
      <c r="G2322" s="435"/>
      <c r="H2322" s="216"/>
      <c r="I2322" s="435"/>
    </row>
    <row r="2323" spans="1:9" ht="12.75">
      <c r="A2323" s="669"/>
      <c r="B2323" s="670"/>
      <c r="C2323" s="216"/>
      <c r="D2323" s="216"/>
      <c r="E2323" s="216"/>
      <c r="F2323" s="216"/>
      <c r="G2323" s="435"/>
      <c r="H2323" s="216"/>
      <c r="I2323" s="435"/>
    </row>
    <row r="2324" spans="1:9" ht="12.75">
      <c r="A2324" s="669"/>
      <c r="B2324" s="670"/>
      <c r="C2324" s="216"/>
      <c r="D2324" s="216"/>
      <c r="E2324" s="216"/>
      <c r="F2324" s="216"/>
      <c r="G2324" s="435"/>
      <c r="H2324" s="216"/>
      <c r="I2324" s="435"/>
    </row>
    <row r="2325" spans="1:9" ht="12.75">
      <c r="A2325" s="669"/>
      <c r="B2325" s="670"/>
      <c r="C2325" s="216"/>
      <c r="D2325" s="216"/>
      <c r="E2325" s="216"/>
      <c r="F2325" s="216"/>
      <c r="G2325" s="435"/>
      <c r="H2325" s="216"/>
      <c r="I2325" s="435"/>
    </row>
    <row r="2326" spans="1:9" ht="12.75">
      <c r="A2326" s="669"/>
      <c r="B2326" s="670"/>
      <c r="C2326" s="216"/>
      <c r="D2326" s="216"/>
      <c r="E2326" s="216"/>
      <c r="F2326" s="216"/>
      <c r="G2326" s="435"/>
      <c r="H2326" s="216"/>
      <c r="I2326" s="435"/>
    </row>
    <row r="2327" spans="1:9" ht="12.75">
      <c r="A2327" s="669"/>
      <c r="B2327" s="670"/>
      <c r="C2327" s="216"/>
      <c r="D2327" s="216"/>
      <c r="E2327" s="216"/>
      <c r="F2327" s="216"/>
      <c r="G2327" s="435"/>
      <c r="H2327" s="216"/>
      <c r="I2327" s="435"/>
    </row>
    <row r="2328" spans="1:9" ht="12.75">
      <c r="A2328" s="669"/>
      <c r="B2328" s="670"/>
      <c r="C2328" s="216"/>
      <c r="D2328" s="216"/>
      <c r="E2328" s="216"/>
      <c r="F2328" s="216"/>
      <c r="G2328" s="435"/>
      <c r="H2328" s="216"/>
      <c r="I2328" s="435"/>
    </row>
    <row r="2329" spans="1:9" ht="12.75">
      <c r="A2329" s="669"/>
      <c r="B2329" s="670"/>
      <c r="C2329" s="216"/>
      <c r="D2329" s="216"/>
      <c r="E2329" s="216"/>
      <c r="F2329" s="216"/>
      <c r="G2329" s="435"/>
      <c r="H2329" s="216"/>
      <c r="I2329" s="435"/>
    </row>
    <row r="2330" spans="1:9" ht="12.75">
      <c r="A2330" s="669"/>
      <c r="B2330" s="670"/>
      <c r="C2330" s="216"/>
      <c r="D2330" s="216"/>
      <c r="E2330" s="216"/>
      <c r="F2330" s="216"/>
      <c r="G2330" s="435"/>
      <c r="H2330" s="216"/>
      <c r="I2330" s="435"/>
    </row>
    <row r="2331" spans="1:9" ht="12.75">
      <c r="A2331" s="669"/>
      <c r="B2331" s="670"/>
      <c r="C2331" s="216"/>
      <c r="D2331" s="216"/>
      <c r="E2331" s="216"/>
      <c r="F2331" s="216"/>
      <c r="G2331" s="435"/>
      <c r="H2331" s="216"/>
      <c r="I2331" s="435"/>
    </row>
    <row r="2332" spans="1:9" ht="12.75">
      <c r="A2332" s="669"/>
      <c r="B2332" s="670"/>
      <c r="C2332" s="216"/>
      <c r="D2332" s="216"/>
      <c r="E2332" s="216"/>
      <c r="F2332" s="216"/>
      <c r="G2332" s="435"/>
      <c r="H2332" s="216"/>
      <c r="I2332" s="435"/>
    </row>
    <row r="2333" spans="1:9" ht="12.75">
      <c r="A2333" s="669"/>
      <c r="B2333" s="670"/>
      <c r="C2333" s="216"/>
      <c r="D2333" s="216"/>
      <c r="E2333" s="216"/>
      <c r="F2333" s="216"/>
      <c r="G2333" s="435"/>
      <c r="H2333" s="216"/>
      <c r="I2333" s="435"/>
    </row>
    <row r="2334" spans="1:9" ht="12.75">
      <c r="A2334" s="669"/>
      <c r="B2334" s="670"/>
      <c r="C2334" s="216"/>
      <c r="D2334" s="216"/>
      <c r="E2334" s="216"/>
      <c r="F2334" s="216"/>
      <c r="G2334" s="435"/>
      <c r="H2334" s="216"/>
      <c r="I2334" s="435"/>
    </row>
    <row r="2335" spans="1:9" ht="12.75">
      <c r="A2335" s="669"/>
      <c r="B2335" s="670"/>
      <c r="C2335" s="216"/>
      <c r="D2335" s="216"/>
      <c r="E2335" s="216"/>
      <c r="F2335" s="216"/>
      <c r="G2335" s="435"/>
      <c r="H2335" s="216"/>
      <c r="I2335" s="435"/>
    </row>
    <row r="2336" spans="1:9" ht="12.75">
      <c r="A2336" s="669"/>
      <c r="B2336" s="670"/>
      <c r="C2336" s="216"/>
      <c r="D2336" s="216"/>
      <c r="E2336" s="216"/>
      <c r="F2336" s="216"/>
      <c r="G2336" s="435"/>
      <c r="H2336" s="216"/>
      <c r="I2336" s="435"/>
    </row>
    <row r="2337" spans="1:9" ht="12.75">
      <c r="A2337" s="669"/>
      <c r="B2337" s="670"/>
      <c r="C2337" s="216"/>
      <c r="D2337" s="216"/>
      <c r="E2337" s="216"/>
      <c r="F2337" s="216"/>
      <c r="G2337" s="435"/>
      <c r="H2337" s="216"/>
      <c r="I2337" s="435"/>
    </row>
    <row r="2338" spans="1:9" ht="12.75">
      <c r="A2338" s="669"/>
      <c r="B2338" s="670"/>
      <c r="C2338" s="216"/>
      <c r="D2338" s="216"/>
      <c r="E2338" s="216"/>
      <c r="F2338" s="216"/>
      <c r="G2338" s="435"/>
      <c r="H2338" s="216"/>
      <c r="I2338" s="435"/>
    </row>
    <row r="2339" spans="1:9" ht="12.75">
      <c r="A2339" s="669"/>
      <c r="B2339" s="670"/>
      <c r="C2339" s="216"/>
      <c r="D2339" s="216"/>
      <c r="E2339" s="216"/>
      <c r="F2339" s="216"/>
      <c r="G2339" s="435"/>
      <c r="H2339" s="216"/>
      <c r="I2339" s="435"/>
    </row>
    <row r="2340" spans="1:9" ht="12.75">
      <c r="A2340" s="669"/>
      <c r="B2340" s="670"/>
      <c r="C2340" s="216"/>
      <c r="D2340" s="216"/>
      <c r="E2340" s="216"/>
      <c r="F2340" s="216"/>
      <c r="G2340" s="435"/>
      <c r="H2340" s="216"/>
      <c r="I2340" s="435"/>
    </row>
    <row r="2341" spans="1:9" ht="12.75">
      <c r="A2341" s="669"/>
      <c r="B2341" s="670"/>
      <c r="C2341" s="216"/>
      <c r="D2341" s="216"/>
      <c r="E2341" s="216"/>
      <c r="F2341" s="216"/>
      <c r="G2341" s="435"/>
      <c r="H2341" s="216"/>
      <c r="I2341" s="435"/>
    </row>
    <row r="2342" spans="1:9" ht="12.75">
      <c r="A2342" s="669"/>
      <c r="B2342" s="670"/>
      <c r="C2342" s="216"/>
      <c r="D2342" s="216"/>
      <c r="E2342" s="216"/>
      <c r="F2342" s="216"/>
      <c r="G2342" s="435"/>
      <c r="H2342" s="216"/>
      <c r="I2342" s="435"/>
    </row>
    <row r="2343" spans="1:9" ht="12.75">
      <c r="A2343" s="669"/>
      <c r="B2343" s="670"/>
      <c r="C2343" s="216"/>
      <c r="D2343" s="216"/>
      <c r="E2343" s="216"/>
      <c r="F2343" s="216"/>
      <c r="G2343" s="435"/>
      <c r="H2343" s="216"/>
      <c r="I2343" s="435"/>
    </row>
    <row r="2344" spans="1:9" ht="12.75">
      <c r="A2344" s="669"/>
      <c r="B2344" s="670"/>
      <c r="C2344" s="216"/>
      <c r="D2344" s="216"/>
      <c r="E2344" s="216"/>
      <c r="F2344" s="216"/>
      <c r="G2344" s="435"/>
      <c r="H2344" s="216"/>
      <c r="I2344" s="435"/>
    </row>
    <row r="2345" spans="1:9" ht="12.75">
      <c r="A2345" s="669"/>
      <c r="B2345" s="670"/>
      <c r="C2345" s="216"/>
      <c r="D2345" s="216"/>
      <c r="E2345" s="216"/>
      <c r="F2345" s="216"/>
      <c r="G2345" s="435"/>
      <c r="H2345" s="216"/>
      <c r="I2345" s="435"/>
    </row>
    <row r="2346" spans="1:9" ht="12.75">
      <c r="A2346" s="669"/>
      <c r="B2346" s="670"/>
      <c r="C2346" s="216"/>
      <c r="D2346" s="216"/>
      <c r="E2346" s="216"/>
      <c r="F2346" s="216"/>
      <c r="G2346" s="435"/>
      <c r="H2346" s="216"/>
      <c r="I2346" s="435"/>
    </row>
    <row r="2347" spans="1:9" ht="12.75">
      <c r="A2347" s="669"/>
      <c r="B2347" s="670"/>
      <c r="C2347" s="216"/>
      <c r="D2347" s="216"/>
      <c r="E2347" s="216"/>
      <c r="F2347" s="216"/>
      <c r="G2347" s="435"/>
      <c r="H2347" s="216"/>
      <c r="I2347" s="435"/>
    </row>
    <row r="2348" spans="1:9" ht="12.75">
      <c r="A2348" s="669"/>
      <c r="B2348" s="670"/>
      <c r="C2348" s="216"/>
      <c r="D2348" s="216"/>
      <c r="E2348" s="216"/>
      <c r="F2348" s="216"/>
      <c r="G2348" s="435"/>
      <c r="H2348" s="216"/>
      <c r="I2348" s="435"/>
    </row>
    <row r="2349" spans="1:9" ht="12.75">
      <c r="A2349" s="669"/>
      <c r="B2349" s="670"/>
      <c r="C2349" s="216"/>
      <c r="D2349" s="216"/>
      <c r="E2349" s="216"/>
      <c r="F2349" s="216"/>
      <c r="G2349" s="435"/>
      <c r="H2349" s="216"/>
      <c r="I2349" s="435"/>
    </row>
    <row r="2350" spans="1:9" ht="12.75">
      <c r="A2350" s="669"/>
      <c r="B2350" s="670"/>
      <c r="C2350" s="216"/>
      <c r="D2350" s="216"/>
      <c r="E2350" s="216"/>
      <c r="F2350" s="216"/>
      <c r="G2350" s="435"/>
      <c r="H2350" s="216"/>
      <c r="I2350" s="435"/>
    </row>
    <row r="2351" spans="1:9" ht="12.75">
      <c r="A2351" s="669"/>
      <c r="B2351" s="670"/>
      <c r="C2351" s="216"/>
      <c r="D2351" s="216"/>
      <c r="E2351" s="216"/>
      <c r="F2351" s="216"/>
      <c r="G2351" s="435"/>
      <c r="H2351" s="216"/>
      <c r="I2351" s="435"/>
    </row>
    <row r="2352" spans="1:9" ht="12.75">
      <c r="A2352" s="669"/>
      <c r="B2352" s="670"/>
      <c r="C2352" s="216"/>
      <c r="D2352" s="216"/>
      <c r="E2352" s="216"/>
      <c r="F2352" s="216"/>
      <c r="G2352" s="435"/>
      <c r="H2352" s="216"/>
      <c r="I2352" s="435"/>
    </row>
    <row r="2353" spans="1:9" ht="12.75">
      <c r="A2353" s="669"/>
      <c r="B2353" s="670"/>
      <c r="C2353" s="216"/>
      <c r="D2353" s="216"/>
      <c r="E2353" s="216"/>
      <c r="F2353" s="216"/>
      <c r="G2353" s="435"/>
      <c r="H2353" s="216"/>
      <c r="I2353" s="435"/>
    </row>
    <row r="2354" spans="1:9" ht="12.75">
      <c r="A2354" s="669"/>
      <c r="B2354" s="670"/>
      <c r="C2354" s="216"/>
      <c r="D2354" s="216"/>
      <c r="E2354" s="216"/>
      <c r="F2354" s="216"/>
      <c r="G2354" s="435"/>
      <c r="H2354" s="216"/>
      <c r="I2354" s="435"/>
    </row>
    <row r="2355" spans="1:9" ht="12.75">
      <c r="A2355" s="669"/>
      <c r="B2355" s="670"/>
      <c r="C2355" s="216"/>
      <c r="D2355" s="216"/>
      <c r="E2355" s="216"/>
      <c r="F2355" s="216"/>
      <c r="G2355" s="435"/>
      <c r="H2355" s="216"/>
      <c r="I2355" s="435"/>
    </row>
    <row r="2356" spans="1:9" ht="12.75">
      <c r="A2356" s="669"/>
      <c r="B2356" s="670"/>
      <c r="C2356" s="216"/>
      <c r="D2356" s="216"/>
      <c r="E2356" s="216"/>
      <c r="F2356" s="216"/>
      <c r="G2356" s="435"/>
      <c r="H2356" s="216"/>
      <c r="I2356" s="435"/>
    </row>
    <row r="2357" spans="1:9" ht="12.75">
      <c r="A2357" s="669"/>
      <c r="B2357" s="670"/>
      <c r="C2357" s="216"/>
      <c r="D2357" s="216"/>
      <c r="E2357" s="216"/>
      <c r="F2357" s="216"/>
      <c r="G2357" s="435"/>
      <c r="H2357" s="216"/>
      <c r="I2357" s="435"/>
    </row>
    <row r="2358" spans="1:9" ht="12.75">
      <c r="A2358" s="669"/>
      <c r="B2358" s="670"/>
      <c r="C2358" s="216"/>
      <c r="D2358" s="216"/>
      <c r="E2358" s="216"/>
      <c r="F2358" s="216"/>
      <c r="G2358" s="435"/>
      <c r="H2358" s="216"/>
      <c r="I2358" s="435"/>
    </row>
    <row r="2359" spans="1:9" ht="12.75">
      <c r="A2359" s="669"/>
      <c r="B2359" s="670"/>
      <c r="C2359" s="216"/>
      <c r="D2359" s="216"/>
      <c r="E2359" s="216"/>
      <c r="F2359" s="216"/>
      <c r="G2359" s="435"/>
      <c r="H2359" s="216"/>
      <c r="I2359" s="435"/>
    </row>
    <row r="2360" spans="1:9" ht="12.75">
      <c r="A2360" s="669"/>
      <c r="B2360" s="670"/>
      <c r="C2360" s="216"/>
      <c r="D2360" s="216"/>
      <c r="E2360" s="216"/>
      <c r="F2360" s="216"/>
      <c r="G2360" s="435"/>
      <c r="H2360" s="216"/>
      <c r="I2360" s="435"/>
    </row>
    <row r="2361" spans="1:9" ht="12.75">
      <c r="A2361" s="669"/>
      <c r="B2361" s="670"/>
      <c r="C2361" s="216"/>
      <c r="D2361" s="216"/>
      <c r="E2361" s="216"/>
      <c r="F2361" s="216"/>
      <c r="G2361" s="435"/>
      <c r="H2361" s="216"/>
      <c r="I2361" s="435"/>
    </row>
    <row r="2362" spans="1:9" ht="12.75">
      <c r="A2362" s="669"/>
      <c r="B2362" s="670"/>
      <c r="C2362" s="216"/>
      <c r="D2362" s="216"/>
      <c r="E2362" s="216"/>
      <c r="F2362" s="216"/>
      <c r="G2362" s="435"/>
      <c r="H2362" s="216"/>
      <c r="I2362" s="435"/>
    </row>
    <row r="2363" spans="1:9" ht="12.75">
      <c r="A2363" s="669"/>
      <c r="B2363" s="670"/>
      <c r="C2363" s="216"/>
      <c r="D2363" s="216"/>
      <c r="E2363" s="216"/>
      <c r="F2363" s="216"/>
      <c r="G2363" s="435"/>
      <c r="H2363" s="216"/>
      <c r="I2363" s="435"/>
    </row>
    <row r="2364" spans="1:9" ht="12.75">
      <c r="A2364" s="669"/>
      <c r="B2364" s="670"/>
      <c r="C2364" s="216"/>
      <c r="D2364" s="216"/>
      <c r="E2364" s="216"/>
      <c r="F2364" s="216"/>
      <c r="G2364" s="435"/>
      <c r="H2364" s="216"/>
      <c r="I2364" s="435"/>
    </row>
    <row r="2365" spans="1:9" ht="12.75">
      <c r="A2365" s="669"/>
      <c r="B2365" s="670"/>
      <c r="C2365" s="216"/>
      <c r="D2365" s="216"/>
      <c r="E2365" s="216"/>
      <c r="F2365" s="216"/>
      <c r="G2365" s="435"/>
      <c r="H2365" s="216"/>
      <c r="I2365" s="435"/>
    </row>
    <row r="2366" spans="1:9" ht="12.75">
      <c r="A2366" s="669"/>
      <c r="B2366" s="670"/>
      <c r="C2366" s="216"/>
      <c r="D2366" s="216"/>
      <c r="E2366" s="216"/>
      <c r="F2366" s="216"/>
      <c r="G2366" s="435"/>
      <c r="H2366" s="216"/>
      <c r="I2366" s="435"/>
    </row>
    <row r="2367" spans="1:9" ht="12.75">
      <c r="A2367" s="669"/>
      <c r="B2367" s="670"/>
      <c r="C2367" s="216"/>
      <c r="D2367" s="216"/>
      <c r="E2367" s="216"/>
      <c r="F2367" s="216"/>
      <c r="G2367" s="435"/>
      <c r="H2367" s="216"/>
      <c r="I2367" s="435"/>
    </row>
    <row r="2368" spans="1:9" ht="12.75">
      <c r="A2368" s="669"/>
      <c r="B2368" s="670"/>
      <c r="C2368" s="216"/>
      <c r="D2368" s="216"/>
      <c r="E2368" s="216"/>
      <c r="F2368" s="216"/>
      <c r="G2368" s="435"/>
      <c r="H2368" s="216"/>
      <c r="I2368" s="435"/>
    </row>
    <row r="2369" spans="1:9" ht="12.75">
      <c r="A2369" s="669"/>
      <c r="B2369" s="670"/>
      <c r="C2369" s="216"/>
      <c r="D2369" s="216"/>
      <c r="E2369" s="216"/>
      <c r="F2369" s="216"/>
      <c r="G2369" s="435"/>
      <c r="H2369" s="216"/>
      <c r="I2369" s="435"/>
    </row>
    <row r="2370" spans="1:9" ht="12.75">
      <c r="A2370" s="669"/>
      <c r="B2370" s="670"/>
      <c r="C2370" s="216"/>
      <c r="D2370" s="216"/>
      <c r="E2370" s="216"/>
      <c r="F2370" s="216"/>
      <c r="G2370" s="435"/>
      <c r="H2370" s="216"/>
      <c r="I2370" s="435"/>
    </row>
    <row r="2371" spans="1:9" ht="12.75">
      <c r="A2371" s="669"/>
      <c r="B2371" s="670"/>
      <c r="C2371" s="216"/>
      <c r="D2371" s="216"/>
      <c r="E2371" s="216"/>
      <c r="F2371" s="216"/>
      <c r="G2371" s="435"/>
      <c r="H2371" s="216"/>
      <c r="I2371" s="435"/>
    </row>
    <row r="2372" spans="1:9" ht="12.75">
      <c r="A2372" s="669"/>
      <c r="B2372" s="670"/>
      <c r="C2372" s="216"/>
      <c r="D2372" s="216"/>
      <c r="E2372" s="216"/>
      <c r="F2372" s="216"/>
      <c r="G2372" s="435"/>
      <c r="H2372" s="216"/>
      <c r="I2372" s="435"/>
    </row>
    <row r="2373" spans="1:9" ht="12.75">
      <c r="A2373" s="669"/>
      <c r="B2373" s="670"/>
      <c r="C2373" s="216"/>
      <c r="D2373" s="216"/>
      <c r="E2373" s="216"/>
      <c r="F2373" s="216"/>
      <c r="G2373" s="435"/>
      <c r="H2373" s="216"/>
      <c r="I2373" s="435"/>
    </row>
    <row r="2374" spans="1:9" ht="12.75">
      <c r="A2374" s="669"/>
      <c r="B2374" s="670"/>
      <c r="C2374" s="216"/>
      <c r="D2374" s="216"/>
      <c r="E2374" s="216"/>
      <c r="F2374" s="216"/>
      <c r="G2374" s="435"/>
      <c r="H2374" s="216"/>
      <c r="I2374" s="435"/>
    </row>
    <row r="2375" spans="1:9" ht="12.75">
      <c r="A2375" s="669"/>
      <c r="B2375" s="670"/>
      <c r="C2375" s="216"/>
      <c r="D2375" s="216"/>
      <c r="E2375" s="216"/>
      <c r="F2375" s="216"/>
      <c r="G2375" s="435"/>
      <c r="H2375" s="216"/>
      <c r="I2375" s="435"/>
    </row>
    <row r="2376" spans="1:9" ht="12.75">
      <c r="A2376" s="669"/>
      <c r="B2376" s="670"/>
      <c r="C2376" s="216"/>
      <c r="D2376" s="216"/>
      <c r="E2376" s="216"/>
      <c r="F2376" s="216"/>
      <c r="G2376" s="435"/>
      <c r="H2376" s="216"/>
      <c r="I2376" s="435"/>
    </row>
    <row r="2377" spans="1:9" ht="12.75">
      <c r="A2377" s="669"/>
      <c r="B2377" s="670"/>
      <c r="C2377" s="216"/>
      <c r="D2377" s="216"/>
      <c r="E2377" s="216"/>
      <c r="F2377" s="216"/>
      <c r="G2377" s="435"/>
      <c r="H2377" s="216"/>
      <c r="I2377" s="435"/>
    </row>
    <row r="2378" spans="1:9" ht="12.75">
      <c r="A2378" s="669"/>
      <c r="B2378" s="670"/>
      <c r="C2378" s="216"/>
      <c r="D2378" s="216"/>
      <c r="E2378" s="216"/>
      <c r="F2378" s="216"/>
      <c r="G2378" s="435"/>
      <c r="H2378" s="216"/>
      <c r="I2378" s="435"/>
    </row>
    <row r="2379" spans="1:9" ht="12.75">
      <c r="A2379" s="669"/>
      <c r="B2379" s="670"/>
      <c r="C2379" s="216"/>
      <c r="D2379" s="216"/>
      <c r="E2379" s="216"/>
      <c r="F2379" s="216"/>
      <c r="G2379" s="435"/>
      <c r="H2379" s="216"/>
      <c r="I2379" s="435"/>
    </row>
    <row r="2380" spans="1:9" ht="12.75">
      <c r="A2380" s="669"/>
      <c r="B2380" s="670"/>
      <c r="C2380" s="216"/>
      <c r="D2380" s="216"/>
      <c r="E2380" s="216"/>
      <c r="F2380" s="216"/>
      <c r="G2380" s="435"/>
      <c r="H2380" s="216"/>
      <c r="I2380" s="435"/>
    </row>
    <row r="2381" spans="1:9" ht="12.75">
      <c r="A2381" s="669"/>
      <c r="B2381" s="670"/>
      <c r="C2381" s="216"/>
      <c r="D2381" s="216"/>
      <c r="E2381" s="216"/>
      <c r="F2381" s="216"/>
      <c r="G2381" s="435"/>
      <c r="H2381" s="216"/>
      <c r="I2381" s="435"/>
    </row>
    <row r="2382" spans="1:9" ht="12.75">
      <c r="A2382" s="669"/>
      <c r="B2382" s="670"/>
      <c r="C2382" s="216"/>
      <c r="D2382" s="216"/>
      <c r="E2382" s="216"/>
      <c r="F2382" s="216"/>
      <c r="G2382" s="435"/>
      <c r="H2382" s="216"/>
      <c r="I2382" s="435"/>
    </row>
    <row r="2383" spans="1:9" ht="12.75">
      <c r="A2383" s="669"/>
      <c r="B2383" s="670"/>
      <c r="C2383" s="216"/>
      <c r="D2383" s="216"/>
      <c r="E2383" s="216"/>
      <c r="F2383" s="216"/>
      <c r="G2383" s="435"/>
      <c r="H2383" s="216"/>
      <c r="I2383" s="435"/>
    </row>
    <row r="2384" spans="1:9" ht="12.75">
      <c r="A2384" s="669"/>
      <c r="B2384" s="670"/>
      <c r="C2384" s="216"/>
      <c r="D2384" s="216"/>
      <c r="E2384" s="216"/>
      <c r="F2384" s="216"/>
      <c r="G2384" s="435"/>
      <c r="H2384" s="216"/>
      <c r="I2384" s="435"/>
    </row>
    <row r="2385" spans="1:9" ht="12.75">
      <c r="A2385" s="669"/>
      <c r="B2385" s="670"/>
      <c r="C2385" s="216"/>
      <c r="D2385" s="216"/>
      <c r="E2385" s="216"/>
      <c r="F2385" s="216"/>
      <c r="G2385" s="435"/>
      <c r="H2385" s="216"/>
      <c r="I2385" s="435"/>
    </row>
    <row r="2386" spans="1:9" ht="12.75">
      <c r="A2386" s="669"/>
      <c r="B2386" s="670"/>
      <c r="C2386" s="216"/>
      <c r="D2386" s="216"/>
      <c r="E2386" s="216"/>
      <c r="F2386" s="216"/>
      <c r="G2386" s="435"/>
      <c r="H2386" s="216"/>
      <c r="I2386" s="435"/>
    </row>
    <row r="2387" spans="1:9" ht="12.75">
      <c r="A2387" s="669"/>
      <c r="B2387" s="670"/>
      <c r="C2387" s="216"/>
      <c r="D2387" s="216"/>
      <c r="E2387" s="216"/>
      <c r="F2387" s="216"/>
      <c r="G2387" s="435"/>
      <c r="H2387" s="216"/>
      <c r="I2387" s="435"/>
    </row>
    <row r="2388" spans="1:9" ht="12.75">
      <c r="A2388" s="669"/>
      <c r="B2388" s="670"/>
      <c r="C2388" s="216"/>
      <c r="D2388" s="216"/>
      <c r="E2388" s="216"/>
      <c r="F2388" s="216"/>
      <c r="G2388" s="435"/>
      <c r="H2388" s="216"/>
      <c r="I2388" s="435"/>
    </row>
    <row r="2389" spans="1:9" ht="12.75">
      <c r="A2389" s="669"/>
      <c r="B2389" s="670"/>
      <c r="C2389" s="216"/>
      <c r="D2389" s="216"/>
      <c r="E2389" s="216"/>
      <c r="F2389" s="216"/>
      <c r="G2389" s="435"/>
      <c r="H2389" s="216"/>
      <c r="I2389" s="435"/>
    </row>
    <row r="2390" spans="1:9" ht="12.75">
      <c r="A2390" s="669"/>
      <c r="B2390" s="670"/>
      <c r="C2390" s="216"/>
      <c r="D2390" s="216"/>
      <c r="E2390" s="216"/>
      <c r="F2390" s="216"/>
      <c r="G2390" s="435"/>
      <c r="H2390" s="216"/>
      <c r="I2390" s="435"/>
    </row>
    <row r="2391" spans="1:9" ht="12.75">
      <c r="A2391" s="669"/>
      <c r="B2391" s="670"/>
      <c r="C2391" s="216"/>
      <c r="D2391" s="216"/>
      <c r="E2391" s="216"/>
      <c r="F2391" s="216"/>
      <c r="G2391" s="435"/>
      <c r="H2391" s="216"/>
      <c r="I2391" s="435"/>
    </row>
    <row r="2392" spans="1:9" ht="12.75">
      <c r="A2392" s="669"/>
      <c r="B2392" s="670"/>
      <c r="C2392" s="216"/>
      <c r="D2392" s="216"/>
      <c r="E2392" s="216"/>
      <c r="F2392" s="216"/>
      <c r="G2392" s="435"/>
      <c r="H2392" s="216"/>
      <c r="I2392" s="435"/>
    </row>
    <row r="2393" spans="1:9" ht="12.75">
      <c r="A2393" s="669"/>
      <c r="B2393" s="670"/>
      <c r="C2393" s="216"/>
      <c r="D2393" s="216"/>
      <c r="E2393" s="216"/>
      <c r="F2393" s="216"/>
      <c r="G2393" s="435"/>
      <c r="H2393" s="216"/>
      <c r="I2393" s="435"/>
    </row>
    <row r="2394" spans="1:9" ht="12.75">
      <c r="A2394" s="669"/>
      <c r="B2394" s="670"/>
      <c r="C2394" s="216"/>
      <c r="D2394" s="216"/>
      <c r="E2394" s="216"/>
      <c r="F2394" s="216"/>
      <c r="G2394" s="435"/>
      <c r="H2394" s="216"/>
      <c r="I2394" s="435"/>
    </row>
    <row r="2395" spans="1:9" ht="12.75">
      <c r="A2395" s="669"/>
      <c r="B2395" s="670"/>
      <c r="C2395" s="216"/>
      <c r="D2395" s="216"/>
      <c r="E2395" s="216"/>
      <c r="F2395" s="216"/>
      <c r="G2395" s="435"/>
      <c r="H2395" s="216"/>
      <c r="I2395" s="435"/>
    </row>
    <row r="2396" spans="1:9" ht="12.75">
      <c r="A2396" s="669"/>
      <c r="B2396" s="670"/>
      <c r="C2396" s="216"/>
      <c r="D2396" s="216"/>
      <c r="E2396" s="216"/>
      <c r="F2396" s="216"/>
      <c r="G2396" s="435"/>
      <c r="H2396" s="216"/>
      <c r="I2396" s="435"/>
    </row>
    <row r="2397" spans="1:9" ht="12.75">
      <c r="A2397" s="669"/>
      <c r="B2397" s="670"/>
      <c r="C2397" s="216"/>
      <c r="D2397" s="216"/>
      <c r="E2397" s="216"/>
      <c r="F2397" s="216"/>
      <c r="G2397" s="435"/>
      <c r="H2397" s="216"/>
      <c r="I2397" s="435"/>
    </row>
    <row r="2398" spans="1:9" ht="12.75">
      <c r="A2398" s="669"/>
      <c r="B2398" s="670"/>
      <c r="C2398" s="216"/>
      <c r="D2398" s="216"/>
      <c r="E2398" s="216"/>
      <c r="F2398" s="216"/>
      <c r="G2398" s="435"/>
      <c r="H2398" s="216"/>
      <c r="I2398" s="435"/>
    </row>
    <row r="2399" spans="1:9" ht="12.75">
      <c r="A2399" s="669"/>
      <c r="B2399" s="670"/>
      <c r="C2399" s="216"/>
      <c r="D2399" s="216"/>
      <c r="E2399" s="216"/>
      <c r="F2399" s="216"/>
      <c r="G2399" s="435"/>
      <c r="H2399" s="216"/>
      <c r="I2399" s="435"/>
    </row>
    <row r="2400" spans="1:9" ht="12.75">
      <c r="A2400" s="669"/>
      <c r="B2400" s="670"/>
      <c r="C2400" s="216"/>
      <c r="D2400" s="216"/>
      <c r="E2400" s="216"/>
      <c r="F2400" s="216"/>
      <c r="G2400" s="435"/>
      <c r="H2400" s="216"/>
      <c r="I2400" s="435"/>
    </row>
    <row r="2401" spans="1:9" ht="12.75">
      <c r="A2401" s="669"/>
      <c r="B2401" s="670"/>
      <c r="C2401" s="216"/>
      <c r="D2401" s="216"/>
      <c r="E2401" s="216"/>
      <c r="F2401" s="216"/>
      <c r="G2401" s="435"/>
      <c r="H2401" s="216"/>
      <c r="I2401" s="435"/>
    </row>
    <row r="2402" spans="1:9" ht="12.75">
      <c r="A2402" s="669"/>
      <c r="B2402" s="670"/>
      <c r="C2402" s="216"/>
      <c r="D2402" s="216"/>
      <c r="E2402" s="216"/>
      <c r="F2402" s="216"/>
      <c r="G2402" s="435"/>
      <c r="H2402" s="216"/>
      <c r="I2402" s="435"/>
    </row>
    <row r="2403" spans="1:9" ht="12.75">
      <c r="A2403" s="669"/>
      <c r="B2403" s="670"/>
      <c r="C2403" s="216"/>
      <c r="D2403" s="216"/>
      <c r="E2403" s="216"/>
      <c r="F2403" s="216"/>
      <c r="G2403" s="435"/>
      <c r="H2403" s="216"/>
      <c r="I2403" s="435"/>
    </row>
    <row r="2404" spans="1:9" ht="12.75">
      <c r="A2404" s="669"/>
      <c r="B2404" s="670"/>
      <c r="C2404" s="216"/>
      <c r="D2404" s="216"/>
      <c r="E2404" s="216"/>
      <c r="F2404" s="216"/>
      <c r="G2404" s="435"/>
      <c r="H2404" s="216"/>
      <c r="I2404" s="435"/>
    </row>
    <row r="2405" spans="1:9" ht="12.75">
      <c r="A2405" s="669"/>
      <c r="B2405" s="670"/>
      <c r="C2405" s="216"/>
      <c r="D2405" s="216"/>
      <c r="E2405" s="216"/>
      <c r="F2405" s="216"/>
      <c r="G2405" s="435"/>
      <c r="H2405" s="216"/>
      <c r="I2405" s="435"/>
    </row>
    <row r="2406" spans="1:9" ht="12.75">
      <c r="A2406" s="669"/>
      <c r="B2406" s="670"/>
      <c r="C2406" s="216"/>
      <c r="D2406" s="216"/>
      <c r="E2406" s="216"/>
      <c r="F2406" s="216"/>
      <c r="G2406" s="435"/>
      <c r="H2406" s="216"/>
      <c r="I2406" s="435"/>
    </row>
    <row r="2407" spans="1:9" ht="12.75">
      <c r="A2407" s="669"/>
      <c r="B2407" s="670"/>
      <c r="C2407" s="216"/>
      <c r="D2407" s="216"/>
      <c r="E2407" s="216"/>
      <c r="F2407" s="216"/>
      <c r="G2407" s="435"/>
      <c r="H2407" s="216"/>
      <c r="I2407" s="435"/>
    </row>
    <row r="2408" spans="1:9" ht="12.75">
      <c r="A2408" s="669"/>
      <c r="B2408" s="670"/>
      <c r="C2408" s="216"/>
      <c r="D2408" s="216"/>
      <c r="E2408" s="216"/>
      <c r="F2408" s="216"/>
      <c r="G2408" s="435"/>
      <c r="H2408" s="216"/>
      <c r="I2408" s="435"/>
    </row>
    <row r="2409" spans="1:9" ht="12.75">
      <c r="A2409" s="669"/>
      <c r="B2409" s="670"/>
      <c r="C2409" s="216"/>
      <c r="D2409" s="216"/>
      <c r="E2409" s="216"/>
      <c r="F2409" s="216"/>
      <c r="G2409" s="435"/>
      <c r="H2409" s="216"/>
      <c r="I2409" s="435"/>
    </row>
    <row r="2410" spans="1:9" ht="12.75">
      <c r="A2410" s="669"/>
      <c r="B2410" s="670"/>
      <c r="C2410" s="216"/>
      <c r="D2410" s="216"/>
      <c r="E2410" s="216"/>
      <c r="F2410" s="216"/>
      <c r="G2410" s="435"/>
      <c r="H2410" s="216"/>
      <c r="I2410" s="435"/>
    </row>
    <row r="2411" spans="1:9" ht="12.75">
      <c r="A2411" s="669"/>
      <c r="B2411" s="670"/>
      <c r="C2411" s="216"/>
      <c r="D2411" s="216"/>
      <c r="E2411" s="216"/>
      <c r="F2411" s="216"/>
      <c r="G2411" s="435"/>
      <c r="H2411" s="216"/>
      <c r="I2411" s="435"/>
    </row>
    <row r="2412" spans="1:9" ht="12.75">
      <c r="A2412" s="669"/>
      <c r="B2412" s="670"/>
      <c r="C2412" s="216"/>
      <c r="D2412" s="216"/>
      <c r="E2412" s="216"/>
      <c r="F2412" s="216"/>
      <c r="G2412" s="435"/>
      <c r="H2412" s="216"/>
      <c r="I2412" s="435"/>
    </row>
    <row r="2413" spans="1:9" ht="12.75">
      <c r="A2413" s="669"/>
      <c r="B2413" s="670"/>
      <c r="C2413" s="216"/>
      <c r="D2413" s="216"/>
      <c r="E2413" s="216"/>
      <c r="F2413" s="216"/>
      <c r="G2413" s="435"/>
      <c r="H2413" s="216"/>
      <c r="I2413" s="435"/>
    </row>
    <row r="2414" spans="1:9" ht="12.75">
      <c r="A2414" s="669"/>
      <c r="B2414" s="670"/>
      <c r="C2414" s="216"/>
      <c r="D2414" s="216"/>
      <c r="E2414" s="216"/>
      <c r="F2414" s="216"/>
      <c r="G2414" s="435"/>
      <c r="H2414" s="216"/>
      <c r="I2414" s="435"/>
    </row>
    <row r="2415" spans="1:9" ht="12.75">
      <c r="A2415" s="669"/>
      <c r="B2415" s="670"/>
      <c r="C2415" s="216"/>
      <c r="D2415" s="216"/>
      <c r="E2415" s="216"/>
      <c r="F2415" s="216"/>
      <c r="G2415" s="435"/>
      <c r="H2415" s="216"/>
      <c r="I2415" s="435"/>
    </row>
    <row r="2416" spans="1:9" ht="12.75">
      <c r="A2416" s="669"/>
      <c r="B2416" s="670"/>
      <c r="C2416" s="216"/>
      <c r="D2416" s="216"/>
      <c r="E2416" s="216"/>
      <c r="F2416" s="216"/>
      <c r="G2416" s="435"/>
      <c r="H2416" s="216"/>
      <c r="I2416" s="435"/>
    </row>
    <row r="2417" spans="1:9" ht="12.75">
      <c r="A2417" s="669"/>
      <c r="B2417" s="670"/>
      <c r="C2417" s="216"/>
      <c r="D2417" s="216"/>
      <c r="E2417" s="216"/>
      <c r="F2417" s="216"/>
      <c r="G2417" s="435"/>
      <c r="H2417" s="216"/>
      <c r="I2417" s="435"/>
    </row>
    <row r="2418" spans="1:9" ht="12.75">
      <c r="A2418" s="669"/>
      <c r="B2418" s="670"/>
      <c r="C2418" s="216"/>
      <c r="D2418" s="216"/>
      <c r="E2418" s="216"/>
      <c r="F2418" s="216"/>
      <c r="G2418" s="435"/>
      <c r="H2418" s="216"/>
      <c r="I2418" s="435"/>
    </row>
    <row r="2419" spans="1:9" ht="12.75">
      <c r="A2419" s="669"/>
      <c r="B2419" s="670"/>
      <c r="C2419" s="216"/>
      <c r="D2419" s="216"/>
      <c r="E2419" s="216"/>
      <c r="F2419" s="216"/>
      <c r="G2419" s="435"/>
      <c r="H2419" s="216"/>
      <c r="I2419" s="435"/>
    </row>
    <row r="2420" spans="1:9" ht="12.75">
      <c r="A2420" s="669"/>
      <c r="B2420" s="670"/>
      <c r="C2420" s="216"/>
      <c r="D2420" s="216"/>
      <c r="E2420" s="216"/>
      <c r="F2420" s="216"/>
      <c r="G2420" s="435"/>
      <c r="H2420" s="216"/>
      <c r="I2420" s="435"/>
    </row>
    <row r="2421" spans="1:9" ht="12.75">
      <c r="A2421" s="669"/>
      <c r="B2421" s="670"/>
      <c r="C2421" s="216"/>
      <c r="D2421" s="216"/>
      <c r="E2421" s="216"/>
      <c r="F2421" s="216"/>
      <c r="G2421" s="435"/>
      <c r="H2421" s="216"/>
      <c r="I2421" s="435"/>
    </row>
    <row r="2422" spans="1:9" ht="12.75">
      <c r="A2422" s="669"/>
      <c r="B2422" s="670"/>
      <c r="C2422" s="216"/>
      <c r="D2422" s="216"/>
      <c r="E2422" s="216"/>
      <c r="F2422" s="216"/>
      <c r="G2422" s="435"/>
      <c r="H2422" s="216"/>
      <c r="I2422" s="435"/>
    </row>
    <row r="2423" spans="1:9" ht="12.75">
      <c r="A2423" s="669"/>
      <c r="B2423" s="670"/>
      <c r="C2423" s="216"/>
      <c r="D2423" s="216"/>
      <c r="E2423" s="216"/>
      <c r="F2423" s="216"/>
      <c r="G2423" s="435"/>
      <c r="H2423" s="216"/>
      <c r="I2423" s="435"/>
    </row>
    <row r="2424" spans="1:9" ht="12.75">
      <c r="A2424" s="669"/>
      <c r="B2424" s="670"/>
      <c r="C2424" s="216"/>
      <c r="D2424" s="216"/>
      <c r="E2424" s="216"/>
      <c r="F2424" s="216"/>
      <c r="G2424" s="435"/>
      <c r="H2424" s="216"/>
      <c r="I2424" s="435"/>
    </row>
    <row r="2425" spans="1:9" ht="12.75">
      <c r="A2425" s="669"/>
      <c r="B2425" s="670"/>
      <c r="C2425" s="216"/>
      <c r="D2425" s="216"/>
      <c r="E2425" s="216"/>
      <c r="F2425" s="216"/>
      <c r="G2425" s="435"/>
      <c r="H2425" s="216"/>
      <c r="I2425" s="435"/>
    </row>
    <row r="2426" spans="1:9" ht="12.75">
      <c r="A2426" s="669"/>
      <c r="B2426" s="670"/>
      <c r="C2426" s="216"/>
      <c r="D2426" s="216"/>
      <c r="E2426" s="216"/>
      <c r="F2426" s="216"/>
      <c r="G2426" s="435"/>
      <c r="H2426" s="216"/>
      <c r="I2426" s="435"/>
    </row>
    <row r="2427" spans="1:9" ht="12.75">
      <c r="A2427" s="669"/>
      <c r="B2427" s="670"/>
      <c r="C2427" s="216"/>
      <c r="D2427" s="216"/>
      <c r="E2427" s="216"/>
      <c r="F2427" s="216"/>
      <c r="G2427" s="435"/>
      <c r="H2427" s="216"/>
      <c r="I2427" s="435"/>
    </row>
    <row r="2428" spans="1:9" ht="12.75">
      <c r="A2428" s="669"/>
      <c r="B2428" s="670"/>
      <c r="C2428" s="216"/>
      <c r="D2428" s="216"/>
      <c r="E2428" s="216"/>
      <c r="F2428" s="216"/>
      <c r="G2428" s="435"/>
      <c r="H2428" s="216"/>
      <c r="I2428" s="435"/>
    </row>
    <row r="2429" spans="1:9" ht="12.75">
      <c r="A2429" s="669"/>
      <c r="B2429" s="670"/>
      <c r="C2429" s="216"/>
      <c r="D2429" s="216"/>
      <c r="E2429" s="216"/>
      <c r="F2429" s="216"/>
      <c r="G2429" s="435"/>
      <c r="H2429" s="216"/>
      <c r="I2429" s="435"/>
    </row>
    <row r="2430" spans="1:9" ht="12.75">
      <c r="A2430" s="669"/>
      <c r="B2430" s="670"/>
      <c r="C2430" s="216"/>
      <c r="D2430" s="216"/>
      <c r="E2430" s="216"/>
      <c r="F2430" s="216"/>
      <c r="G2430" s="435"/>
      <c r="H2430" s="216"/>
      <c r="I2430" s="435"/>
    </row>
    <row r="2431" spans="1:9" ht="12.75">
      <c r="A2431" s="669"/>
      <c r="B2431" s="670"/>
      <c r="C2431" s="216"/>
      <c r="D2431" s="216"/>
      <c r="E2431" s="216"/>
      <c r="F2431" s="216"/>
      <c r="G2431" s="435"/>
      <c r="H2431" s="216"/>
      <c r="I2431" s="435"/>
    </row>
    <row r="2432" spans="1:9" ht="12.75">
      <c r="A2432" s="669"/>
      <c r="B2432" s="670"/>
      <c r="C2432" s="216"/>
      <c r="D2432" s="216"/>
      <c r="E2432" s="216"/>
      <c r="F2432" s="216"/>
      <c r="G2432" s="435"/>
      <c r="H2432" s="216"/>
      <c r="I2432" s="435"/>
    </row>
    <row r="2433" spans="1:9" ht="12.75">
      <c r="A2433" s="669"/>
      <c r="B2433" s="670"/>
      <c r="C2433" s="216"/>
      <c r="D2433" s="216"/>
      <c r="E2433" s="216"/>
      <c r="F2433" s="216"/>
      <c r="G2433" s="435"/>
      <c r="H2433" s="216"/>
      <c r="I2433" s="435"/>
    </row>
    <row r="2434" spans="1:9" ht="12.75">
      <c r="A2434" s="669"/>
      <c r="B2434" s="670"/>
      <c r="C2434" s="216"/>
      <c r="D2434" s="216"/>
      <c r="E2434" s="216"/>
      <c r="F2434" s="216"/>
      <c r="G2434" s="435"/>
      <c r="H2434" s="216"/>
      <c r="I2434" s="435"/>
    </row>
    <row r="2435" spans="1:9" ht="12.75">
      <c r="A2435" s="669"/>
      <c r="B2435" s="670"/>
      <c r="C2435" s="216"/>
      <c r="D2435" s="216"/>
      <c r="E2435" s="216"/>
      <c r="F2435" s="216"/>
      <c r="G2435" s="435"/>
      <c r="H2435" s="216"/>
      <c r="I2435" s="435"/>
    </row>
    <row r="2436" spans="1:9" ht="12.75">
      <c r="A2436" s="669"/>
      <c r="B2436" s="670"/>
      <c r="C2436" s="216"/>
      <c r="D2436" s="216"/>
      <c r="E2436" s="216"/>
      <c r="F2436" s="216"/>
      <c r="G2436" s="435"/>
      <c r="H2436" s="216"/>
      <c r="I2436" s="435"/>
    </row>
    <row r="2437" spans="1:9" ht="12.75">
      <c r="A2437" s="669"/>
      <c r="B2437" s="670"/>
      <c r="C2437" s="216"/>
      <c r="D2437" s="216"/>
      <c r="E2437" s="216"/>
      <c r="F2437" s="216"/>
      <c r="G2437" s="435"/>
      <c r="H2437" s="216"/>
      <c r="I2437" s="435"/>
    </row>
    <row r="2438" spans="1:9" ht="12.75">
      <c r="A2438" s="669"/>
      <c r="B2438" s="670"/>
      <c r="C2438" s="216"/>
      <c r="D2438" s="216"/>
      <c r="E2438" s="216"/>
      <c r="F2438" s="216"/>
      <c r="G2438" s="435"/>
      <c r="H2438" s="216"/>
      <c r="I2438" s="435"/>
    </row>
    <row r="2439" spans="1:9" ht="12.75">
      <c r="A2439" s="669"/>
      <c r="B2439" s="670"/>
      <c r="C2439" s="216"/>
      <c r="D2439" s="216"/>
      <c r="E2439" s="216"/>
      <c r="F2439" s="216"/>
      <c r="G2439" s="435"/>
      <c r="H2439" s="216"/>
      <c r="I2439" s="435"/>
    </row>
    <row r="2440" spans="1:9" ht="12.75">
      <c r="A2440" s="669"/>
      <c r="B2440" s="670"/>
      <c r="C2440" s="216"/>
      <c r="D2440" s="216"/>
      <c r="E2440" s="216"/>
      <c r="F2440" s="216"/>
      <c r="G2440" s="435"/>
      <c r="H2440" s="216"/>
      <c r="I2440" s="435"/>
    </row>
    <row r="2441" spans="1:9" ht="12.75">
      <c r="A2441" s="669"/>
      <c r="B2441" s="670"/>
      <c r="C2441" s="216"/>
      <c r="D2441" s="216"/>
      <c r="E2441" s="216"/>
      <c r="F2441" s="216"/>
      <c r="G2441" s="435"/>
      <c r="H2441" s="216"/>
      <c r="I2441" s="435"/>
    </row>
    <row r="2442" spans="1:9" ht="12.75">
      <c r="A2442" s="669"/>
      <c r="B2442" s="670"/>
      <c r="C2442" s="216"/>
      <c r="D2442" s="216"/>
      <c r="E2442" s="216"/>
      <c r="F2442" s="216"/>
      <c r="G2442" s="435"/>
      <c r="H2442" s="216"/>
      <c r="I2442" s="435"/>
    </row>
    <row r="2443" spans="1:9" ht="12.75">
      <c r="A2443" s="669"/>
      <c r="B2443" s="670"/>
      <c r="C2443" s="216"/>
      <c r="D2443" s="216"/>
      <c r="E2443" s="216"/>
      <c r="F2443" s="216"/>
      <c r="G2443" s="435"/>
      <c r="H2443" s="216"/>
      <c r="I2443" s="435"/>
    </row>
    <row r="2444" spans="1:9" ht="12.75">
      <c r="A2444" s="669"/>
      <c r="B2444" s="670"/>
      <c r="C2444" s="216"/>
      <c r="D2444" s="216"/>
      <c r="E2444" s="216"/>
      <c r="F2444" s="216"/>
      <c r="G2444" s="435"/>
      <c r="H2444" s="216"/>
      <c r="I2444" s="435"/>
    </row>
    <row r="2445" spans="1:9" ht="12.75">
      <c r="A2445" s="669"/>
      <c r="B2445" s="670"/>
      <c r="C2445" s="216"/>
      <c r="D2445" s="216"/>
      <c r="E2445" s="216"/>
      <c r="F2445" s="216"/>
      <c r="G2445" s="435"/>
      <c r="H2445" s="216"/>
      <c r="I2445" s="435"/>
    </row>
    <row r="2446" spans="1:9" ht="12.75">
      <c r="A2446" s="669"/>
      <c r="B2446" s="670"/>
      <c r="C2446" s="216"/>
      <c r="D2446" s="216"/>
      <c r="E2446" s="216"/>
      <c r="F2446" s="216"/>
      <c r="G2446" s="435"/>
      <c r="H2446" s="216"/>
      <c r="I2446" s="435"/>
    </row>
    <row r="2447" spans="1:9" ht="12.75">
      <c r="A2447" s="669"/>
      <c r="B2447" s="670"/>
      <c r="C2447" s="216"/>
      <c r="D2447" s="216"/>
      <c r="E2447" s="216"/>
      <c r="F2447" s="216"/>
      <c r="G2447" s="435"/>
      <c r="H2447" s="216"/>
      <c r="I2447" s="435"/>
    </row>
    <row r="2448" spans="1:9" ht="12.75">
      <c r="A2448" s="669"/>
      <c r="B2448" s="670"/>
      <c r="C2448" s="216"/>
      <c r="D2448" s="216"/>
      <c r="E2448" s="216"/>
      <c r="F2448" s="216"/>
      <c r="G2448" s="435"/>
      <c r="H2448" s="216"/>
      <c r="I2448" s="435"/>
    </row>
    <row r="2449" spans="1:9" ht="12.75">
      <c r="A2449" s="669"/>
      <c r="B2449" s="670"/>
      <c r="C2449" s="216"/>
      <c r="D2449" s="216"/>
      <c r="E2449" s="216"/>
      <c r="F2449" s="216"/>
      <c r="G2449" s="435"/>
      <c r="H2449" s="216"/>
      <c r="I2449" s="435"/>
    </row>
    <row r="2450" spans="1:9" ht="12.75">
      <c r="A2450" s="669"/>
      <c r="B2450" s="670"/>
      <c r="C2450" s="216"/>
      <c r="D2450" s="216"/>
      <c r="E2450" s="216"/>
      <c r="F2450" s="216"/>
      <c r="G2450" s="435"/>
      <c r="H2450" s="216"/>
      <c r="I2450" s="435"/>
    </row>
    <row r="2451" spans="1:9" ht="12.75">
      <c r="A2451" s="669"/>
      <c r="B2451" s="670"/>
      <c r="C2451" s="216"/>
      <c r="D2451" s="216"/>
      <c r="E2451" s="216"/>
      <c r="F2451" s="216"/>
      <c r="G2451" s="435"/>
      <c r="H2451" s="216"/>
      <c r="I2451" s="435"/>
    </row>
    <row r="2452" spans="1:9" ht="12.75">
      <c r="A2452" s="669"/>
      <c r="B2452" s="670"/>
      <c r="C2452" s="216"/>
      <c r="D2452" s="216"/>
      <c r="E2452" s="216"/>
      <c r="F2452" s="216"/>
      <c r="G2452" s="435"/>
      <c r="H2452" s="216"/>
      <c r="I2452" s="435"/>
    </row>
    <row r="2453" spans="1:9" ht="12.75">
      <c r="A2453" s="669"/>
      <c r="B2453" s="670"/>
      <c r="C2453" s="216"/>
      <c r="D2453" s="216"/>
      <c r="E2453" s="216"/>
      <c r="F2453" s="216"/>
      <c r="G2453" s="435"/>
      <c r="H2453" s="216"/>
      <c r="I2453" s="435"/>
    </row>
    <row r="2454" spans="1:9" ht="12.75">
      <c r="A2454" s="669"/>
      <c r="B2454" s="670"/>
      <c r="C2454" s="216"/>
      <c r="D2454" s="216"/>
      <c r="E2454" s="216"/>
      <c r="F2454" s="216"/>
      <c r="G2454" s="435"/>
      <c r="H2454" s="216"/>
      <c r="I2454" s="435"/>
    </row>
    <row r="2455" spans="1:9" ht="12.75">
      <c r="A2455" s="669"/>
      <c r="B2455" s="670"/>
      <c r="C2455" s="216"/>
      <c r="D2455" s="216"/>
      <c r="E2455" s="216"/>
      <c r="F2455" s="216"/>
      <c r="G2455" s="435"/>
      <c r="H2455" s="216"/>
      <c r="I2455" s="435"/>
    </row>
    <row r="2456" spans="1:9" ht="12.75">
      <c r="A2456" s="669"/>
      <c r="B2456" s="670"/>
      <c r="C2456" s="216"/>
      <c r="D2456" s="216"/>
      <c r="E2456" s="216"/>
      <c r="F2456" s="216"/>
      <c r="G2456" s="435"/>
      <c r="H2456" s="216"/>
      <c r="I2456" s="435"/>
    </row>
    <row r="2457" spans="1:9" ht="12.75">
      <c r="A2457" s="669"/>
      <c r="B2457" s="670"/>
      <c r="C2457" s="216"/>
      <c r="D2457" s="216"/>
      <c r="E2457" s="216"/>
      <c r="F2457" s="216"/>
      <c r="G2457" s="435"/>
      <c r="H2457" s="216"/>
      <c r="I2457" s="435"/>
    </row>
    <row r="2458" spans="1:9" ht="12.75">
      <c r="A2458" s="669"/>
      <c r="B2458" s="670"/>
      <c r="C2458" s="216"/>
      <c r="D2458" s="216"/>
      <c r="E2458" s="216"/>
      <c r="F2458" s="216"/>
      <c r="G2458" s="435"/>
      <c r="H2458" s="216"/>
      <c r="I2458" s="435"/>
    </row>
    <row r="2459" spans="1:9" ht="12.75">
      <c r="A2459" s="669"/>
      <c r="B2459" s="670"/>
      <c r="C2459" s="216"/>
      <c r="D2459" s="216"/>
      <c r="E2459" s="216"/>
      <c r="F2459" s="216"/>
      <c r="G2459" s="435"/>
      <c r="H2459" s="216"/>
      <c r="I2459" s="435"/>
    </row>
    <row r="2460" spans="1:9" ht="12.75">
      <c r="A2460" s="669"/>
      <c r="B2460" s="670"/>
      <c r="C2460" s="216"/>
      <c r="D2460" s="216"/>
      <c r="E2460" s="216"/>
      <c r="F2460" s="216"/>
      <c r="G2460" s="435"/>
      <c r="H2460" s="216"/>
      <c r="I2460" s="435"/>
    </row>
    <row r="2461" spans="1:9" ht="12.75">
      <c r="A2461" s="669"/>
      <c r="B2461" s="670"/>
      <c r="C2461" s="216"/>
      <c r="D2461" s="216"/>
      <c r="E2461" s="216"/>
      <c r="F2461" s="216"/>
      <c r="G2461" s="435"/>
      <c r="H2461" s="216"/>
      <c r="I2461" s="435"/>
    </row>
    <row r="2462" spans="1:9" ht="12.75">
      <c r="A2462" s="669"/>
      <c r="B2462" s="670"/>
      <c r="C2462" s="216"/>
      <c r="D2462" s="216"/>
      <c r="E2462" s="216"/>
      <c r="F2462" s="216"/>
      <c r="G2462" s="435"/>
      <c r="H2462" s="216"/>
      <c r="I2462" s="435"/>
    </row>
    <row r="2463" spans="1:9" ht="12.75">
      <c r="A2463" s="669"/>
      <c r="B2463" s="670"/>
      <c r="C2463" s="216"/>
      <c r="D2463" s="216"/>
      <c r="E2463" s="216"/>
      <c r="F2463" s="216"/>
      <c r="G2463" s="435"/>
      <c r="H2463" s="216"/>
      <c r="I2463" s="435"/>
    </row>
    <row r="2464" spans="1:9" ht="12.75">
      <c r="A2464" s="669"/>
      <c r="B2464" s="670"/>
      <c r="C2464" s="216"/>
      <c r="D2464" s="216"/>
      <c r="E2464" s="216"/>
      <c r="F2464" s="216"/>
      <c r="G2464" s="435"/>
      <c r="H2464" s="216"/>
      <c r="I2464" s="435"/>
    </row>
    <row r="2465" spans="1:9" ht="12.75">
      <c r="A2465" s="669"/>
      <c r="B2465" s="670"/>
      <c r="C2465" s="216"/>
      <c r="D2465" s="216"/>
      <c r="E2465" s="216"/>
      <c r="F2465" s="216"/>
      <c r="G2465" s="435"/>
      <c r="H2465" s="216"/>
      <c r="I2465" s="435"/>
    </row>
    <row r="2466" spans="1:9" ht="12.75">
      <c r="A2466" s="669"/>
      <c r="B2466" s="670"/>
      <c r="C2466" s="216"/>
      <c r="D2466" s="216"/>
      <c r="E2466" s="216"/>
      <c r="F2466" s="216"/>
      <c r="G2466" s="435"/>
      <c r="H2466" s="216"/>
      <c r="I2466" s="435"/>
    </row>
    <row r="2467" spans="1:9" ht="12.75">
      <c r="A2467" s="669"/>
      <c r="B2467" s="670"/>
      <c r="C2467" s="216"/>
      <c r="D2467" s="216"/>
      <c r="E2467" s="216"/>
      <c r="F2467" s="216"/>
      <c r="G2467" s="435"/>
      <c r="H2467" s="216"/>
      <c r="I2467" s="435"/>
    </row>
    <row r="2468" spans="1:9" ht="12.75">
      <c r="A2468" s="669"/>
      <c r="B2468" s="670"/>
      <c r="C2468" s="216"/>
      <c r="D2468" s="216"/>
      <c r="E2468" s="216"/>
      <c r="F2468" s="216"/>
      <c r="G2468" s="435"/>
      <c r="H2468" s="216"/>
      <c r="I2468" s="435"/>
    </row>
    <row r="2469" spans="1:9" ht="12.75">
      <c r="A2469" s="669"/>
      <c r="B2469" s="670"/>
      <c r="C2469" s="216"/>
      <c r="D2469" s="216"/>
      <c r="E2469" s="216"/>
      <c r="F2469" s="216"/>
      <c r="G2469" s="435"/>
      <c r="H2469" s="216"/>
      <c r="I2469" s="435"/>
    </row>
    <row r="2470" spans="1:9" ht="12.75">
      <c r="A2470" s="669"/>
      <c r="B2470" s="670"/>
      <c r="C2470" s="216"/>
      <c r="D2470" s="216"/>
      <c r="E2470" s="216"/>
      <c r="F2470" s="216"/>
      <c r="G2470" s="435"/>
      <c r="H2470" s="216"/>
      <c r="I2470" s="435"/>
    </row>
    <row r="2471" spans="1:9" ht="12.75">
      <c r="A2471" s="669"/>
      <c r="B2471" s="670"/>
      <c r="C2471" s="216"/>
      <c r="D2471" s="216"/>
      <c r="E2471" s="216"/>
      <c r="F2471" s="216"/>
      <c r="G2471" s="435"/>
      <c r="H2471" s="216"/>
      <c r="I2471" s="435"/>
    </row>
    <row r="2472" spans="1:9" ht="12.75">
      <c r="A2472" s="669"/>
      <c r="B2472" s="670"/>
      <c r="C2472" s="216"/>
      <c r="D2472" s="216"/>
      <c r="E2472" s="216"/>
      <c r="F2472" s="216"/>
      <c r="G2472" s="435"/>
      <c r="H2472" s="216"/>
      <c r="I2472" s="435"/>
    </row>
    <row r="2473" spans="1:9" ht="12.75">
      <c r="A2473" s="669"/>
      <c r="B2473" s="670"/>
      <c r="C2473" s="216"/>
      <c r="D2473" s="216"/>
      <c r="E2473" s="216"/>
      <c r="F2473" s="216"/>
      <c r="G2473" s="435"/>
      <c r="H2473" s="216"/>
      <c r="I2473" s="435"/>
    </row>
    <row r="2474" spans="1:9" ht="12.75">
      <c r="A2474" s="669"/>
      <c r="B2474" s="670"/>
      <c r="C2474" s="216"/>
      <c r="D2474" s="216"/>
      <c r="E2474" s="216"/>
      <c r="F2474" s="216"/>
      <c r="G2474" s="435"/>
      <c r="H2474" s="216"/>
      <c r="I2474" s="435"/>
    </row>
    <row r="2475" spans="1:9" ht="12.75">
      <c r="A2475" s="669"/>
      <c r="B2475" s="670"/>
      <c r="C2475" s="216"/>
      <c r="D2475" s="216"/>
      <c r="E2475" s="216"/>
      <c r="F2475" s="216"/>
      <c r="G2475" s="435"/>
      <c r="H2475" s="216"/>
      <c r="I2475" s="435"/>
    </row>
    <row r="2476" spans="1:9" ht="12.75">
      <c r="A2476" s="669"/>
      <c r="B2476" s="670"/>
      <c r="C2476" s="216"/>
      <c r="D2476" s="216"/>
      <c r="E2476" s="216"/>
      <c r="F2476" s="216"/>
      <c r="G2476" s="435"/>
      <c r="H2476" s="216"/>
      <c r="I2476" s="435"/>
    </row>
    <row r="2477" spans="1:9" ht="12.75">
      <c r="A2477" s="669"/>
      <c r="B2477" s="670"/>
      <c r="C2477" s="216"/>
      <c r="D2477" s="216"/>
      <c r="E2477" s="216"/>
      <c r="F2477" s="216"/>
      <c r="G2477" s="435"/>
      <c r="H2477" s="216"/>
      <c r="I2477" s="435"/>
    </row>
    <row r="2478" spans="1:9" ht="12.75">
      <c r="A2478" s="669"/>
      <c r="B2478" s="670"/>
      <c r="C2478" s="216"/>
      <c r="D2478" s="216"/>
      <c r="E2478" s="216"/>
      <c r="F2478" s="216"/>
      <c r="G2478" s="435"/>
      <c r="H2478" s="216"/>
      <c r="I2478" s="435"/>
    </row>
    <row r="2479" spans="1:9" ht="12.75">
      <c r="A2479" s="669"/>
      <c r="B2479" s="670"/>
      <c r="C2479" s="216"/>
      <c r="D2479" s="216"/>
      <c r="E2479" s="216"/>
      <c r="F2479" s="216"/>
      <c r="G2479" s="435"/>
      <c r="H2479" s="216"/>
      <c r="I2479" s="435"/>
    </row>
    <row r="2480" spans="1:9" ht="12.75">
      <c r="A2480" s="669"/>
      <c r="B2480" s="670"/>
      <c r="C2480" s="216"/>
      <c r="D2480" s="216"/>
      <c r="E2480" s="216"/>
      <c r="F2480" s="216"/>
      <c r="G2480" s="435"/>
      <c r="H2480" s="216"/>
      <c r="I2480" s="435"/>
    </row>
    <row r="2481" spans="1:9" ht="12.75">
      <c r="A2481" s="669"/>
      <c r="B2481" s="670"/>
      <c r="C2481" s="216"/>
      <c r="D2481" s="216"/>
      <c r="E2481" s="216"/>
      <c r="F2481" s="216"/>
      <c r="G2481" s="435"/>
      <c r="H2481" s="216"/>
      <c r="I2481" s="435"/>
    </row>
    <row r="2482" spans="1:9" ht="12.75">
      <c r="A2482" s="669"/>
      <c r="B2482" s="670"/>
      <c r="C2482" s="216"/>
      <c r="D2482" s="216"/>
      <c r="E2482" s="216"/>
      <c r="F2482" s="216"/>
      <c r="G2482" s="435"/>
      <c r="H2482" s="216"/>
      <c r="I2482" s="435"/>
    </row>
    <row r="2483" spans="1:9" ht="12.75">
      <c r="A2483" s="669"/>
      <c r="B2483" s="670"/>
      <c r="C2483" s="216"/>
      <c r="D2483" s="216"/>
      <c r="E2483" s="216"/>
      <c r="F2483" s="216"/>
      <c r="G2483" s="435"/>
      <c r="H2483" s="216"/>
      <c r="I2483" s="435"/>
    </row>
    <row r="2484" spans="1:9" ht="12.75">
      <c r="A2484" s="669"/>
      <c r="B2484" s="670"/>
      <c r="C2484" s="216"/>
      <c r="D2484" s="216"/>
      <c r="E2484" s="216"/>
      <c r="F2484" s="216"/>
      <c r="G2484" s="435"/>
      <c r="H2484" s="216"/>
      <c r="I2484" s="435"/>
    </row>
    <row r="2485" spans="1:9" ht="12.75">
      <c r="A2485" s="669"/>
      <c r="B2485" s="670"/>
      <c r="C2485" s="216"/>
      <c r="D2485" s="216"/>
      <c r="E2485" s="216"/>
      <c r="F2485" s="216"/>
      <c r="G2485" s="435"/>
      <c r="H2485" s="216"/>
      <c r="I2485" s="435"/>
    </row>
    <row r="2486" spans="1:9" ht="12.75">
      <c r="A2486" s="669"/>
      <c r="B2486" s="670"/>
      <c r="C2486" s="216"/>
      <c r="D2486" s="216"/>
      <c r="E2486" s="216"/>
      <c r="F2486" s="216"/>
      <c r="G2486" s="435"/>
      <c r="H2486" s="216"/>
      <c r="I2486" s="435"/>
    </row>
    <row r="2487" spans="1:9" ht="12.75">
      <c r="A2487" s="669"/>
      <c r="B2487" s="670"/>
      <c r="C2487" s="216"/>
      <c r="D2487" s="216"/>
      <c r="E2487" s="216"/>
      <c r="F2487" s="216"/>
      <c r="G2487" s="435"/>
      <c r="H2487" s="216"/>
      <c r="I2487" s="435"/>
    </row>
    <row r="2488" spans="1:9" ht="12.75">
      <c r="A2488" s="669"/>
      <c r="B2488" s="670"/>
      <c r="C2488" s="216"/>
      <c r="D2488" s="216"/>
      <c r="E2488" s="216"/>
      <c r="F2488" s="216"/>
      <c r="G2488" s="435"/>
      <c r="H2488" s="216"/>
      <c r="I2488" s="435"/>
    </row>
    <row r="2489" spans="1:9" ht="12.75">
      <c r="A2489" s="669"/>
      <c r="B2489" s="670"/>
      <c r="C2489" s="216"/>
      <c r="D2489" s="216"/>
      <c r="E2489" s="216"/>
      <c r="F2489" s="216"/>
      <c r="G2489" s="435"/>
      <c r="H2489" s="216"/>
      <c r="I2489" s="435"/>
    </row>
    <row r="2490" spans="1:9" ht="12.75">
      <c r="A2490" s="669"/>
      <c r="B2490" s="670"/>
      <c r="C2490" s="216"/>
      <c r="D2490" s="216"/>
      <c r="E2490" s="216"/>
      <c r="F2490" s="216"/>
      <c r="G2490" s="435"/>
      <c r="H2490" s="216"/>
      <c r="I2490" s="435"/>
    </row>
    <row r="2491" spans="1:9" ht="12.75">
      <c r="A2491" s="669"/>
      <c r="B2491" s="670"/>
      <c r="C2491" s="216"/>
      <c r="D2491" s="216"/>
      <c r="E2491" s="216"/>
      <c r="F2491" s="216"/>
      <c r="G2491" s="435"/>
      <c r="H2491" s="216"/>
      <c r="I2491" s="435"/>
    </row>
    <row r="2492" spans="1:9" ht="12.75">
      <c r="A2492" s="669"/>
      <c r="B2492" s="670"/>
      <c r="C2492" s="216"/>
      <c r="D2492" s="216"/>
      <c r="E2492" s="216"/>
      <c r="F2492" s="216"/>
      <c r="G2492" s="435"/>
      <c r="H2492" s="216"/>
      <c r="I2492" s="435"/>
    </row>
    <row r="2493" spans="1:9" ht="12.75">
      <c r="A2493" s="669"/>
      <c r="B2493" s="670"/>
      <c r="C2493" s="216"/>
      <c r="D2493" s="216"/>
      <c r="E2493" s="216"/>
      <c r="F2493" s="216"/>
      <c r="G2493" s="435"/>
      <c r="H2493" s="216"/>
      <c r="I2493" s="435"/>
    </row>
    <row r="2494" spans="1:9" ht="12.75">
      <c r="A2494" s="669"/>
      <c r="B2494" s="670"/>
      <c r="C2494" s="216"/>
      <c r="D2494" s="216"/>
      <c r="E2494" s="216"/>
      <c r="F2494" s="216"/>
      <c r="G2494" s="435"/>
      <c r="H2494" s="216"/>
      <c r="I2494" s="435"/>
    </row>
    <row r="2495" spans="1:9" ht="12.75">
      <c r="A2495" s="669"/>
      <c r="B2495" s="670"/>
      <c r="C2495" s="216"/>
      <c r="D2495" s="216"/>
      <c r="E2495" s="216"/>
      <c r="F2495" s="216"/>
      <c r="G2495" s="435"/>
      <c r="H2495" s="216"/>
      <c r="I2495" s="435"/>
    </row>
    <row r="2496" spans="1:9" ht="12.75">
      <c r="A2496" s="669"/>
      <c r="B2496" s="670"/>
      <c r="C2496" s="216"/>
      <c r="D2496" s="216"/>
      <c r="E2496" s="216"/>
      <c r="F2496" s="216"/>
      <c r="G2496" s="435"/>
      <c r="H2496" s="216"/>
      <c r="I2496" s="435"/>
    </row>
    <row r="2497" spans="1:9" ht="12.75">
      <c r="A2497" s="669"/>
      <c r="B2497" s="670"/>
      <c r="C2497" s="216"/>
      <c r="D2497" s="216"/>
      <c r="E2497" s="216"/>
      <c r="F2497" s="216"/>
      <c r="G2497" s="435"/>
      <c r="H2497" s="216"/>
      <c r="I2497" s="435"/>
    </row>
    <row r="2498" spans="1:9" ht="12.75">
      <c r="A2498" s="669"/>
      <c r="B2498" s="670"/>
      <c r="C2498" s="216"/>
      <c r="D2498" s="216"/>
      <c r="E2498" s="216"/>
      <c r="F2498" s="216"/>
      <c r="G2498" s="435"/>
      <c r="H2498" s="216"/>
      <c r="I2498" s="435"/>
    </row>
    <row r="2499" spans="1:9" ht="12.75">
      <c r="A2499" s="669"/>
      <c r="B2499" s="670"/>
      <c r="C2499" s="216"/>
      <c r="D2499" s="216"/>
      <c r="E2499" s="216"/>
      <c r="F2499" s="216"/>
      <c r="G2499" s="435"/>
      <c r="H2499" s="216"/>
      <c r="I2499" s="435"/>
    </row>
    <row r="2500" spans="1:9" ht="12.75">
      <c r="A2500" s="669"/>
      <c r="B2500" s="670"/>
      <c r="C2500" s="216"/>
      <c r="D2500" s="216"/>
      <c r="E2500" s="216"/>
      <c r="F2500" s="216"/>
      <c r="G2500" s="435"/>
      <c r="H2500" s="216"/>
      <c r="I2500" s="435"/>
    </row>
    <row r="2501" spans="1:9" ht="12.75">
      <c r="A2501" s="669"/>
      <c r="B2501" s="670"/>
      <c r="C2501" s="216"/>
      <c r="D2501" s="216"/>
      <c r="E2501" s="216"/>
      <c r="F2501" s="216"/>
      <c r="G2501" s="435"/>
      <c r="H2501" s="216"/>
      <c r="I2501" s="435"/>
    </row>
    <row r="2502" spans="1:9" ht="12.75">
      <c r="A2502" s="669"/>
      <c r="B2502" s="670"/>
      <c r="C2502" s="216"/>
      <c r="D2502" s="216"/>
      <c r="E2502" s="216"/>
      <c r="F2502" s="216"/>
      <c r="G2502" s="435"/>
      <c r="H2502" s="216"/>
      <c r="I2502" s="435"/>
    </row>
    <row r="2503" spans="1:9" ht="12.75">
      <c r="A2503" s="669"/>
      <c r="B2503" s="670"/>
      <c r="C2503" s="216"/>
      <c r="D2503" s="216"/>
      <c r="E2503" s="216"/>
      <c r="F2503" s="216"/>
      <c r="G2503" s="435"/>
      <c r="H2503" s="216"/>
      <c r="I2503" s="435"/>
    </row>
    <row r="2504" spans="1:9" ht="12.75">
      <c r="A2504" s="669"/>
      <c r="B2504" s="670"/>
      <c r="C2504" s="216"/>
      <c r="D2504" s="216"/>
      <c r="E2504" s="216"/>
      <c r="F2504" s="216"/>
      <c r="G2504" s="435"/>
      <c r="H2504" s="216"/>
      <c r="I2504" s="435"/>
    </row>
    <row r="2505" spans="1:9" ht="12.75">
      <c r="A2505" s="669"/>
      <c r="B2505" s="670"/>
      <c r="C2505" s="216"/>
      <c r="D2505" s="216"/>
      <c r="E2505" s="216"/>
      <c r="F2505" s="216"/>
      <c r="G2505" s="435"/>
      <c r="H2505" s="216"/>
      <c r="I2505" s="435"/>
    </row>
    <row r="2506" spans="1:9" ht="12.75">
      <c r="A2506" s="669"/>
      <c r="B2506" s="670"/>
      <c r="C2506" s="216"/>
      <c r="D2506" s="216"/>
      <c r="E2506" s="216"/>
      <c r="F2506" s="216"/>
      <c r="G2506" s="435"/>
      <c r="H2506" s="216"/>
      <c r="I2506" s="435"/>
    </row>
    <row r="2507" spans="1:9" ht="12.75">
      <c r="A2507" s="669"/>
      <c r="B2507" s="670"/>
      <c r="C2507" s="216"/>
      <c r="D2507" s="216"/>
      <c r="E2507" s="216"/>
      <c r="F2507" s="216"/>
      <c r="G2507" s="435"/>
      <c r="H2507" s="216"/>
      <c r="I2507" s="435"/>
    </row>
    <row r="2508" spans="1:9" ht="12.75">
      <c r="A2508" s="669"/>
      <c r="B2508" s="670"/>
      <c r="C2508" s="216"/>
      <c r="D2508" s="216"/>
      <c r="E2508" s="216"/>
      <c r="F2508" s="216"/>
      <c r="G2508" s="435"/>
      <c r="H2508" s="216"/>
      <c r="I2508" s="435"/>
    </row>
    <row r="2509" spans="1:9" ht="12.75">
      <c r="A2509" s="669"/>
      <c r="B2509" s="670"/>
      <c r="C2509" s="216"/>
      <c r="D2509" s="216"/>
      <c r="E2509" s="216"/>
      <c r="F2509" s="216"/>
      <c r="G2509" s="435"/>
      <c r="H2509" s="216"/>
      <c r="I2509" s="435"/>
    </row>
    <row r="2510" spans="1:9" ht="12.75">
      <c r="A2510" s="669"/>
      <c r="B2510" s="670"/>
      <c r="C2510" s="216"/>
      <c r="D2510" s="216"/>
      <c r="E2510" s="216"/>
      <c r="F2510" s="216"/>
      <c r="G2510" s="435"/>
      <c r="H2510" s="216"/>
      <c r="I2510" s="435"/>
    </row>
    <row r="2511" spans="1:9" ht="12.75">
      <c r="A2511" s="669"/>
      <c r="B2511" s="670"/>
      <c r="C2511" s="216"/>
      <c r="D2511" s="216"/>
      <c r="E2511" s="216"/>
      <c r="F2511" s="216"/>
      <c r="G2511" s="435"/>
      <c r="H2511" s="216"/>
      <c r="I2511" s="435"/>
    </row>
    <row r="2512" spans="1:9" ht="12.75">
      <c r="A2512" s="669"/>
      <c r="B2512" s="670"/>
      <c r="C2512" s="216"/>
      <c r="D2512" s="216"/>
      <c r="E2512" s="216"/>
      <c r="F2512" s="216"/>
      <c r="G2512" s="435"/>
      <c r="H2512" s="216"/>
      <c r="I2512" s="435"/>
    </row>
    <row r="2513" spans="1:9" ht="12.75">
      <c r="A2513" s="669"/>
      <c r="B2513" s="670"/>
      <c r="C2513" s="216"/>
      <c r="D2513" s="216"/>
      <c r="E2513" s="216"/>
      <c r="F2513" s="216"/>
      <c r="G2513" s="435"/>
      <c r="H2513" s="216"/>
      <c r="I2513" s="435"/>
    </row>
    <row r="2514" spans="1:9" ht="12.75">
      <c r="A2514" s="669"/>
      <c r="B2514" s="670"/>
      <c r="C2514" s="216"/>
      <c r="D2514" s="216"/>
      <c r="E2514" s="216"/>
      <c r="F2514" s="216"/>
      <c r="G2514" s="435"/>
      <c r="H2514" s="216"/>
      <c r="I2514" s="435"/>
    </row>
    <row r="2515" spans="1:9" ht="12.75">
      <c r="A2515" s="669"/>
      <c r="B2515" s="670"/>
      <c r="C2515" s="216"/>
      <c r="D2515" s="216"/>
      <c r="E2515" s="216"/>
      <c r="F2515" s="216"/>
      <c r="G2515" s="435"/>
      <c r="H2515" s="216"/>
      <c r="I2515" s="435"/>
    </row>
    <row r="2516" spans="1:9" ht="12.75">
      <c r="A2516" s="669"/>
      <c r="B2516" s="670"/>
      <c r="C2516" s="216"/>
      <c r="D2516" s="216"/>
      <c r="E2516" s="216"/>
      <c r="F2516" s="216"/>
      <c r="G2516" s="435"/>
      <c r="H2516" s="216"/>
      <c r="I2516" s="435"/>
    </row>
    <row r="2517" spans="1:9" ht="12.75">
      <c r="A2517" s="669"/>
      <c r="B2517" s="670"/>
      <c r="C2517" s="216"/>
      <c r="D2517" s="216"/>
      <c r="E2517" s="216"/>
      <c r="F2517" s="216"/>
      <c r="G2517" s="435"/>
      <c r="H2517" s="216"/>
      <c r="I2517" s="435"/>
    </row>
    <row r="2518" spans="1:9" ht="12.75">
      <c r="A2518" s="669"/>
      <c r="B2518" s="670"/>
      <c r="C2518" s="216"/>
      <c r="D2518" s="216"/>
      <c r="E2518" s="216"/>
      <c r="F2518" s="216"/>
      <c r="G2518" s="435"/>
      <c r="H2518" s="216"/>
      <c r="I2518" s="435"/>
    </row>
    <row r="2519" spans="1:9" ht="12.75">
      <c r="A2519" s="669"/>
      <c r="B2519" s="670"/>
      <c r="C2519" s="216"/>
      <c r="D2519" s="216"/>
      <c r="E2519" s="216"/>
      <c r="F2519" s="216"/>
      <c r="G2519" s="435"/>
      <c r="H2519" s="216"/>
      <c r="I2519" s="435"/>
    </row>
    <row r="2520" spans="1:9" ht="12.75">
      <c r="A2520" s="669"/>
      <c r="B2520" s="670"/>
      <c r="C2520" s="216"/>
      <c r="D2520" s="216"/>
      <c r="E2520" s="216"/>
      <c r="F2520" s="216"/>
      <c r="G2520" s="435"/>
      <c r="H2520" s="216"/>
      <c r="I2520" s="435"/>
    </row>
    <row r="2521" spans="1:9" ht="12.75">
      <c r="A2521" s="669"/>
      <c r="B2521" s="670"/>
      <c r="C2521" s="216"/>
      <c r="D2521" s="216"/>
      <c r="E2521" s="216"/>
      <c r="F2521" s="216"/>
      <c r="G2521" s="435"/>
      <c r="H2521" s="216"/>
      <c r="I2521" s="435"/>
    </row>
    <row r="2522" spans="1:9" ht="12.75">
      <c r="A2522" s="669"/>
      <c r="B2522" s="670"/>
      <c r="C2522" s="216"/>
      <c r="D2522" s="216"/>
      <c r="E2522" s="216"/>
      <c r="F2522" s="216"/>
      <c r="G2522" s="435"/>
      <c r="H2522" s="216"/>
      <c r="I2522" s="435"/>
    </row>
    <row r="2523" spans="1:9" ht="12.75">
      <c r="A2523" s="669"/>
      <c r="B2523" s="670"/>
      <c r="C2523" s="216"/>
      <c r="D2523" s="216"/>
      <c r="E2523" s="216"/>
      <c r="F2523" s="216"/>
      <c r="G2523" s="435"/>
      <c r="H2523" s="216"/>
      <c r="I2523" s="435"/>
    </row>
    <row r="2524" spans="1:9" ht="12.75">
      <c r="A2524" s="669"/>
      <c r="B2524" s="670"/>
      <c r="C2524" s="216"/>
      <c r="D2524" s="216"/>
      <c r="E2524" s="216"/>
      <c r="F2524" s="216"/>
      <c r="G2524" s="435"/>
      <c r="H2524" s="216"/>
      <c r="I2524" s="435"/>
    </row>
    <row r="2525" spans="1:9" ht="12.75">
      <c r="A2525" s="669"/>
      <c r="B2525" s="670"/>
      <c r="C2525" s="216"/>
      <c r="D2525" s="216"/>
      <c r="E2525" s="216"/>
      <c r="F2525" s="216"/>
      <c r="G2525" s="435"/>
      <c r="H2525" s="216"/>
      <c r="I2525" s="435"/>
    </row>
    <row r="2526" spans="1:9" ht="12.75">
      <c r="A2526" s="669"/>
      <c r="B2526" s="670"/>
      <c r="C2526" s="216"/>
      <c r="D2526" s="216"/>
      <c r="E2526" s="216"/>
      <c r="F2526" s="216"/>
      <c r="G2526" s="435"/>
      <c r="H2526" s="216"/>
      <c r="I2526" s="435"/>
    </row>
    <row r="2527" spans="1:9" ht="12.75">
      <c r="A2527" s="669"/>
      <c r="B2527" s="670"/>
      <c r="C2527" s="216"/>
      <c r="D2527" s="216"/>
      <c r="E2527" s="216"/>
      <c r="F2527" s="216"/>
      <c r="G2527" s="435"/>
      <c r="H2527" s="216"/>
      <c r="I2527" s="435"/>
    </row>
    <row r="2528" spans="1:9" ht="12.75">
      <c r="A2528" s="669"/>
      <c r="B2528" s="670"/>
      <c r="C2528" s="216"/>
      <c r="D2528" s="216"/>
      <c r="E2528" s="216"/>
      <c r="F2528" s="216"/>
      <c r="G2528" s="435"/>
      <c r="H2528" s="216"/>
      <c r="I2528" s="435"/>
    </row>
    <row r="2529" spans="1:9" ht="12.75">
      <c r="A2529" s="669"/>
      <c r="B2529" s="670"/>
      <c r="C2529" s="216"/>
      <c r="D2529" s="216"/>
      <c r="E2529" s="216"/>
      <c r="F2529" s="216"/>
      <c r="G2529" s="435"/>
      <c r="H2529" s="216"/>
      <c r="I2529" s="435"/>
    </row>
    <row r="2530" spans="1:9" ht="12.75">
      <c r="A2530" s="669"/>
      <c r="B2530" s="670"/>
      <c r="C2530" s="216"/>
      <c r="D2530" s="216"/>
      <c r="E2530" s="216"/>
      <c r="F2530" s="216"/>
      <c r="G2530" s="435"/>
      <c r="H2530" s="216"/>
      <c r="I2530" s="435"/>
    </row>
    <row r="2531" spans="1:9" ht="12.75">
      <c r="A2531" s="669"/>
      <c r="B2531" s="670"/>
      <c r="C2531" s="216"/>
      <c r="D2531" s="216"/>
      <c r="E2531" s="216"/>
      <c r="F2531" s="216"/>
      <c r="G2531" s="435"/>
      <c r="H2531" s="216"/>
      <c r="I2531" s="435"/>
    </row>
    <row r="2532" spans="1:9" ht="12.75">
      <c r="A2532" s="669"/>
      <c r="B2532" s="670"/>
      <c r="C2532" s="216"/>
      <c r="D2532" s="216"/>
      <c r="E2532" s="216"/>
      <c r="F2532" s="216"/>
      <c r="G2532" s="435"/>
      <c r="H2532" s="216"/>
      <c r="I2532" s="435"/>
    </row>
    <row r="2533" spans="1:9" ht="12.75">
      <c r="A2533" s="669"/>
      <c r="B2533" s="670"/>
      <c r="C2533" s="216"/>
      <c r="D2533" s="216"/>
      <c r="E2533" s="216"/>
      <c r="F2533" s="216"/>
      <c r="G2533" s="435"/>
      <c r="H2533" s="216"/>
      <c r="I2533" s="435"/>
    </row>
    <row r="2534" spans="1:9" ht="12.75">
      <c r="A2534" s="669"/>
      <c r="B2534" s="670"/>
      <c r="C2534" s="216"/>
      <c r="D2534" s="216"/>
      <c r="E2534" s="216"/>
      <c r="F2534" s="216"/>
      <c r="G2534" s="435"/>
      <c r="H2534" s="216"/>
      <c r="I2534" s="435"/>
    </row>
    <row r="2535" spans="1:9" ht="12.75">
      <c r="A2535" s="669"/>
      <c r="B2535" s="670"/>
      <c r="C2535" s="216"/>
      <c r="D2535" s="216"/>
      <c r="E2535" s="216"/>
      <c r="F2535" s="216"/>
      <c r="G2535" s="435"/>
      <c r="H2535" s="216"/>
      <c r="I2535" s="435"/>
    </row>
    <row r="2536" spans="1:9" ht="12.75">
      <c r="A2536" s="669"/>
      <c r="B2536" s="670"/>
      <c r="C2536" s="216"/>
      <c r="D2536" s="216"/>
      <c r="E2536" s="216"/>
      <c r="F2536" s="216"/>
      <c r="G2536" s="435"/>
      <c r="H2536" s="216"/>
      <c r="I2536" s="435"/>
    </row>
    <row r="2537" spans="1:9" ht="12.75">
      <c r="A2537" s="669"/>
      <c r="B2537" s="670"/>
      <c r="C2537" s="216"/>
      <c r="D2537" s="216"/>
      <c r="E2537" s="216"/>
      <c r="F2537" s="216"/>
      <c r="G2537" s="435"/>
      <c r="H2537" s="216"/>
      <c r="I2537" s="435"/>
    </row>
    <row r="2538" spans="1:9" ht="12.75">
      <c r="A2538" s="669"/>
      <c r="B2538" s="670"/>
      <c r="C2538" s="216"/>
      <c r="D2538" s="216"/>
      <c r="E2538" s="216"/>
      <c r="F2538" s="216"/>
      <c r="G2538" s="435"/>
      <c r="H2538" s="216"/>
      <c r="I2538" s="435"/>
    </row>
    <row r="2539" spans="1:9" ht="12.75">
      <c r="A2539" s="669"/>
      <c r="B2539" s="670"/>
      <c r="C2539" s="216"/>
      <c r="D2539" s="216"/>
      <c r="E2539" s="216"/>
      <c r="F2539" s="216"/>
      <c r="G2539" s="435"/>
      <c r="H2539" s="216"/>
      <c r="I2539" s="435"/>
    </row>
    <row r="2540" spans="1:9" ht="12.75">
      <c r="A2540" s="669"/>
      <c r="B2540" s="670"/>
      <c r="C2540" s="216"/>
      <c r="D2540" s="216"/>
      <c r="E2540" s="216"/>
      <c r="F2540" s="216"/>
      <c r="G2540" s="435"/>
      <c r="H2540" s="216"/>
      <c r="I2540" s="435"/>
    </row>
    <row r="2541" spans="1:9" ht="12.75">
      <c r="A2541" s="669"/>
      <c r="B2541" s="670"/>
      <c r="C2541" s="216"/>
      <c r="D2541" s="216"/>
      <c r="E2541" s="216"/>
      <c r="F2541" s="216"/>
      <c r="G2541" s="435"/>
      <c r="H2541" s="216"/>
      <c r="I2541" s="435"/>
    </row>
    <row r="2542" spans="1:9" ht="12.75">
      <c r="A2542" s="669"/>
      <c r="B2542" s="670"/>
      <c r="C2542" s="216"/>
      <c r="D2542" s="216"/>
      <c r="E2542" s="216"/>
      <c r="F2542" s="216"/>
      <c r="G2542" s="435"/>
      <c r="H2542" s="216"/>
      <c r="I2542" s="435"/>
    </row>
    <row r="2543" spans="1:9" ht="12.75">
      <c r="A2543" s="669"/>
      <c r="B2543" s="670"/>
      <c r="C2543" s="216"/>
      <c r="D2543" s="216"/>
      <c r="E2543" s="216"/>
      <c r="F2543" s="216"/>
      <c r="G2543" s="435"/>
      <c r="H2543" s="216"/>
      <c r="I2543" s="435"/>
    </row>
    <row r="2544" spans="1:9" ht="12.75">
      <c r="A2544" s="669"/>
      <c r="B2544" s="670"/>
      <c r="C2544" s="216"/>
      <c r="D2544" s="216"/>
      <c r="E2544" s="216"/>
      <c r="F2544" s="216"/>
      <c r="G2544" s="435"/>
      <c r="H2544" s="216"/>
      <c r="I2544" s="435"/>
    </row>
    <row r="2545" spans="1:9" ht="12.75">
      <c r="A2545" s="669"/>
      <c r="B2545" s="670"/>
      <c r="C2545" s="216"/>
      <c r="D2545" s="216"/>
      <c r="E2545" s="216"/>
      <c r="F2545" s="216"/>
      <c r="G2545" s="435"/>
      <c r="H2545" s="216"/>
      <c r="I2545" s="435"/>
    </row>
    <row r="2546" spans="1:9" ht="12.75">
      <c r="A2546" s="669"/>
      <c r="B2546" s="670"/>
      <c r="C2546" s="216"/>
      <c r="D2546" s="216"/>
      <c r="E2546" s="216"/>
      <c r="F2546" s="216"/>
      <c r="G2546" s="435"/>
      <c r="H2546" s="216"/>
      <c r="I2546" s="435"/>
    </row>
    <row r="2547" spans="1:9" ht="12.75">
      <c r="A2547" s="669"/>
      <c r="B2547" s="670"/>
      <c r="C2547" s="216"/>
      <c r="D2547" s="216"/>
      <c r="E2547" s="216"/>
      <c r="F2547" s="216"/>
      <c r="G2547" s="435"/>
      <c r="H2547" s="216"/>
      <c r="I2547" s="435"/>
    </row>
    <row r="2548" spans="1:9" ht="12.75">
      <c r="A2548" s="669"/>
      <c r="B2548" s="670"/>
      <c r="C2548" s="216"/>
      <c r="D2548" s="216"/>
      <c r="E2548" s="216"/>
      <c r="F2548" s="216"/>
      <c r="G2548" s="435"/>
      <c r="H2548" s="216"/>
      <c r="I2548" s="435"/>
    </row>
    <row r="2549" spans="1:9" ht="12.75">
      <c r="A2549" s="669"/>
      <c r="B2549" s="670"/>
      <c r="C2549" s="216"/>
      <c r="D2549" s="216"/>
      <c r="E2549" s="216"/>
      <c r="F2549" s="216"/>
      <c r="G2549" s="435"/>
      <c r="H2549" s="216"/>
      <c r="I2549" s="435"/>
    </row>
    <row r="2550" spans="1:9" ht="12.75">
      <c r="A2550" s="669"/>
      <c r="B2550" s="670"/>
      <c r="C2550" s="216"/>
      <c r="D2550" s="216"/>
      <c r="E2550" s="216"/>
      <c r="F2550" s="216"/>
      <c r="G2550" s="435"/>
      <c r="H2550" s="216"/>
      <c r="I2550" s="435"/>
    </row>
    <row r="2551" spans="1:9" ht="12.75">
      <c r="A2551" s="669"/>
      <c r="B2551" s="670"/>
      <c r="C2551" s="216"/>
      <c r="D2551" s="216"/>
      <c r="E2551" s="216"/>
      <c r="F2551" s="216"/>
      <c r="G2551" s="435"/>
      <c r="H2551" s="216"/>
      <c r="I2551" s="435"/>
    </row>
    <row r="2552" spans="1:9" ht="12.75">
      <c r="A2552" s="669"/>
      <c r="B2552" s="670"/>
      <c r="C2552" s="216"/>
      <c r="D2552" s="216"/>
      <c r="E2552" s="216"/>
      <c r="F2552" s="216"/>
      <c r="G2552" s="435"/>
      <c r="H2552" s="216"/>
      <c r="I2552" s="435"/>
    </row>
    <row r="2553" spans="1:9" ht="12.75">
      <c r="A2553" s="669"/>
      <c r="B2553" s="670"/>
      <c r="C2553" s="216"/>
      <c r="D2553" s="216"/>
      <c r="E2553" s="216"/>
      <c r="F2553" s="216"/>
      <c r="G2553" s="435"/>
      <c r="H2553" s="216"/>
      <c r="I2553" s="435"/>
    </row>
    <row r="2554" spans="1:9" ht="12.75">
      <c r="A2554" s="669"/>
      <c r="B2554" s="670"/>
      <c r="C2554" s="216"/>
      <c r="D2554" s="216"/>
      <c r="E2554" s="216"/>
      <c r="F2554" s="216"/>
      <c r="G2554" s="435"/>
      <c r="H2554" s="216"/>
      <c r="I2554" s="435"/>
    </row>
    <row r="2555" spans="1:9" ht="12.75">
      <c r="A2555" s="669"/>
      <c r="B2555" s="670"/>
      <c r="C2555" s="216"/>
      <c r="D2555" s="216"/>
      <c r="E2555" s="216"/>
      <c r="F2555" s="216"/>
      <c r="G2555" s="435"/>
      <c r="H2555" s="216"/>
      <c r="I2555" s="435"/>
    </row>
    <row r="2556" spans="1:9" ht="12.75">
      <c r="A2556" s="669"/>
      <c r="B2556" s="670"/>
      <c r="C2556" s="216"/>
      <c r="D2556" s="216"/>
      <c r="E2556" s="216"/>
      <c r="F2556" s="216"/>
      <c r="G2556" s="435"/>
      <c r="H2556" s="216"/>
      <c r="I2556" s="435"/>
    </row>
    <row r="2557" spans="1:9" ht="12.75">
      <c r="A2557" s="669"/>
      <c r="B2557" s="670"/>
      <c r="C2557" s="216"/>
      <c r="D2557" s="216"/>
      <c r="E2557" s="216"/>
      <c r="F2557" s="216"/>
      <c r="G2557" s="435"/>
      <c r="H2557" s="216"/>
      <c r="I2557" s="435"/>
    </row>
    <row r="2558" spans="1:9" ht="12.75">
      <c r="A2558" s="669"/>
      <c r="B2558" s="670"/>
      <c r="C2558" s="216"/>
      <c r="D2558" s="216"/>
      <c r="E2558" s="216"/>
      <c r="F2558" s="216"/>
      <c r="G2558" s="435"/>
      <c r="H2558" s="216"/>
      <c r="I2558" s="435"/>
    </row>
    <row r="2559" spans="1:9" ht="12.75">
      <c r="A2559" s="669"/>
      <c r="B2559" s="670"/>
      <c r="C2559" s="216"/>
      <c r="D2559" s="216"/>
      <c r="E2559" s="216"/>
      <c r="F2559" s="216"/>
      <c r="G2559" s="435"/>
      <c r="H2559" s="216"/>
      <c r="I2559" s="435"/>
    </row>
    <row r="2560" spans="1:9" ht="12.75">
      <c r="A2560" s="669"/>
      <c r="B2560" s="670"/>
      <c r="C2560" s="216"/>
      <c r="D2560" s="216"/>
      <c r="E2560" s="216"/>
      <c r="F2560" s="216"/>
      <c r="G2560" s="435"/>
      <c r="H2560" s="216"/>
      <c r="I2560" s="435"/>
    </row>
    <row r="2561" spans="1:9" ht="12.75">
      <c r="A2561" s="669"/>
      <c r="B2561" s="670"/>
      <c r="C2561" s="216"/>
      <c r="D2561" s="216"/>
      <c r="E2561" s="216"/>
      <c r="F2561" s="216"/>
      <c r="G2561" s="435"/>
      <c r="H2561" s="216"/>
      <c r="I2561" s="435"/>
    </row>
    <row r="2562" spans="1:9" ht="12.75">
      <c r="A2562" s="669"/>
      <c r="B2562" s="670"/>
      <c r="C2562" s="216"/>
      <c r="D2562" s="216"/>
      <c r="E2562" s="216"/>
      <c r="F2562" s="216"/>
      <c r="G2562" s="435"/>
      <c r="H2562" s="216"/>
      <c r="I2562" s="435"/>
    </row>
    <row r="2563" spans="1:9" ht="12.75">
      <c r="A2563" s="669"/>
      <c r="B2563" s="670"/>
      <c r="C2563" s="216"/>
      <c r="D2563" s="216"/>
      <c r="E2563" s="216"/>
      <c r="F2563" s="216"/>
      <c r="G2563" s="435"/>
      <c r="H2563" s="216"/>
      <c r="I2563" s="435"/>
    </row>
    <row r="2564" spans="1:9" ht="12.75">
      <c r="A2564" s="669"/>
      <c r="B2564" s="670"/>
      <c r="C2564" s="216"/>
      <c r="D2564" s="216"/>
      <c r="E2564" s="216"/>
      <c r="F2564" s="216"/>
      <c r="G2564" s="435"/>
      <c r="H2564" s="216"/>
      <c r="I2564" s="435"/>
    </row>
    <row r="2565" spans="1:9" ht="12.75">
      <c r="A2565" s="669"/>
      <c r="B2565" s="670"/>
      <c r="C2565" s="216"/>
      <c r="D2565" s="216"/>
      <c r="E2565" s="216"/>
      <c r="F2565" s="216"/>
      <c r="G2565" s="435"/>
      <c r="H2565" s="216"/>
      <c r="I2565" s="435"/>
    </row>
    <row r="2566" spans="1:9" ht="12.75">
      <c r="A2566" s="669"/>
      <c r="B2566" s="670"/>
      <c r="C2566" s="216"/>
      <c r="D2566" s="216"/>
      <c r="E2566" s="216"/>
      <c r="F2566" s="216"/>
      <c r="G2566" s="435"/>
      <c r="H2566" s="216"/>
      <c r="I2566" s="435"/>
    </row>
    <row r="2567" spans="1:9" ht="12.75">
      <c r="A2567" s="669"/>
      <c r="B2567" s="670"/>
      <c r="C2567" s="216"/>
      <c r="D2567" s="216"/>
      <c r="E2567" s="216"/>
      <c r="F2567" s="216"/>
      <c r="G2567" s="435"/>
      <c r="H2567" s="216"/>
      <c r="I2567" s="435"/>
    </row>
    <row r="2568" spans="1:9" ht="12.75">
      <c r="A2568" s="669"/>
      <c r="B2568" s="670"/>
      <c r="C2568" s="216"/>
      <c r="D2568" s="216"/>
      <c r="E2568" s="216"/>
      <c r="F2568" s="216"/>
      <c r="G2568" s="435"/>
      <c r="H2568" s="216"/>
      <c r="I2568" s="435"/>
    </row>
    <row r="2569" spans="1:9" ht="12.75">
      <c r="A2569" s="669"/>
      <c r="B2569" s="670"/>
      <c r="C2569" s="216"/>
      <c r="D2569" s="216"/>
      <c r="E2569" s="216"/>
      <c r="F2569" s="216"/>
      <c r="G2569" s="435"/>
      <c r="H2569" s="216"/>
      <c r="I2569" s="435"/>
    </row>
    <row r="2570" spans="1:9" ht="12.75">
      <c r="A2570" s="669"/>
      <c r="B2570" s="670"/>
      <c r="C2570" s="216"/>
      <c r="D2570" s="216"/>
      <c r="E2570" s="216"/>
      <c r="F2570" s="216"/>
      <c r="G2570" s="435"/>
      <c r="H2570" s="216"/>
      <c r="I2570" s="435"/>
    </row>
    <row r="2571" spans="1:9" ht="12.75">
      <c r="A2571" s="669"/>
      <c r="B2571" s="670"/>
      <c r="C2571" s="216"/>
      <c r="D2571" s="216"/>
      <c r="E2571" s="216"/>
      <c r="F2571" s="216"/>
      <c r="G2571" s="435"/>
      <c r="H2571" s="216"/>
      <c r="I2571" s="435"/>
    </row>
    <row r="2572" spans="1:9" ht="12.75">
      <c r="A2572" s="669"/>
      <c r="B2572" s="670"/>
      <c r="C2572" s="216"/>
      <c r="D2572" s="216"/>
      <c r="E2572" s="216"/>
      <c r="F2572" s="216"/>
      <c r="G2572" s="435"/>
      <c r="H2572" s="216"/>
      <c r="I2572" s="435"/>
    </row>
    <row r="2573" spans="1:9" ht="12.75">
      <c r="A2573" s="669"/>
      <c r="B2573" s="670"/>
      <c r="C2573" s="216"/>
      <c r="D2573" s="216"/>
      <c r="E2573" s="216"/>
      <c r="F2573" s="216"/>
      <c r="G2573" s="435"/>
      <c r="H2573" s="216"/>
      <c r="I2573" s="435"/>
    </row>
    <row r="2574" spans="1:9" ht="12.75">
      <c r="A2574" s="669"/>
      <c r="B2574" s="670"/>
      <c r="C2574" s="216"/>
      <c r="D2574" s="216"/>
      <c r="E2574" s="216"/>
      <c r="F2574" s="216"/>
      <c r="G2574" s="435"/>
      <c r="H2574" s="216"/>
      <c r="I2574" s="435"/>
    </row>
    <row r="2575" spans="1:9" ht="12.75">
      <c r="A2575" s="669"/>
      <c r="B2575" s="670"/>
      <c r="C2575" s="216"/>
      <c r="D2575" s="216"/>
      <c r="E2575" s="216"/>
      <c r="F2575" s="216"/>
      <c r="G2575" s="435"/>
      <c r="H2575" s="216"/>
      <c r="I2575" s="435"/>
    </row>
    <row r="2576" spans="1:9" ht="12.75">
      <c r="A2576" s="669"/>
      <c r="B2576" s="670"/>
      <c r="C2576" s="216"/>
      <c r="D2576" s="216"/>
      <c r="E2576" s="216"/>
      <c r="F2576" s="216"/>
      <c r="G2576" s="435"/>
      <c r="H2576" s="216"/>
      <c r="I2576" s="435"/>
    </row>
    <row r="2577" spans="1:9" ht="12.75">
      <c r="A2577" s="669"/>
      <c r="B2577" s="670"/>
      <c r="C2577" s="216"/>
      <c r="D2577" s="216"/>
      <c r="E2577" s="216"/>
      <c r="F2577" s="216"/>
      <c r="G2577" s="435"/>
      <c r="H2577" s="216"/>
      <c r="I2577" s="435"/>
    </row>
    <row r="2578" spans="1:9" ht="12.75">
      <c r="A2578" s="669"/>
      <c r="B2578" s="670"/>
      <c r="C2578" s="216"/>
      <c r="D2578" s="216"/>
      <c r="E2578" s="216"/>
      <c r="F2578" s="216"/>
      <c r="G2578" s="435"/>
      <c r="H2578" s="216"/>
      <c r="I2578" s="435"/>
    </row>
    <row r="2579" spans="1:9" ht="12.75">
      <c r="A2579" s="669"/>
      <c r="B2579" s="670"/>
      <c r="C2579" s="216"/>
      <c r="D2579" s="216"/>
      <c r="E2579" s="216"/>
      <c r="F2579" s="216"/>
      <c r="G2579" s="435"/>
      <c r="H2579" s="216"/>
      <c r="I2579" s="435"/>
    </row>
    <row r="2580" spans="1:9" ht="12.75">
      <c r="A2580" s="669"/>
      <c r="B2580" s="670"/>
      <c r="C2580" s="216"/>
      <c r="D2580" s="216"/>
      <c r="E2580" s="216"/>
      <c r="F2580" s="216"/>
      <c r="G2580" s="435"/>
      <c r="H2580" s="216"/>
      <c r="I2580" s="435"/>
    </row>
    <row r="2581" spans="1:9" ht="12.75">
      <c r="A2581" s="669"/>
      <c r="B2581" s="670"/>
      <c r="C2581" s="216"/>
      <c r="D2581" s="216"/>
      <c r="E2581" s="216"/>
      <c r="F2581" s="216"/>
      <c r="G2581" s="435"/>
      <c r="H2581" s="216"/>
      <c r="I2581" s="435"/>
    </row>
    <row r="2582" spans="1:9" ht="12.75">
      <c r="A2582" s="669"/>
      <c r="B2582" s="670"/>
      <c r="C2582" s="216"/>
      <c r="D2582" s="216"/>
      <c r="E2582" s="216"/>
      <c r="F2582" s="216"/>
      <c r="G2582" s="435"/>
      <c r="H2582" s="216"/>
      <c r="I2582" s="435"/>
    </row>
    <row r="2583" spans="1:9" ht="12.75">
      <c r="A2583" s="669"/>
      <c r="B2583" s="670"/>
      <c r="C2583" s="216"/>
      <c r="D2583" s="216"/>
      <c r="E2583" s="216"/>
      <c r="F2583" s="216"/>
      <c r="G2583" s="435"/>
      <c r="H2583" s="216"/>
      <c r="I2583" s="435"/>
    </row>
    <row r="2584" spans="1:9" ht="12.75">
      <c r="A2584" s="669"/>
      <c r="B2584" s="670"/>
      <c r="C2584" s="216"/>
      <c r="D2584" s="216"/>
      <c r="E2584" s="216"/>
      <c r="F2584" s="216"/>
      <c r="G2584" s="435"/>
      <c r="H2584" s="216"/>
      <c r="I2584" s="435"/>
    </row>
    <row r="2585" spans="1:9" ht="12.75">
      <c r="A2585" s="669"/>
      <c r="B2585" s="670"/>
      <c r="C2585" s="216"/>
      <c r="D2585" s="216"/>
      <c r="E2585" s="216"/>
      <c r="F2585" s="216"/>
      <c r="G2585" s="435"/>
      <c r="H2585" s="216"/>
      <c r="I2585" s="435"/>
    </row>
    <row r="2586" spans="1:9" ht="12.75">
      <c r="A2586" s="669"/>
      <c r="B2586" s="670"/>
      <c r="C2586" s="216"/>
      <c r="D2586" s="216"/>
      <c r="E2586" s="216"/>
      <c r="F2586" s="216"/>
      <c r="G2586" s="435"/>
      <c r="H2586" s="216"/>
      <c r="I2586" s="435"/>
    </row>
    <row r="2587" spans="1:9" ht="12.75">
      <c r="A2587" s="669"/>
      <c r="B2587" s="670"/>
      <c r="C2587" s="216"/>
      <c r="D2587" s="216"/>
      <c r="E2587" s="216"/>
      <c r="F2587" s="216"/>
      <c r="G2587" s="435"/>
      <c r="H2587" s="216"/>
      <c r="I2587" s="435"/>
    </row>
    <row r="2588" spans="1:9" ht="12.75">
      <c r="A2588" s="669"/>
      <c r="B2588" s="670"/>
      <c r="C2588" s="216"/>
      <c r="D2588" s="216"/>
      <c r="E2588" s="216"/>
      <c r="F2588" s="216"/>
      <c r="G2588" s="435"/>
      <c r="H2588" s="216"/>
      <c r="I2588" s="435"/>
    </row>
    <row r="2589" spans="1:9" ht="12.75">
      <c r="A2589" s="669"/>
      <c r="B2589" s="670"/>
      <c r="C2589" s="216"/>
      <c r="D2589" s="216"/>
      <c r="E2589" s="216"/>
      <c r="F2589" s="216"/>
      <c r="G2589" s="435"/>
      <c r="H2589" s="216"/>
      <c r="I2589" s="435"/>
    </row>
    <row r="2590" spans="1:9" ht="12.75">
      <c r="A2590" s="669"/>
      <c r="B2590" s="670"/>
      <c r="C2590" s="216"/>
      <c r="D2590" s="216"/>
      <c r="E2590" s="216"/>
      <c r="F2590" s="216"/>
      <c r="G2590" s="435"/>
      <c r="H2590" s="216"/>
      <c r="I2590" s="435"/>
    </row>
    <row r="2591" spans="1:9" ht="12.75">
      <c r="A2591" s="669"/>
      <c r="B2591" s="670"/>
      <c r="C2591" s="216"/>
      <c r="D2591" s="216"/>
      <c r="E2591" s="216"/>
      <c r="F2591" s="216"/>
      <c r="G2591" s="435"/>
      <c r="H2591" s="216"/>
      <c r="I2591" s="435"/>
    </row>
    <row r="2592" spans="1:9" ht="12.75">
      <c r="A2592" s="669"/>
      <c r="B2592" s="670"/>
      <c r="C2592" s="216"/>
      <c r="D2592" s="216"/>
      <c r="E2592" s="216"/>
      <c r="F2592" s="216"/>
      <c r="G2592" s="435"/>
      <c r="H2592" s="216"/>
      <c r="I2592" s="435"/>
    </row>
    <row r="2593" spans="1:9" ht="12.75">
      <c r="A2593" s="669"/>
      <c r="B2593" s="670"/>
      <c r="C2593" s="216"/>
      <c r="D2593" s="216"/>
      <c r="E2593" s="216"/>
      <c r="F2593" s="216"/>
      <c r="G2593" s="435"/>
      <c r="H2593" s="216"/>
      <c r="I2593" s="435"/>
    </row>
    <row r="2594" spans="1:9" ht="12.75">
      <c r="A2594" s="669"/>
      <c r="B2594" s="670"/>
      <c r="C2594" s="216"/>
      <c r="D2594" s="216"/>
      <c r="E2594" s="216"/>
      <c r="F2594" s="216"/>
      <c r="G2594" s="435"/>
      <c r="H2594" s="216"/>
      <c r="I2594" s="435"/>
    </row>
    <row r="2595" spans="1:9" ht="12.75">
      <c r="A2595" s="669"/>
      <c r="B2595" s="670"/>
      <c r="C2595" s="216"/>
      <c r="D2595" s="216"/>
      <c r="E2595" s="216"/>
      <c r="F2595" s="216"/>
      <c r="G2595" s="435"/>
      <c r="H2595" s="216"/>
      <c r="I2595" s="435"/>
    </row>
    <row r="2596" spans="1:9" ht="12.75">
      <c r="A2596" s="669"/>
      <c r="B2596" s="670"/>
      <c r="C2596" s="216"/>
      <c r="D2596" s="216"/>
      <c r="E2596" s="216"/>
      <c r="F2596" s="216"/>
      <c r="G2596" s="435"/>
      <c r="H2596" s="216"/>
      <c r="I2596" s="435"/>
    </row>
    <row r="2597" spans="1:9" ht="12.75">
      <c r="A2597" s="669"/>
      <c r="B2597" s="670"/>
      <c r="C2597" s="216"/>
      <c r="D2597" s="216"/>
      <c r="E2597" s="216"/>
      <c r="F2597" s="216"/>
      <c r="G2597" s="435"/>
      <c r="H2597" s="216"/>
      <c r="I2597" s="435"/>
    </row>
    <row r="2598" spans="1:9" ht="12.75">
      <c r="A2598" s="669"/>
      <c r="B2598" s="670"/>
      <c r="C2598" s="216"/>
      <c r="D2598" s="216"/>
      <c r="E2598" s="216"/>
      <c r="F2598" s="216"/>
      <c r="G2598" s="435"/>
      <c r="H2598" s="216"/>
      <c r="I2598" s="435"/>
    </row>
    <row r="2599" spans="1:9" ht="12.75">
      <c r="A2599" s="669"/>
      <c r="B2599" s="670"/>
      <c r="C2599" s="216"/>
      <c r="D2599" s="216"/>
      <c r="E2599" s="216"/>
      <c r="F2599" s="216"/>
      <c r="G2599" s="435"/>
      <c r="H2599" s="216"/>
      <c r="I2599" s="435"/>
    </row>
    <row r="2600" spans="1:9" ht="12.75">
      <c r="A2600" s="669"/>
      <c r="B2600" s="670"/>
      <c r="C2600" s="216"/>
      <c r="D2600" s="216"/>
      <c r="E2600" s="216"/>
      <c r="F2600" s="216"/>
      <c r="G2600" s="435"/>
      <c r="H2600" s="216"/>
      <c r="I2600" s="435"/>
    </row>
    <row r="2601" spans="1:9" ht="12.75">
      <c r="A2601" s="669"/>
      <c r="B2601" s="670"/>
      <c r="C2601" s="216"/>
      <c r="D2601" s="216"/>
      <c r="E2601" s="216"/>
      <c r="F2601" s="216"/>
      <c r="G2601" s="435"/>
      <c r="H2601" s="216"/>
      <c r="I2601" s="435"/>
    </row>
    <row r="2602" spans="1:9" ht="12.75">
      <c r="A2602" s="669"/>
      <c r="B2602" s="670"/>
      <c r="C2602" s="216"/>
      <c r="D2602" s="216"/>
      <c r="E2602" s="216"/>
      <c r="F2602" s="216"/>
      <c r="G2602" s="435"/>
      <c r="H2602" s="216"/>
      <c r="I2602" s="435"/>
    </row>
    <row r="2603" spans="1:9" ht="12.75">
      <c r="A2603" s="669"/>
      <c r="B2603" s="670"/>
      <c r="C2603" s="216"/>
      <c r="D2603" s="216"/>
      <c r="E2603" s="216"/>
      <c r="F2603" s="216"/>
      <c r="G2603" s="435"/>
      <c r="H2603" s="216"/>
      <c r="I2603" s="435"/>
    </row>
    <row r="2604" spans="1:9" ht="12.75">
      <c r="A2604" s="669"/>
      <c r="B2604" s="670"/>
      <c r="C2604" s="216"/>
      <c r="D2604" s="216"/>
      <c r="E2604" s="216"/>
      <c r="F2604" s="216"/>
      <c r="G2604" s="435"/>
      <c r="H2604" s="216"/>
      <c r="I2604" s="435"/>
    </row>
    <row r="2605" spans="1:9" ht="12.75">
      <c r="A2605" s="669"/>
      <c r="B2605" s="670"/>
      <c r="C2605" s="216"/>
      <c r="D2605" s="216"/>
      <c r="E2605" s="216"/>
      <c r="F2605" s="216"/>
      <c r="G2605" s="435"/>
      <c r="H2605" s="216"/>
      <c r="I2605" s="435"/>
    </row>
    <row r="2606" spans="1:9" ht="12.75">
      <c r="A2606" s="669"/>
      <c r="B2606" s="670"/>
      <c r="C2606" s="216"/>
      <c r="D2606" s="216"/>
      <c r="E2606" s="216"/>
      <c r="F2606" s="216"/>
      <c r="G2606" s="435"/>
      <c r="H2606" s="216"/>
      <c r="I2606" s="435"/>
    </row>
    <row r="2607" spans="1:9" ht="12.75">
      <c r="A2607" s="669"/>
      <c r="B2607" s="670"/>
      <c r="C2607" s="216"/>
      <c r="D2607" s="216"/>
      <c r="E2607" s="216"/>
      <c r="F2607" s="216"/>
      <c r="G2607" s="435"/>
      <c r="H2607" s="216"/>
      <c r="I2607" s="435"/>
    </row>
    <row r="2608" spans="1:9" ht="12.75">
      <c r="A2608" s="669"/>
      <c r="B2608" s="670"/>
      <c r="C2608" s="216"/>
      <c r="D2608" s="216"/>
      <c r="E2608" s="216"/>
      <c r="F2608" s="216"/>
      <c r="G2608" s="435"/>
      <c r="H2608" s="216"/>
      <c r="I2608" s="435"/>
    </row>
    <row r="2609" spans="1:9" ht="12.75">
      <c r="A2609" s="669"/>
      <c r="B2609" s="670"/>
      <c r="C2609" s="216"/>
      <c r="D2609" s="216"/>
      <c r="E2609" s="216"/>
      <c r="F2609" s="216"/>
      <c r="G2609" s="435"/>
      <c r="H2609" s="216"/>
      <c r="I2609" s="435"/>
    </row>
    <row r="2610" spans="1:9" ht="12.75">
      <c r="A2610" s="669"/>
      <c r="B2610" s="670"/>
      <c r="C2610" s="216"/>
      <c r="D2610" s="216"/>
      <c r="E2610" s="216"/>
      <c r="F2610" s="216"/>
      <c r="G2610" s="435"/>
      <c r="H2610" s="216"/>
      <c r="I2610" s="435"/>
    </row>
    <row r="2611" spans="1:9" ht="12.75">
      <c r="A2611" s="669"/>
      <c r="B2611" s="670"/>
      <c r="C2611" s="216"/>
      <c r="D2611" s="216"/>
      <c r="E2611" s="216"/>
      <c r="F2611" s="216"/>
      <c r="G2611" s="435"/>
      <c r="H2611" s="216"/>
      <c r="I2611" s="435"/>
    </row>
    <row r="2612" spans="1:9" ht="12.75">
      <c r="A2612" s="669"/>
      <c r="B2612" s="670"/>
      <c r="C2612" s="216"/>
      <c r="D2612" s="216"/>
      <c r="E2612" s="216"/>
      <c r="F2612" s="216"/>
      <c r="G2612" s="435"/>
      <c r="H2612" s="216"/>
      <c r="I2612" s="435"/>
    </row>
    <row r="2613" spans="1:9" ht="12.75">
      <c r="A2613" s="669"/>
      <c r="B2613" s="670"/>
      <c r="C2613" s="216"/>
      <c r="D2613" s="216"/>
      <c r="E2613" s="216"/>
      <c r="F2613" s="216"/>
      <c r="G2613" s="435"/>
      <c r="H2613" s="216"/>
      <c r="I2613" s="435"/>
    </row>
    <row r="2614" spans="1:9" ht="12.75">
      <c r="A2614" s="669"/>
      <c r="B2614" s="670"/>
      <c r="C2614" s="216"/>
      <c r="D2614" s="216"/>
      <c r="E2614" s="216"/>
      <c r="F2614" s="216"/>
      <c r="G2614" s="435"/>
      <c r="H2614" s="216"/>
      <c r="I2614" s="435"/>
    </row>
    <row r="2615" spans="1:9" ht="12.75">
      <c r="A2615" s="669"/>
      <c r="B2615" s="670"/>
      <c r="C2615" s="216"/>
      <c r="D2615" s="216"/>
      <c r="E2615" s="216"/>
      <c r="F2615" s="216"/>
      <c r="G2615" s="435"/>
      <c r="H2615" s="216"/>
      <c r="I2615" s="435"/>
    </row>
    <row r="2616" spans="1:9" ht="12.75">
      <c r="A2616" s="669"/>
      <c r="B2616" s="670"/>
      <c r="C2616" s="216"/>
      <c r="D2616" s="216"/>
      <c r="E2616" s="216"/>
      <c r="F2616" s="216"/>
      <c r="G2616" s="435"/>
      <c r="H2616" s="216"/>
      <c r="I2616" s="435"/>
    </row>
    <row r="2617" spans="1:9" ht="12.75">
      <c r="A2617" s="669"/>
      <c r="B2617" s="670"/>
      <c r="C2617" s="216"/>
      <c r="D2617" s="216"/>
      <c r="E2617" s="216"/>
      <c r="F2617" s="216"/>
      <c r="G2617" s="435"/>
      <c r="H2617" s="216"/>
      <c r="I2617" s="435"/>
    </row>
    <row r="2618" spans="1:9" ht="12.75">
      <c r="A2618" s="669"/>
      <c r="B2618" s="670"/>
      <c r="C2618" s="216"/>
      <c r="D2618" s="216"/>
      <c r="E2618" s="216"/>
      <c r="F2618" s="216"/>
      <c r="G2618" s="435"/>
      <c r="H2618" s="216"/>
      <c r="I2618" s="435"/>
    </row>
    <row r="2619" spans="1:9" ht="12.75">
      <c r="A2619" s="669"/>
      <c r="B2619" s="670"/>
      <c r="C2619" s="216"/>
      <c r="D2619" s="216"/>
      <c r="E2619" s="216"/>
      <c r="F2619" s="216"/>
      <c r="G2619" s="435"/>
      <c r="H2619" s="216"/>
      <c r="I2619" s="435"/>
    </row>
    <row r="2620" spans="1:9" ht="12.75">
      <c r="A2620" s="669"/>
      <c r="B2620" s="670"/>
      <c r="C2620" s="216"/>
      <c r="D2620" s="216"/>
      <c r="E2620" s="216"/>
      <c r="F2620" s="216"/>
      <c r="G2620" s="435"/>
      <c r="H2620" s="216"/>
      <c r="I2620" s="435"/>
    </row>
    <row r="2621" spans="1:9" ht="12.75">
      <c r="A2621" s="669"/>
      <c r="B2621" s="670"/>
      <c r="C2621" s="216"/>
      <c r="D2621" s="216"/>
      <c r="E2621" s="216"/>
      <c r="F2621" s="216"/>
      <c r="G2621" s="435"/>
      <c r="H2621" s="216"/>
      <c r="I2621" s="435"/>
    </row>
    <row r="2622" spans="1:9" ht="12.75">
      <c r="A2622" s="669"/>
      <c r="B2622" s="670"/>
      <c r="C2622" s="216"/>
      <c r="D2622" s="216"/>
      <c r="E2622" s="216"/>
      <c r="F2622" s="216"/>
      <c r="G2622" s="435"/>
      <c r="H2622" s="216"/>
      <c r="I2622" s="435"/>
    </row>
    <row r="2623" spans="1:9" ht="12.75">
      <c r="A2623" s="669"/>
      <c r="B2623" s="670"/>
      <c r="C2623" s="216"/>
      <c r="D2623" s="216"/>
      <c r="E2623" s="216"/>
      <c r="F2623" s="216"/>
      <c r="G2623" s="435"/>
      <c r="H2623" s="216"/>
      <c r="I2623" s="435"/>
    </row>
    <row r="2624" spans="1:9" ht="12.75">
      <c r="A2624" s="669"/>
      <c r="B2624" s="670"/>
      <c r="C2624" s="216"/>
      <c r="D2624" s="216"/>
      <c r="E2624" s="216"/>
      <c r="F2624" s="216"/>
      <c r="G2624" s="435"/>
      <c r="H2624" s="216"/>
      <c r="I2624" s="435"/>
    </row>
    <row r="2625" spans="1:9" ht="12.75">
      <c r="A2625" s="669"/>
      <c r="B2625" s="670"/>
      <c r="C2625" s="216"/>
      <c r="D2625" s="216"/>
      <c r="E2625" s="216"/>
      <c r="F2625" s="216"/>
      <c r="G2625" s="435"/>
      <c r="H2625" s="216"/>
      <c r="I2625" s="435"/>
    </row>
    <row r="2626" spans="1:9" ht="12.75">
      <c r="A2626" s="669"/>
      <c r="B2626" s="670"/>
      <c r="C2626" s="216"/>
      <c r="D2626" s="216"/>
      <c r="E2626" s="216"/>
      <c r="F2626" s="216"/>
      <c r="G2626" s="435"/>
      <c r="H2626" s="216"/>
      <c r="I2626" s="435"/>
    </row>
    <row r="2627" spans="1:9" ht="12.75">
      <c r="A2627" s="669"/>
      <c r="B2627" s="670"/>
      <c r="C2627" s="216"/>
      <c r="D2627" s="216"/>
      <c r="E2627" s="216"/>
      <c r="F2627" s="216"/>
      <c r="G2627" s="435"/>
      <c r="H2627" s="216"/>
      <c r="I2627" s="435"/>
    </row>
    <row r="2628" spans="1:9" ht="12.75">
      <c r="A2628" s="669"/>
      <c r="B2628" s="670"/>
      <c r="C2628" s="216"/>
      <c r="D2628" s="216"/>
      <c r="E2628" s="216"/>
      <c r="F2628" s="216"/>
      <c r="G2628" s="435"/>
      <c r="H2628" s="216"/>
      <c r="I2628" s="435"/>
    </row>
    <row r="2629" spans="1:9" ht="12.75">
      <c r="A2629" s="669"/>
      <c r="B2629" s="670"/>
      <c r="C2629" s="216"/>
      <c r="D2629" s="216"/>
      <c r="E2629" s="216"/>
      <c r="F2629" s="216"/>
      <c r="G2629" s="435"/>
      <c r="H2629" s="216"/>
      <c r="I2629" s="435"/>
    </row>
    <row r="2630" spans="1:9" ht="12.75">
      <c r="A2630" s="669"/>
      <c r="B2630" s="670"/>
      <c r="C2630" s="216"/>
      <c r="D2630" s="216"/>
      <c r="E2630" s="216"/>
      <c r="F2630" s="216"/>
      <c r="G2630" s="435"/>
      <c r="H2630" s="216"/>
      <c r="I2630" s="435"/>
    </row>
    <row r="2631" spans="1:9" ht="12.75">
      <c r="A2631" s="669"/>
      <c r="B2631" s="670"/>
      <c r="C2631" s="216"/>
      <c r="D2631" s="216"/>
      <c r="E2631" s="216"/>
      <c r="F2631" s="216"/>
      <c r="G2631" s="435"/>
      <c r="H2631" s="216"/>
      <c r="I2631" s="435"/>
    </row>
    <row r="2632" spans="1:9" ht="12.75">
      <c r="A2632" s="669"/>
      <c r="B2632" s="670"/>
      <c r="C2632" s="216"/>
      <c r="D2632" s="216"/>
      <c r="E2632" s="216"/>
      <c r="F2632" s="216"/>
      <c r="G2632" s="435"/>
      <c r="H2632" s="216"/>
      <c r="I2632" s="435"/>
    </row>
    <row r="2633" spans="1:9" ht="12.75">
      <c r="A2633" s="669"/>
      <c r="B2633" s="670"/>
      <c r="C2633" s="216"/>
      <c r="D2633" s="216"/>
      <c r="E2633" s="216"/>
      <c r="F2633" s="216"/>
      <c r="G2633" s="435"/>
      <c r="H2633" s="216"/>
      <c r="I2633" s="435"/>
    </row>
    <row r="2634" spans="1:9" ht="12.75">
      <c r="A2634" s="669"/>
      <c r="B2634" s="670"/>
      <c r="C2634" s="216"/>
      <c r="D2634" s="216"/>
      <c r="E2634" s="216"/>
      <c r="F2634" s="216"/>
      <c r="G2634" s="435"/>
      <c r="H2634" s="216"/>
      <c r="I2634" s="435"/>
    </row>
    <row r="2635" spans="1:9" ht="12.75">
      <c r="A2635" s="669"/>
      <c r="B2635" s="670"/>
      <c r="C2635" s="216"/>
      <c r="D2635" s="216"/>
      <c r="E2635" s="216"/>
      <c r="F2635" s="216"/>
      <c r="G2635" s="435"/>
      <c r="H2635" s="216"/>
      <c r="I2635" s="435"/>
    </row>
    <row r="2636" spans="1:9" ht="12.75">
      <c r="A2636" s="669"/>
      <c r="B2636" s="670"/>
      <c r="C2636" s="216"/>
      <c r="D2636" s="216"/>
      <c r="E2636" s="216"/>
      <c r="F2636" s="216"/>
      <c r="G2636" s="435"/>
      <c r="H2636" s="216"/>
      <c r="I2636" s="435"/>
    </row>
    <row r="2637" spans="1:9" ht="12.75">
      <c r="A2637" s="669"/>
      <c r="B2637" s="670"/>
      <c r="C2637" s="216"/>
      <c r="D2637" s="216"/>
      <c r="E2637" s="216"/>
      <c r="F2637" s="216"/>
      <c r="G2637" s="435"/>
      <c r="H2637" s="216"/>
      <c r="I2637" s="435"/>
    </row>
    <row r="2638" spans="1:9" ht="12.75">
      <c r="A2638" s="669"/>
      <c r="B2638" s="670"/>
      <c r="C2638" s="216"/>
      <c r="D2638" s="216"/>
      <c r="E2638" s="216"/>
      <c r="F2638" s="216"/>
      <c r="G2638" s="435"/>
      <c r="H2638" s="216"/>
      <c r="I2638" s="435"/>
    </row>
    <row r="2639" spans="1:9" ht="12.75">
      <c r="A2639" s="669"/>
      <c r="B2639" s="670"/>
      <c r="C2639" s="216"/>
      <c r="D2639" s="216"/>
      <c r="E2639" s="216"/>
      <c r="F2639" s="216"/>
      <c r="G2639" s="435"/>
      <c r="H2639" s="216"/>
      <c r="I2639" s="435"/>
    </row>
    <row r="2640" spans="1:9" ht="12.75">
      <c r="A2640" s="669"/>
      <c r="B2640" s="670"/>
      <c r="C2640" s="216"/>
      <c r="D2640" s="216"/>
      <c r="E2640" s="216"/>
      <c r="F2640" s="216"/>
      <c r="G2640" s="435"/>
      <c r="H2640" s="216"/>
      <c r="I2640" s="435"/>
    </row>
    <row r="2641" spans="1:9" ht="12.75">
      <c r="A2641" s="669"/>
      <c r="B2641" s="670"/>
      <c r="C2641" s="216"/>
      <c r="D2641" s="216"/>
      <c r="E2641" s="216"/>
      <c r="F2641" s="216"/>
      <c r="G2641" s="435"/>
      <c r="H2641" s="216"/>
      <c r="I2641" s="435"/>
    </row>
    <row r="2642" spans="1:9" ht="12.75">
      <c r="A2642" s="669"/>
      <c r="B2642" s="670"/>
      <c r="C2642" s="216"/>
      <c r="D2642" s="216"/>
      <c r="E2642" s="216"/>
      <c r="F2642" s="216"/>
      <c r="G2642" s="435"/>
      <c r="H2642" s="216"/>
      <c r="I2642" s="435"/>
    </row>
    <row r="2643" spans="1:9" ht="12.75">
      <c r="A2643" s="669"/>
      <c r="B2643" s="670"/>
      <c r="C2643" s="216"/>
      <c r="D2643" s="216"/>
      <c r="E2643" s="216"/>
      <c r="F2643" s="216"/>
      <c r="G2643" s="435"/>
      <c r="H2643" s="216"/>
      <c r="I2643" s="435"/>
    </row>
    <row r="2644" spans="1:9" ht="12.75">
      <c r="A2644" s="669"/>
      <c r="B2644" s="670"/>
      <c r="C2644" s="216"/>
      <c r="D2644" s="216"/>
      <c r="E2644" s="216"/>
      <c r="F2644" s="216"/>
      <c r="G2644" s="435"/>
      <c r="H2644" s="216"/>
      <c r="I2644" s="435"/>
    </row>
    <row r="2645" spans="1:9" ht="12.75">
      <c r="A2645" s="669"/>
      <c r="B2645" s="670"/>
      <c r="C2645" s="216"/>
      <c r="D2645" s="216"/>
      <c r="E2645" s="216"/>
      <c r="F2645" s="216"/>
      <c r="G2645" s="435"/>
      <c r="H2645" s="216"/>
      <c r="I2645" s="435"/>
    </row>
    <row r="2646" spans="1:9" ht="12.75">
      <c r="A2646" s="669"/>
      <c r="B2646" s="670"/>
      <c r="C2646" s="216"/>
      <c r="D2646" s="216"/>
      <c r="E2646" s="216"/>
      <c r="F2646" s="216"/>
      <c r="G2646" s="435"/>
      <c r="H2646" s="216"/>
      <c r="I2646" s="435"/>
    </row>
    <row r="2647" spans="1:9" ht="12.75">
      <c r="A2647" s="669"/>
      <c r="B2647" s="670"/>
      <c r="C2647" s="216"/>
      <c r="D2647" s="216"/>
      <c r="E2647" s="216"/>
      <c r="F2647" s="216"/>
      <c r="G2647" s="435"/>
      <c r="H2647" s="216"/>
      <c r="I2647" s="435"/>
    </row>
    <row r="2648" spans="1:9" ht="12.75">
      <c r="A2648" s="669"/>
      <c r="B2648" s="670"/>
      <c r="C2648" s="216"/>
      <c r="D2648" s="216"/>
      <c r="E2648" s="216"/>
      <c r="F2648" s="216"/>
      <c r="G2648" s="435"/>
      <c r="H2648" s="216"/>
      <c r="I2648" s="435"/>
    </row>
    <row r="2649" spans="1:9" ht="12.75">
      <c r="A2649" s="669"/>
      <c r="B2649" s="670"/>
      <c r="C2649" s="216"/>
      <c r="D2649" s="216"/>
      <c r="E2649" s="216"/>
      <c r="F2649" s="216"/>
      <c r="G2649" s="435"/>
      <c r="H2649" s="216"/>
      <c r="I2649" s="435"/>
    </row>
    <row r="2650" spans="1:9" ht="12.75">
      <c r="A2650" s="669"/>
      <c r="B2650" s="670"/>
      <c r="C2650" s="216"/>
      <c r="D2650" s="216"/>
      <c r="E2650" s="216"/>
      <c r="F2650" s="216"/>
      <c r="G2650" s="435"/>
      <c r="H2650" s="216"/>
      <c r="I2650" s="435"/>
    </row>
    <row r="2651" spans="1:9" ht="12.75">
      <c r="A2651" s="669"/>
      <c r="B2651" s="670"/>
      <c r="C2651" s="216"/>
      <c r="D2651" s="216"/>
      <c r="E2651" s="216"/>
      <c r="F2651" s="216"/>
      <c r="G2651" s="435"/>
      <c r="H2651" s="216"/>
      <c r="I2651" s="435"/>
    </row>
    <row r="2652" spans="1:9" ht="12.75">
      <c r="A2652" s="669"/>
      <c r="B2652" s="670"/>
      <c r="C2652" s="216"/>
      <c r="D2652" s="216"/>
      <c r="E2652" s="216"/>
      <c r="F2652" s="216"/>
      <c r="G2652" s="435"/>
      <c r="H2652" s="216"/>
      <c r="I2652" s="435"/>
    </row>
    <row r="2653" spans="1:9" ht="12.75">
      <c r="A2653" s="669"/>
      <c r="B2653" s="670"/>
      <c r="C2653" s="216"/>
      <c r="D2653" s="216"/>
      <c r="E2653" s="216"/>
      <c r="F2653" s="216"/>
      <c r="G2653" s="435"/>
      <c r="H2653" s="216"/>
      <c r="I2653" s="435"/>
    </row>
    <row r="2654" spans="1:9" ht="12.75">
      <c r="A2654" s="669"/>
      <c r="B2654" s="670"/>
      <c r="C2654" s="216"/>
      <c r="D2654" s="216"/>
      <c r="E2654" s="216"/>
      <c r="F2654" s="216"/>
      <c r="G2654" s="435"/>
      <c r="H2654" s="216"/>
      <c r="I2654" s="435"/>
    </row>
    <row r="2655" spans="1:9" ht="12.75">
      <c r="A2655" s="669"/>
      <c r="B2655" s="670"/>
      <c r="C2655" s="216"/>
      <c r="D2655" s="216"/>
      <c r="E2655" s="216"/>
      <c r="F2655" s="216"/>
      <c r="G2655" s="435"/>
      <c r="H2655" s="216"/>
      <c r="I2655" s="435"/>
    </row>
    <row r="2656" spans="1:9" ht="12.75">
      <c r="A2656" s="669"/>
      <c r="B2656" s="670"/>
      <c r="C2656" s="216"/>
      <c r="D2656" s="216"/>
      <c r="E2656" s="216"/>
      <c r="F2656" s="216"/>
      <c r="G2656" s="435"/>
      <c r="H2656" s="216"/>
      <c r="I2656" s="435"/>
    </row>
    <row r="2657" spans="1:9" ht="12.75">
      <c r="A2657" s="669"/>
      <c r="B2657" s="670"/>
      <c r="C2657" s="216"/>
      <c r="D2657" s="216"/>
      <c r="E2657" s="216"/>
      <c r="F2657" s="216"/>
      <c r="G2657" s="435"/>
      <c r="H2657" s="216"/>
      <c r="I2657" s="435"/>
    </row>
    <row r="2658" spans="1:9" ht="12.75">
      <c r="A2658" s="669"/>
      <c r="B2658" s="670"/>
      <c r="C2658" s="216"/>
      <c r="D2658" s="216"/>
      <c r="E2658" s="216"/>
      <c r="F2658" s="216"/>
      <c r="G2658" s="435"/>
      <c r="H2658" s="216"/>
      <c r="I2658" s="435"/>
    </row>
    <row r="2659" spans="1:9" ht="12.75">
      <c r="A2659" s="669"/>
      <c r="B2659" s="670"/>
      <c r="C2659" s="216"/>
      <c r="D2659" s="216"/>
      <c r="E2659" s="216"/>
      <c r="F2659" s="216"/>
      <c r="G2659" s="435"/>
      <c r="H2659" s="216"/>
      <c r="I2659" s="435"/>
    </row>
    <row r="2660" spans="1:9" ht="12.75">
      <c r="A2660" s="669"/>
      <c r="B2660" s="670"/>
      <c r="C2660" s="216"/>
      <c r="D2660" s="216"/>
      <c r="E2660" s="216"/>
      <c r="F2660" s="216"/>
      <c r="G2660" s="435"/>
      <c r="H2660" s="216"/>
      <c r="I2660" s="435"/>
    </row>
    <row r="2661" spans="1:9" ht="12.75">
      <c r="A2661" s="669"/>
      <c r="B2661" s="670"/>
      <c r="C2661" s="216"/>
      <c r="D2661" s="216"/>
      <c r="E2661" s="216"/>
      <c r="F2661" s="216"/>
      <c r="G2661" s="435"/>
      <c r="H2661" s="216"/>
      <c r="I2661" s="435"/>
    </row>
    <row r="2662" spans="1:9" ht="12.75">
      <c r="A2662" s="669"/>
      <c r="B2662" s="670"/>
      <c r="C2662" s="216"/>
      <c r="D2662" s="216"/>
      <c r="E2662" s="216"/>
      <c r="F2662" s="216"/>
      <c r="G2662" s="435"/>
      <c r="H2662" s="216"/>
      <c r="I2662" s="435"/>
    </row>
    <row r="2663" spans="1:9" ht="12.75">
      <c r="A2663" s="669"/>
      <c r="B2663" s="670"/>
      <c r="C2663" s="216"/>
      <c r="D2663" s="216"/>
      <c r="E2663" s="216"/>
      <c r="F2663" s="216"/>
      <c r="G2663" s="435"/>
      <c r="H2663" s="216"/>
      <c r="I2663" s="435"/>
    </row>
    <row r="2664" spans="1:9" ht="12.75">
      <c r="A2664" s="669"/>
      <c r="B2664" s="670"/>
      <c r="C2664" s="216"/>
      <c r="D2664" s="216"/>
      <c r="E2664" s="216"/>
      <c r="F2664" s="216"/>
      <c r="G2664" s="435"/>
      <c r="H2664" s="216"/>
      <c r="I2664" s="435"/>
    </row>
    <row r="2665" spans="1:9" ht="12.75">
      <c r="A2665" s="669"/>
      <c r="B2665" s="670"/>
      <c r="C2665" s="216"/>
      <c r="D2665" s="216"/>
      <c r="E2665" s="216"/>
      <c r="F2665" s="216"/>
      <c r="G2665" s="435"/>
      <c r="H2665" s="216"/>
      <c r="I2665" s="435"/>
    </row>
    <row r="2666" spans="1:9" ht="12.75">
      <c r="A2666" s="669"/>
      <c r="B2666" s="670"/>
      <c r="C2666" s="216"/>
      <c r="D2666" s="216"/>
      <c r="E2666" s="216"/>
      <c r="F2666" s="216"/>
      <c r="G2666" s="435"/>
      <c r="H2666" s="216"/>
      <c r="I2666" s="435"/>
    </row>
    <row r="2667" spans="1:9" ht="12.75">
      <c r="A2667" s="669"/>
      <c r="B2667" s="670"/>
      <c r="C2667" s="216"/>
      <c r="D2667" s="216"/>
      <c r="E2667" s="216"/>
      <c r="F2667" s="216"/>
      <c r="G2667" s="435"/>
      <c r="H2667" s="216"/>
      <c r="I2667" s="435"/>
    </row>
    <row r="2668" spans="1:9" ht="12.75">
      <c r="A2668" s="669"/>
      <c r="B2668" s="670"/>
      <c r="C2668" s="216"/>
      <c r="D2668" s="216"/>
      <c r="E2668" s="216"/>
      <c r="F2668" s="216"/>
      <c r="G2668" s="435"/>
      <c r="H2668" s="216"/>
      <c r="I2668" s="435"/>
    </row>
    <row r="2669" spans="1:9" ht="12.75">
      <c r="A2669" s="669"/>
      <c r="B2669" s="670"/>
      <c r="C2669" s="216"/>
      <c r="D2669" s="216"/>
      <c r="E2669" s="216"/>
      <c r="F2669" s="216"/>
      <c r="G2669" s="435"/>
      <c r="H2669" s="216"/>
      <c r="I2669" s="435"/>
    </row>
    <row r="2670" spans="1:9" ht="12.75">
      <c r="A2670" s="669"/>
      <c r="B2670" s="670"/>
      <c r="C2670" s="216"/>
      <c r="D2670" s="216"/>
      <c r="E2670" s="216"/>
      <c r="F2670" s="216"/>
      <c r="G2670" s="435"/>
      <c r="H2670" s="216"/>
      <c r="I2670" s="435"/>
    </row>
    <row r="2671" spans="1:9" ht="12.75">
      <c r="A2671" s="669"/>
      <c r="B2671" s="670"/>
      <c r="C2671" s="216"/>
      <c r="D2671" s="216"/>
      <c r="E2671" s="216"/>
      <c r="F2671" s="216"/>
      <c r="G2671" s="435"/>
      <c r="H2671" s="216"/>
      <c r="I2671" s="435"/>
    </row>
    <row r="2672" spans="1:9" ht="12.75">
      <c r="A2672" s="669"/>
      <c r="B2672" s="670"/>
      <c r="C2672" s="216"/>
      <c r="D2672" s="216"/>
      <c r="E2672" s="216"/>
      <c r="F2672" s="216"/>
      <c r="G2672" s="435"/>
      <c r="H2672" s="216"/>
      <c r="I2672" s="435"/>
    </row>
    <row r="2673" spans="1:9" ht="12.75">
      <c r="A2673" s="669"/>
      <c r="B2673" s="670"/>
      <c r="C2673" s="216"/>
      <c r="D2673" s="216"/>
      <c r="E2673" s="216"/>
      <c r="F2673" s="216"/>
      <c r="G2673" s="435"/>
      <c r="H2673" s="216"/>
      <c r="I2673" s="435"/>
    </row>
    <row r="2674" spans="1:9" ht="12.75">
      <c r="A2674" s="669"/>
      <c r="B2674" s="670"/>
      <c r="C2674" s="216"/>
      <c r="D2674" s="216"/>
      <c r="E2674" s="216"/>
      <c r="F2674" s="216"/>
      <c r="G2674" s="435"/>
      <c r="H2674" s="216"/>
      <c r="I2674" s="435"/>
    </row>
    <row r="2675" spans="1:9" ht="12.75">
      <c r="A2675" s="669"/>
      <c r="B2675" s="670"/>
      <c r="C2675" s="216"/>
      <c r="D2675" s="216"/>
      <c r="E2675" s="216"/>
      <c r="F2675" s="216"/>
      <c r="G2675" s="435"/>
      <c r="H2675" s="216"/>
      <c r="I2675" s="435"/>
    </row>
    <row r="2676" spans="1:9" ht="12.75">
      <c r="A2676" s="669"/>
      <c r="B2676" s="670"/>
      <c r="C2676" s="216"/>
      <c r="D2676" s="216"/>
      <c r="E2676" s="216"/>
      <c r="F2676" s="216"/>
      <c r="G2676" s="435"/>
      <c r="H2676" s="216"/>
      <c r="I2676" s="435"/>
    </row>
    <row r="2677" spans="1:9" ht="12.75">
      <c r="A2677" s="669"/>
      <c r="B2677" s="670"/>
      <c r="C2677" s="216"/>
      <c r="D2677" s="216"/>
      <c r="E2677" s="216"/>
      <c r="F2677" s="216"/>
      <c r="G2677" s="435"/>
      <c r="H2677" s="216"/>
      <c r="I2677" s="435"/>
    </row>
    <row r="2678" spans="1:9" ht="12.75">
      <c r="A2678" s="669"/>
      <c r="B2678" s="670"/>
      <c r="C2678" s="216"/>
      <c r="D2678" s="216"/>
      <c r="E2678" s="216"/>
      <c r="F2678" s="216"/>
      <c r="G2678" s="435"/>
      <c r="H2678" s="216"/>
      <c r="I2678" s="435"/>
    </row>
    <row r="2679" spans="1:9" ht="12.75">
      <c r="A2679" s="669"/>
      <c r="B2679" s="670"/>
      <c r="C2679" s="216"/>
      <c r="D2679" s="216"/>
      <c r="E2679" s="216"/>
      <c r="F2679" s="216"/>
      <c r="G2679" s="435"/>
      <c r="H2679" s="216"/>
      <c r="I2679" s="435"/>
    </row>
    <row r="2680" spans="1:9" ht="12.75">
      <c r="A2680" s="669"/>
      <c r="B2680" s="670"/>
      <c r="C2680" s="216"/>
      <c r="D2680" s="216"/>
      <c r="E2680" s="216"/>
      <c r="F2680" s="216"/>
      <c r="G2680" s="435"/>
      <c r="H2680" s="216"/>
      <c r="I2680" s="435"/>
    </row>
    <row r="2681" spans="1:9" ht="12.75">
      <c r="A2681" s="669"/>
      <c r="B2681" s="670"/>
      <c r="C2681" s="216"/>
      <c r="D2681" s="216"/>
      <c r="E2681" s="216"/>
      <c r="F2681" s="216"/>
      <c r="G2681" s="435"/>
      <c r="H2681" s="216"/>
      <c r="I2681" s="435"/>
    </row>
    <row r="2682" spans="1:9" ht="12.75">
      <c r="A2682" s="669"/>
      <c r="B2682" s="670"/>
      <c r="C2682" s="216"/>
      <c r="D2682" s="216"/>
      <c r="E2682" s="216"/>
      <c r="F2682" s="216"/>
      <c r="G2682" s="435"/>
      <c r="H2682" s="216"/>
      <c r="I2682" s="435"/>
    </row>
    <row r="2683" spans="1:9" ht="12.75">
      <c r="A2683" s="669"/>
      <c r="B2683" s="670"/>
      <c r="C2683" s="216"/>
      <c r="D2683" s="216"/>
      <c r="E2683" s="216"/>
      <c r="F2683" s="216"/>
      <c r="G2683" s="435"/>
      <c r="H2683" s="216"/>
      <c r="I2683" s="435"/>
    </row>
    <row r="2684" spans="1:9" ht="12.75">
      <c r="A2684" s="669"/>
      <c r="B2684" s="670"/>
      <c r="C2684" s="216"/>
      <c r="D2684" s="216"/>
      <c r="E2684" s="216"/>
      <c r="F2684" s="216"/>
      <c r="G2684" s="435"/>
      <c r="H2684" s="216"/>
      <c r="I2684" s="435"/>
    </row>
    <row r="2685" spans="1:9" ht="12.75">
      <c r="A2685" s="669"/>
      <c r="B2685" s="670"/>
      <c r="C2685" s="216"/>
      <c r="D2685" s="216"/>
      <c r="E2685" s="216"/>
      <c r="F2685" s="216"/>
      <c r="G2685" s="435"/>
      <c r="H2685" s="216"/>
      <c r="I2685" s="435"/>
    </row>
    <row r="2686" spans="1:9" ht="12.75">
      <c r="A2686" s="669"/>
      <c r="B2686" s="670"/>
      <c r="C2686" s="216"/>
      <c r="D2686" s="216"/>
      <c r="E2686" s="216"/>
      <c r="F2686" s="216"/>
      <c r="G2686" s="435"/>
      <c r="H2686" s="216"/>
      <c r="I2686" s="435"/>
    </row>
    <row r="2687" spans="1:9" ht="12.75">
      <c r="A2687" s="669"/>
      <c r="B2687" s="670"/>
      <c r="C2687" s="216"/>
      <c r="D2687" s="216"/>
      <c r="E2687" s="216"/>
      <c r="F2687" s="216"/>
      <c r="G2687" s="435"/>
      <c r="H2687" s="216"/>
      <c r="I2687" s="435"/>
    </row>
    <row r="2688" spans="1:9" ht="12.75">
      <c r="A2688" s="669"/>
      <c r="B2688" s="670"/>
      <c r="C2688" s="216"/>
      <c r="D2688" s="216"/>
      <c r="E2688" s="216"/>
      <c r="F2688" s="216"/>
      <c r="G2688" s="435"/>
      <c r="H2688" s="216"/>
      <c r="I2688" s="435"/>
    </row>
    <row r="2689" spans="1:9" ht="12.75">
      <c r="A2689" s="669"/>
      <c r="B2689" s="670"/>
      <c r="C2689" s="216"/>
      <c r="D2689" s="216"/>
      <c r="E2689" s="216"/>
      <c r="F2689" s="216"/>
      <c r="G2689" s="435"/>
      <c r="H2689" s="216"/>
      <c r="I2689" s="435"/>
    </row>
    <row r="2690" spans="1:9" ht="12.75">
      <c r="A2690" s="669"/>
      <c r="B2690" s="670"/>
      <c r="C2690" s="216"/>
      <c r="D2690" s="216"/>
      <c r="E2690" s="216"/>
      <c r="F2690" s="216"/>
      <c r="G2690" s="435"/>
      <c r="H2690" s="216"/>
      <c r="I2690" s="435"/>
    </row>
    <row r="2691" spans="1:9" ht="12.75">
      <c r="A2691" s="669"/>
      <c r="B2691" s="670"/>
      <c r="C2691" s="216"/>
      <c r="D2691" s="216"/>
      <c r="E2691" s="216"/>
      <c r="F2691" s="216"/>
      <c r="G2691" s="435"/>
      <c r="H2691" s="216"/>
      <c r="I2691" s="435"/>
    </row>
    <row r="2692" spans="1:9" ht="12.75">
      <c r="A2692" s="669"/>
      <c r="B2692" s="670"/>
      <c r="C2692" s="216"/>
      <c r="D2692" s="216"/>
      <c r="E2692" s="216"/>
      <c r="F2692" s="216"/>
      <c r="G2692" s="435"/>
      <c r="H2692" s="216"/>
      <c r="I2692" s="435"/>
    </row>
    <row r="2693" spans="1:9" ht="12.75">
      <c r="A2693" s="669"/>
      <c r="B2693" s="671"/>
      <c r="C2693" s="216"/>
      <c r="D2693" s="216"/>
      <c r="E2693" s="216"/>
      <c r="F2693" s="216"/>
      <c r="G2693" s="435"/>
      <c r="H2693" s="216"/>
      <c r="I2693" s="435"/>
    </row>
    <row r="2694" spans="1:9" ht="12.75">
      <c r="A2694" s="669"/>
      <c r="B2694" s="670"/>
      <c r="C2694" s="216"/>
      <c r="D2694" s="216"/>
      <c r="E2694" s="216"/>
      <c r="F2694" s="216"/>
      <c r="G2694" s="435"/>
      <c r="H2694" s="216"/>
      <c r="I2694" s="435"/>
    </row>
    <row r="2695" spans="1:9" ht="12.75">
      <c r="A2695" s="669"/>
      <c r="B2695" s="670"/>
      <c r="C2695" s="216"/>
      <c r="D2695" s="216"/>
      <c r="E2695" s="216"/>
      <c r="F2695" s="216"/>
      <c r="G2695" s="435"/>
      <c r="H2695" s="216"/>
      <c r="I2695" s="435"/>
    </row>
    <row r="2696" spans="1:9" ht="12.75">
      <c r="A2696" s="669"/>
      <c r="B2696" s="670"/>
      <c r="C2696" s="216"/>
      <c r="D2696" s="216"/>
      <c r="E2696" s="216"/>
      <c r="F2696" s="216"/>
      <c r="G2696" s="435"/>
      <c r="H2696" s="216"/>
      <c r="I2696" s="435"/>
    </row>
    <row r="2697" spans="1:9" ht="12.75">
      <c r="A2697" s="669"/>
      <c r="B2697" s="670"/>
      <c r="C2697" s="216"/>
      <c r="D2697" s="216"/>
      <c r="E2697" s="216"/>
      <c r="F2697" s="216"/>
      <c r="G2697" s="435"/>
      <c r="H2697" s="216"/>
      <c r="I2697" s="435"/>
    </row>
    <row r="2698" spans="1:9" ht="12.75">
      <c r="A2698" s="669"/>
      <c r="B2698" s="670"/>
      <c r="C2698" s="216"/>
      <c r="D2698" s="216"/>
      <c r="E2698" s="216"/>
      <c r="F2698" s="216"/>
      <c r="G2698" s="435"/>
      <c r="H2698" s="216"/>
      <c r="I2698" s="435"/>
    </row>
    <row r="2699" spans="1:9" ht="12.75">
      <c r="A2699" s="669"/>
      <c r="B2699" s="670"/>
      <c r="C2699" s="216"/>
      <c r="D2699" s="216"/>
      <c r="E2699" s="216"/>
      <c r="F2699" s="216"/>
      <c r="G2699" s="435"/>
      <c r="H2699" s="216"/>
      <c r="I2699" s="435"/>
    </row>
    <row r="2700" spans="1:9" ht="12.75">
      <c r="A2700" s="669"/>
      <c r="B2700" s="670"/>
      <c r="C2700" s="216"/>
      <c r="D2700" s="216"/>
      <c r="E2700" s="216"/>
      <c r="F2700" s="216"/>
      <c r="G2700" s="435"/>
      <c r="H2700" s="216"/>
      <c r="I2700" s="435"/>
    </row>
    <row r="2701" spans="1:9" ht="12.75">
      <c r="A2701" s="669"/>
      <c r="B2701" s="670"/>
      <c r="C2701" s="216"/>
      <c r="D2701" s="216"/>
      <c r="E2701" s="216"/>
      <c r="F2701" s="216"/>
      <c r="G2701" s="435"/>
      <c r="H2701" s="216"/>
      <c r="I2701" s="435"/>
    </row>
    <row r="2702" spans="1:9" ht="12.75">
      <c r="A2702" s="669"/>
      <c r="B2702" s="670"/>
      <c r="C2702" s="216"/>
      <c r="D2702" s="216"/>
      <c r="E2702" s="216"/>
      <c r="F2702" s="216"/>
      <c r="G2702" s="435"/>
      <c r="H2702" s="216"/>
      <c r="I2702" s="435"/>
    </row>
    <row r="2703" spans="1:9" ht="12.75">
      <c r="A2703" s="669"/>
      <c r="B2703" s="670"/>
      <c r="C2703" s="216"/>
      <c r="D2703" s="216"/>
      <c r="E2703" s="216"/>
      <c r="F2703" s="216"/>
      <c r="G2703" s="435"/>
      <c r="H2703" s="216"/>
      <c r="I2703" s="435"/>
    </row>
    <row r="2704" spans="1:9" ht="12.75">
      <c r="A2704" s="669"/>
      <c r="B2704" s="670"/>
      <c r="C2704" s="216"/>
      <c r="D2704" s="216"/>
      <c r="E2704" s="216"/>
      <c r="F2704" s="216"/>
      <c r="G2704" s="435"/>
      <c r="H2704" s="216"/>
      <c r="I2704" s="435"/>
    </row>
    <row r="2705" spans="1:9" ht="12.75">
      <c r="A2705" s="669"/>
      <c r="B2705" s="670"/>
      <c r="C2705" s="216"/>
      <c r="D2705" s="216"/>
      <c r="E2705" s="216"/>
      <c r="F2705" s="216"/>
      <c r="G2705" s="435"/>
      <c r="H2705" s="216"/>
      <c r="I2705" s="435"/>
    </row>
    <row r="2706" spans="1:9" ht="12.75">
      <c r="A2706" s="669"/>
      <c r="B2706" s="670"/>
      <c r="C2706" s="216"/>
      <c r="D2706" s="216"/>
      <c r="E2706" s="216"/>
      <c r="F2706" s="216"/>
      <c r="G2706" s="435"/>
      <c r="H2706" s="216"/>
      <c r="I2706" s="435"/>
    </row>
    <row r="2707" spans="1:9" ht="12.75">
      <c r="A2707" s="669"/>
      <c r="B2707" s="670"/>
      <c r="C2707" s="216"/>
      <c r="D2707" s="216"/>
      <c r="E2707" s="216"/>
      <c r="F2707" s="216"/>
      <c r="G2707" s="435"/>
      <c r="H2707" s="216"/>
      <c r="I2707" s="435"/>
    </row>
    <row r="2708" spans="1:9" ht="12.75">
      <c r="A2708" s="669"/>
      <c r="B2708" s="670"/>
      <c r="C2708" s="216"/>
      <c r="D2708" s="216"/>
      <c r="E2708" s="216"/>
      <c r="F2708" s="216"/>
      <c r="G2708" s="435"/>
      <c r="H2708" s="216"/>
      <c r="I2708" s="435"/>
    </row>
    <row r="2709" spans="1:9" ht="12.75">
      <c r="A2709" s="669"/>
      <c r="B2709" s="670"/>
      <c r="C2709" s="216"/>
      <c r="D2709" s="216"/>
      <c r="E2709" s="216"/>
      <c r="F2709" s="216"/>
      <c r="G2709" s="435"/>
      <c r="H2709" s="216"/>
      <c r="I2709" s="435"/>
    </row>
    <row r="2710" spans="1:9" ht="12.75">
      <c r="A2710" s="669"/>
      <c r="B2710" s="670"/>
      <c r="C2710" s="216"/>
      <c r="D2710" s="216"/>
      <c r="E2710" s="216"/>
      <c r="F2710" s="216"/>
      <c r="G2710" s="435"/>
      <c r="H2710" s="216"/>
      <c r="I2710" s="435"/>
    </row>
    <row r="2711" spans="1:9" ht="12.75">
      <c r="A2711" s="669"/>
      <c r="B2711" s="670"/>
      <c r="C2711" s="216"/>
      <c r="D2711" s="216"/>
      <c r="E2711" s="216"/>
      <c r="F2711" s="216"/>
      <c r="G2711" s="435"/>
      <c r="H2711" s="216"/>
      <c r="I2711" s="435"/>
    </row>
    <row r="2712" spans="1:9" ht="12.75">
      <c r="A2712" s="669"/>
      <c r="B2712" s="670"/>
      <c r="C2712" s="216"/>
      <c r="D2712" s="216"/>
      <c r="E2712" s="216"/>
      <c r="F2712" s="216"/>
      <c r="G2712" s="435"/>
      <c r="H2712" s="216"/>
      <c r="I2712" s="435"/>
    </row>
    <row r="2713" spans="1:9" ht="12.75">
      <c r="A2713" s="669"/>
      <c r="B2713" s="670"/>
      <c r="C2713" s="216"/>
      <c r="D2713" s="216"/>
      <c r="E2713" s="216"/>
      <c r="F2713" s="216"/>
      <c r="G2713" s="435"/>
      <c r="H2713" s="216"/>
      <c r="I2713" s="435"/>
    </row>
    <row r="2714" spans="1:9" ht="12.75">
      <c r="A2714" s="669"/>
      <c r="B2714" s="670"/>
      <c r="C2714" s="216"/>
      <c r="D2714" s="216"/>
      <c r="E2714" s="216"/>
      <c r="F2714" s="216"/>
      <c r="G2714" s="435"/>
      <c r="H2714" s="216"/>
      <c r="I2714" s="435"/>
    </row>
    <row r="2715" spans="1:9" ht="12.75">
      <c r="A2715" s="669"/>
      <c r="B2715" s="670"/>
      <c r="C2715" s="216"/>
      <c r="D2715" s="216"/>
      <c r="E2715" s="216"/>
      <c r="F2715" s="216"/>
      <c r="G2715" s="435"/>
      <c r="H2715" s="216"/>
      <c r="I2715" s="435"/>
    </row>
    <row r="2716" spans="1:9" ht="12.75">
      <c r="A2716" s="669"/>
      <c r="B2716" s="670"/>
      <c r="C2716" s="216"/>
      <c r="D2716" s="216"/>
      <c r="E2716" s="216"/>
      <c r="F2716" s="216"/>
      <c r="G2716" s="435"/>
      <c r="H2716" s="216"/>
      <c r="I2716" s="435"/>
    </row>
    <row r="2717" spans="1:9" ht="12.75">
      <c r="A2717" s="669"/>
      <c r="B2717" s="670"/>
      <c r="C2717" s="216"/>
      <c r="D2717" s="216"/>
      <c r="E2717" s="216"/>
      <c r="F2717" s="216"/>
      <c r="G2717" s="435"/>
      <c r="H2717" s="216"/>
      <c r="I2717" s="435"/>
    </row>
    <row r="2718" spans="1:9" ht="12.75">
      <c r="A2718" s="669"/>
      <c r="B2718" s="670"/>
      <c r="C2718" s="216"/>
      <c r="D2718" s="216"/>
      <c r="E2718" s="216"/>
      <c r="F2718" s="216"/>
      <c r="G2718" s="435"/>
      <c r="H2718" s="216"/>
      <c r="I2718" s="435"/>
    </row>
    <row r="2719" spans="1:9" ht="12.75">
      <c r="A2719" s="669"/>
      <c r="B2719" s="670"/>
      <c r="C2719" s="216"/>
      <c r="D2719" s="216"/>
      <c r="E2719" s="216"/>
      <c r="F2719" s="216"/>
      <c r="G2719" s="435"/>
      <c r="H2719" s="216"/>
      <c r="I2719" s="435"/>
    </row>
    <row r="2720" spans="1:9" ht="12.75">
      <c r="A2720" s="669"/>
      <c r="B2720" s="670"/>
      <c r="C2720" s="216"/>
      <c r="D2720" s="216"/>
      <c r="E2720" s="216"/>
      <c r="F2720" s="216"/>
      <c r="G2720" s="435"/>
      <c r="H2720" s="216"/>
      <c r="I2720" s="435"/>
    </row>
    <row r="2721" spans="1:9" ht="12.75">
      <c r="A2721" s="669"/>
      <c r="B2721" s="670"/>
      <c r="C2721" s="216"/>
      <c r="D2721" s="216"/>
      <c r="E2721" s="216"/>
      <c r="F2721" s="216"/>
      <c r="G2721" s="435"/>
      <c r="H2721" s="216"/>
      <c r="I2721" s="435"/>
    </row>
    <row r="2722" spans="1:9" ht="12.75">
      <c r="A2722" s="669"/>
      <c r="B2722" s="670"/>
      <c r="C2722" s="216"/>
      <c r="D2722" s="216"/>
      <c r="E2722" s="216"/>
      <c r="F2722" s="216"/>
      <c r="G2722" s="435"/>
      <c r="H2722" s="216"/>
      <c r="I2722" s="435"/>
    </row>
    <row r="2723" spans="1:9" ht="12.75">
      <c r="A2723" s="669"/>
      <c r="B2723" s="670"/>
      <c r="C2723" s="216"/>
      <c r="D2723" s="216"/>
      <c r="E2723" s="216"/>
      <c r="F2723" s="216"/>
      <c r="G2723" s="435"/>
      <c r="H2723" s="216"/>
      <c r="I2723" s="435"/>
    </row>
    <row r="2724" spans="1:9" ht="12.75">
      <c r="A2724" s="669"/>
      <c r="B2724" s="670"/>
      <c r="C2724" s="216"/>
      <c r="D2724" s="216"/>
      <c r="E2724" s="216"/>
      <c r="F2724" s="216"/>
      <c r="G2724" s="435"/>
      <c r="H2724" s="216"/>
      <c r="I2724" s="435"/>
    </row>
    <row r="2725" spans="1:9" ht="12.75">
      <c r="A2725" s="669"/>
      <c r="B2725" s="670"/>
      <c r="C2725" s="216"/>
      <c r="D2725" s="216"/>
      <c r="E2725" s="216"/>
      <c r="F2725" s="216"/>
      <c r="G2725" s="435"/>
      <c r="H2725" s="216"/>
      <c r="I2725" s="435"/>
    </row>
    <row r="2726" spans="1:9" ht="12.75">
      <c r="A2726" s="669"/>
      <c r="B2726" s="670"/>
      <c r="C2726" s="216"/>
      <c r="D2726" s="216"/>
      <c r="E2726" s="216"/>
      <c r="F2726" s="216"/>
      <c r="G2726" s="435"/>
      <c r="H2726" s="216"/>
      <c r="I2726" s="435"/>
    </row>
    <row r="2727" spans="1:9" ht="12.75">
      <c r="A2727" s="669"/>
      <c r="B2727" s="670"/>
      <c r="C2727" s="216"/>
      <c r="D2727" s="216"/>
      <c r="E2727" s="216"/>
      <c r="F2727" s="216"/>
      <c r="G2727" s="435"/>
      <c r="H2727" s="216"/>
      <c r="I2727" s="435"/>
    </row>
    <row r="2728" spans="1:9" ht="12.75">
      <c r="A2728" s="669"/>
      <c r="B2728" s="670"/>
      <c r="C2728" s="216"/>
      <c r="D2728" s="216"/>
      <c r="E2728" s="216"/>
      <c r="F2728" s="216"/>
      <c r="G2728" s="435"/>
      <c r="H2728" s="216"/>
      <c r="I2728" s="435"/>
    </row>
    <row r="2729" spans="1:9" ht="12.75">
      <c r="A2729" s="669"/>
      <c r="B2729" s="670"/>
      <c r="C2729" s="216"/>
      <c r="D2729" s="216"/>
      <c r="E2729" s="216"/>
      <c r="F2729" s="216"/>
      <c r="G2729" s="435"/>
      <c r="H2729" s="216"/>
      <c r="I2729" s="435"/>
    </row>
    <row r="2730" spans="1:9" ht="12.75">
      <c r="A2730" s="669"/>
      <c r="B2730" s="670"/>
      <c r="C2730" s="216"/>
      <c r="D2730" s="216"/>
      <c r="E2730" s="216"/>
      <c r="F2730" s="216"/>
      <c r="G2730" s="435"/>
      <c r="H2730" s="216"/>
      <c r="I2730" s="435"/>
    </row>
    <row r="2731" spans="1:9" ht="12.75">
      <c r="A2731" s="669"/>
      <c r="B2731" s="670"/>
      <c r="C2731" s="216"/>
      <c r="D2731" s="216"/>
      <c r="E2731" s="216"/>
      <c r="F2731" s="216"/>
      <c r="G2731" s="435"/>
      <c r="H2731" s="216"/>
      <c r="I2731" s="435"/>
    </row>
    <row r="2732" spans="1:9" ht="12.75">
      <c r="A2732" s="669"/>
      <c r="B2732" s="670"/>
      <c r="C2732" s="216"/>
      <c r="D2732" s="216"/>
      <c r="E2732" s="216"/>
      <c r="F2732" s="216"/>
      <c r="G2732" s="435"/>
      <c r="H2732" s="216"/>
      <c r="I2732" s="435"/>
    </row>
    <row r="2733" spans="1:9" ht="12.75">
      <c r="A2733" s="669"/>
      <c r="B2733" s="670"/>
      <c r="C2733" s="216"/>
      <c r="D2733" s="216"/>
      <c r="E2733" s="216"/>
      <c r="F2733" s="216"/>
      <c r="G2733" s="435"/>
      <c r="H2733" s="216"/>
      <c r="I2733" s="435"/>
    </row>
    <row r="2734" spans="1:9" ht="12.75">
      <c r="A2734" s="669"/>
      <c r="B2734" s="670"/>
      <c r="C2734" s="216"/>
      <c r="D2734" s="216"/>
      <c r="E2734" s="216"/>
      <c r="F2734" s="216"/>
      <c r="G2734" s="435"/>
      <c r="H2734" s="216"/>
      <c r="I2734" s="435"/>
    </row>
    <row r="2735" spans="1:9" ht="12.75">
      <c r="A2735" s="669"/>
      <c r="B2735" s="670"/>
      <c r="C2735" s="216"/>
      <c r="D2735" s="216"/>
      <c r="E2735" s="216"/>
      <c r="F2735" s="216"/>
      <c r="G2735" s="435"/>
      <c r="H2735" s="216"/>
      <c r="I2735" s="435"/>
    </row>
    <row r="2736" spans="1:9" ht="12.75">
      <c r="A2736" s="669"/>
      <c r="B2736" s="670"/>
      <c r="C2736" s="216"/>
      <c r="D2736" s="216"/>
      <c r="E2736" s="216"/>
      <c r="F2736" s="216"/>
      <c r="G2736" s="435"/>
      <c r="H2736" s="216"/>
      <c r="I2736" s="435"/>
    </row>
    <row r="2737" spans="1:9" ht="12.75">
      <c r="A2737" s="669"/>
      <c r="B2737" s="670"/>
      <c r="C2737" s="216"/>
      <c r="D2737" s="216"/>
      <c r="E2737" s="216"/>
      <c r="F2737" s="216"/>
      <c r="G2737" s="435"/>
      <c r="H2737" s="216"/>
      <c r="I2737" s="435"/>
    </row>
    <row r="2738" spans="1:9" ht="12.75">
      <c r="A2738" s="669"/>
      <c r="B2738" s="670"/>
      <c r="C2738" s="216"/>
      <c r="D2738" s="216"/>
      <c r="E2738" s="216"/>
      <c r="F2738" s="216"/>
      <c r="G2738" s="435"/>
      <c r="H2738" s="216"/>
      <c r="I2738" s="435"/>
    </row>
    <row r="2739" spans="1:9" ht="12.75">
      <c r="A2739" s="669"/>
      <c r="B2739" s="670"/>
      <c r="C2739" s="216"/>
      <c r="D2739" s="216"/>
      <c r="E2739" s="216"/>
      <c r="F2739" s="216"/>
      <c r="G2739" s="435"/>
      <c r="H2739" s="216"/>
      <c r="I2739" s="435"/>
    </row>
    <row r="2740" spans="1:9" ht="12.75">
      <c r="A2740" s="669"/>
      <c r="B2740" s="670"/>
      <c r="C2740" s="216"/>
      <c r="D2740" s="216"/>
      <c r="E2740" s="216"/>
      <c r="F2740" s="216"/>
      <c r="G2740" s="435"/>
      <c r="H2740" s="216"/>
      <c r="I2740" s="435"/>
    </row>
    <row r="2741" spans="1:9" ht="12.75">
      <c r="A2741" s="669"/>
      <c r="B2741" s="670"/>
      <c r="C2741" s="216"/>
      <c r="D2741" s="216"/>
      <c r="E2741" s="216"/>
      <c r="F2741" s="216"/>
      <c r="G2741" s="435"/>
      <c r="H2741" s="216"/>
      <c r="I2741" s="435"/>
    </row>
    <row r="2742" spans="1:9" ht="12.75">
      <c r="A2742" s="669"/>
      <c r="B2742" s="670"/>
      <c r="C2742" s="216"/>
      <c r="D2742" s="216"/>
      <c r="E2742" s="216"/>
      <c r="F2742" s="216"/>
      <c r="G2742" s="435"/>
      <c r="H2742" s="216"/>
      <c r="I2742" s="435"/>
    </row>
    <row r="2743" spans="1:9" ht="12.75">
      <c r="A2743" s="669"/>
      <c r="B2743" s="670"/>
      <c r="C2743" s="216"/>
      <c r="D2743" s="216"/>
      <c r="E2743" s="216"/>
      <c r="F2743" s="216"/>
      <c r="G2743" s="435"/>
      <c r="H2743" s="216"/>
      <c r="I2743" s="435"/>
    </row>
    <row r="2744" spans="1:9" ht="12.75">
      <c r="A2744" s="669"/>
      <c r="B2744" s="670"/>
      <c r="C2744" s="216"/>
      <c r="D2744" s="216"/>
      <c r="E2744" s="216"/>
      <c r="F2744" s="216"/>
      <c r="G2744" s="435"/>
      <c r="H2744" s="216"/>
      <c r="I2744" s="435"/>
    </row>
    <row r="2745" spans="1:9" ht="12.75">
      <c r="A2745" s="669"/>
      <c r="B2745" s="670"/>
      <c r="C2745" s="216"/>
      <c r="D2745" s="216"/>
      <c r="E2745" s="216"/>
      <c r="F2745" s="216"/>
      <c r="G2745" s="435"/>
      <c r="H2745" s="216"/>
      <c r="I2745" s="435"/>
    </row>
    <row r="2746" spans="1:9" ht="12.75">
      <c r="A2746" s="669"/>
      <c r="B2746" s="670"/>
      <c r="C2746" s="216"/>
      <c r="D2746" s="216"/>
      <c r="E2746" s="216"/>
      <c r="F2746" s="216"/>
      <c r="G2746" s="435"/>
      <c r="H2746" s="216"/>
      <c r="I2746" s="435"/>
    </row>
    <row r="2747" spans="1:9" ht="12.75">
      <c r="A2747" s="669"/>
      <c r="B2747" s="670"/>
      <c r="C2747" s="216"/>
      <c r="D2747" s="216"/>
      <c r="E2747" s="216"/>
      <c r="F2747" s="216"/>
      <c r="G2747" s="435"/>
      <c r="H2747" s="216"/>
      <c r="I2747" s="435"/>
    </row>
    <row r="2748" spans="1:9" ht="12.75">
      <c r="A2748" s="669"/>
      <c r="B2748" s="670"/>
      <c r="C2748" s="216"/>
      <c r="D2748" s="216"/>
      <c r="E2748" s="216"/>
      <c r="F2748" s="216"/>
      <c r="G2748" s="435"/>
      <c r="H2748" s="216"/>
      <c r="I2748" s="435"/>
    </row>
    <row r="2749" spans="1:9" ht="12.75">
      <c r="A2749" s="669"/>
      <c r="B2749" s="670"/>
      <c r="C2749" s="216"/>
      <c r="D2749" s="216"/>
      <c r="E2749" s="216"/>
      <c r="F2749" s="216"/>
      <c r="G2749" s="435"/>
      <c r="H2749" s="216"/>
      <c r="I2749" s="435"/>
    </row>
    <row r="2750" spans="1:9" ht="12.75">
      <c r="A2750" s="669"/>
      <c r="B2750" s="670"/>
      <c r="C2750" s="216"/>
      <c r="D2750" s="216"/>
      <c r="E2750" s="216"/>
      <c r="F2750" s="216"/>
      <c r="G2750" s="435"/>
      <c r="H2750" s="216"/>
      <c r="I2750" s="435"/>
    </row>
    <row r="2751" spans="1:9" ht="12.75">
      <c r="A2751" s="669"/>
      <c r="B2751" s="670"/>
      <c r="C2751" s="216"/>
      <c r="D2751" s="216"/>
      <c r="E2751" s="216"/>
      <c r="F2751" s="216"/>
      <c r="G2751" s="435"/>
      <c r="H2751" s="216"/>
      <c r="I2751" s="435"/>
    </row>
    <row r="2752" spans="1:9" ht="12.75">
      <c r="A2752" s="669"/>
      <c r="B2752" s="670"/>
      <c r="C2752" s="216"/>
      <c r="D2752" s="216"/>
      <c r="E2752" s="216"/>
      <c r="F2752" s="216"/>
      <c r="G2752" s="435"/>
      <c r="H2752" s="216"/>
      <c r="I2752" s="435"/>
    </row>
    <row r="2753" spans="1:9" ht="12.75">
      <c r="A2753" s="669"/>
      <c r="B2753" s="670"/>
      <c r="C2753" s="216"/>
      <c r="D2753" s="216"/>
      <c r="E2753" s="216"/>
      <c r="F2753" s="216"/>
      <c r="G2753" s="435"/>
      <c r="H2753" s="216"/>
      <c r="I2753" s="435"/>
    </row>
    <row r="2754" spans="1:9" ht="12.75">
      <c r="A2754" s="669"/>
      <c r="B2754" s="670"/>
      <c r="C2754" s="216"/>
      <c r="D2754" s="216"/>
      <c r="E2754" s="216"/>
      <c r="F2754" s="216"/>
      <c r="G2754" s="435"/>
      <c r="H2754" s="216"/>
      <c r="I2754" s="435"/>
    </row>
    <row r="2755" spans="1:9" ht="12.75">
      <c r="A2755" s="669"/>
      <c r="B2755" s="670"/>
      <c r="C2755" s="216"/>
      <c r="D2755" s="216"/>
      <c r="E2755" s="216"/>
      <c r="F2755" s="216"/>
      <c r="G2755" s="435"/>
      <c r="H2755" s="216"/>
      <c r="I2755" s="435"/>
    </row>
    <row r="2756" spans="1:9" ht="12.75">
      <c r="A2756" s="669"/>
      <c r="B2756" s="670"/>
      <c r="C2756" s="216"/>
      <c r="D2756" s="216"/>
      <c r="E2756" s="216"/>
      <c r="F2756" s="216"/>
      <c r="G2756" s="435"/>
      <c r="H2756" s="216"/>
      <c r="I2756" s="435"/>
    </row>
    <row r="2757" spans="1:9" ht="12.75">
      <c r="A2757" s="669"/>
      <c r="B2757" s="670"/>
      <c r="C2757" s="216"/>
      <c r="D2757" s="216"/>
      <c r="E2757" s="216"/>
      <c r="F2757" s="216"/>
      <c r="G2757" s="435"/>
      <c r="H2757" s="216"/>
      <c r="I2757" s="435"/>
    </row>
    <row r="2758" spans="1:9" ht="12.75">
      <c r="A2758" s="669"/>
      <c r="B2758" s="670"/>
      <c r="C2758" s="216"/>
      <c r="D2758" s="216"/>
      <c r="E2758" s="216"/>
      <c r="F2758" s="216"/>
      <c r="G2758" s="435"/>
      <c r="H2758" s="216"/>
      <c r="I2758" s="435"/>
    </row>
    <row r="2759" spans="1:9" ht="12.75">
      <c r="A2759" s="669"/>
      <c r="B2759" s="670"/>
      <c r="C2759" s="216"/>
      <c r="D2759" s="216"/>
      <c r="E2759" s="216"/>
      <c r="F2759" s="216"/>
      <c r="G2759" s="435"/>
      <c r="H2759" s="216"/>
      <c r="I2759" s="435"/>
    </row>
    <row r="2760" spans="1:9" ht="12.75">
      <c r="A2760" s="669"/>
      <c r="B2760" s="670"/>
      <c r="C2760" s="216"/>
      <c r="D2760" s="216"/>
      <c r="E2760" s="216"/>
      <c r="F2760" s="216"/>
      <c r="G2760" s="435"/>
      <c r="H2760" s="216"/>
      <c r="I2760" s="435"/>
    </row>
    <row r="2761" spans="1:9" ht="12.75">
      <c r="A2761" s="669"/>
      <c r="B2761" s="670"/>
      <c r="C2761" s="216"/>
      <c r="D2761" s="216"/>
      <c r="E2761" s="216"/>
      <c r="F2761" s="216"/>
      <c r="G2761" s="435"/>
      <c r="H2761" s="216"/>
      <c r="I2761" s="435"/>
    </row>
    <row r="2762" spans="1:9" ht="12.75">
      <c r="A2762" s="669"/>
      <c r="B2762" s="670"/>
      <c r="C2762" s="216"/>
      <c r="D2762" s="216"/>
      <c r="E2762" s="216"/>
      <c r="F2762" s="216"/>
      <c r="G2762" s="435"/>
      <c r="H2762" s="216"/>
      <c r="I2762" s="435"/>
    </row>
    <row r="2763" spans="1:9" ht="12.75">
      <c r="A2763" s="669"/>
      <c r="B2763" s="670"/>
      <c r="C2763" s="216"/>
      <c r="D2763" s="216"/>
      <c r="E2763" s="216"/>
      <c r="F2763" s="216"/>
      <c r="G2763" s="435"/>
      <c r="H2763" s="216"/>
      <c r="I2763" s="435"/>
    </row>
    <row r="2764" spans="1:9" ht="12.75">
      <c r="A2764" s="669"/>
      <c r="B2764" s="670"/>
      <c r="C2764" s="216"/>
      <c r="D2764" s="216"/>
      <c r="E2764" s="216"/>
      <c r="F2764" s="216"/>
      <c r="G2764" s="435"/>
      <c r="H2764" s="216"/>
      <c r="I2764" s="435"/>
    </row>
    <row r="2765" spans="1:9" ht="12.75">
      <c r="A2765" s="669"/>
      <c r="B2765" s="670"/>
      <c r="C2765" s="216"/>
      <c r="D2765" s="216"/>
      <c r="E2765" s="216"/>
      <c r="F2765" s="216"/>
      <c r="G2765" s="435"/>
      <c r="H2765" s="216"/>
      <c r="I2765" s="435"/>
    </row>
    <row r="2766" spans="1:9" ht="12.75">
      <c r="A2766" s="669"/>
      <c r="B2766" s="670"/>
      <c r="C2766" s="216"/>
      <c r="D2766" s="216"/>
      <c r="E2766" s="216"/>
      <c r="F2766" s="216"/>
      <c r="G2766" s="435"/>
      <c r="H2766" s="216"/>
      <c r="I2766" s="435"/>
    </row>
    <row r="2767" spans="1:9" ht="12.75">
      <c r="A2767" s="669"/>
      <c r="B2767" s="670"/>
      <c r="C2767" s="216"/>
      <c r="D2767" s="216"/>
      <c r="E2767" s="216"/>
      <c r="F2767" s="216"/>
      <c r="G2767" s="435"/>
      <c r="H2767" s="216"/>
      <c r="I2767" s="435"/>
    </row>
    <row r="2768" spans="1:9" ht="12.75">
      <c r="A2768" s="669"/>
      <c r="B2768" s="670"/>
      <c r="C2768" s="216"/>
      <c r="D2768" s="216"/>
      <c r="E2768" s="216"/>
      <c r="F2768" s="216"/>
      <c r="G2768" s="435"/>
      <c r="H2768" s="216"/>
      <c r="I2768" s="435"/>
    </row>
    <row r="2769" spans="1:9" ht="12.75">
      <c r="A2769" s="669"/>
      <c r="B2769" s="670"/>
      <c r="C2769" s="216"/>
      <c r="D2769" s="216"/>
      <c r="E2769" s="216"/>
      <c r="F2769" s="216"/>
      <c r="G2769" s="435"/>
      <c r="H2769" s="216"/>
      <c r="I2769" s="435"/>
    </row>
    <row r="2770" spans="1:9" ht="12.75">
      <c r="A2770" s="669"/>
      <c r="B2770" s="670"/>
      <c r="C2770" s="216"/>
      <c r="D2770" s="216"/>
      <c r="E2770" s="216"/>
      <c r="F2770" s="216"/>
      <c r="G2770" s="435"/>
      <c r="H2770" s="216"/>
      <c r="I2770" s="435"/>
    </row>
    <row r="2771" spans="1:9" ht="12.75">
      <c r="A2771" s="669"/>
      <c r="B2771" s="670"/>
      <c r="C2771" s="216"/>
      <c r="D2771" s="216"/>
      <c r="E2771" s="216"/>
      <c r="F2771" s="216"/>
      <c r="G2771" s="435"/>
      <c r="H2771" s="216"/>
      <c r="I2771" s="435"/>
    </row>
    <row r="2772" spans="1:9" ht="12.75">
      <c r="A2772" s="669"/>
      <c r="B2772" s="670"/>
      <c r="C2772" s="216"/>
      <c r="D2772" s="216"/>
      <c r="E2772" s="216"/>
      <c r="F2772" s="216"/>
      <c r="G2772" s="435"/>
      <c r="H2772" s="216"/>
      <c r="I2772" s="435"/>
    </row>
    <row r="2773" spans="1:9" ht="12.75">
      <c r="A2773" s="669"/>
      <c r="B2773" s="670"/>
      <c r="C2773" s="216"/>
      <c r="D2773" s="216"/>
      <c r="E2773" s="216"/>
      <c r="F2773" s="216"/>
      <c r="G2773" s="435"/>
      <c r="H2773" s="216"/>
      <c r="I2773" s="435"/>
    </row>
    <row r="2774" spans="1:9" ht="12.75">
      <c r="A2774" s="669"/>
      <c r="B2774" s="670"/>
      <c r="C2774" s="216"/>
      <c r="D2774" s="216"/>
      <c r="E2774" s="216"/>
      <c r="F2774" s="216"/>
      <c r="G2774" s="435"/>
      <c r="H2774" s="216"/>
      <c r="I2774" s="435"/>
    </row>
    <row r="2775" spans="1:9" ht="12.75">
      <c r="A2775" s="669"/>
      <c r="B2775" s="670"/>
      <c r="C2775" s="216"/>
      <c r="D2775" s="216"/>
      <c r="E2775" s="216"/>
      <c r="F2775" s="216"/>
      <c r="G2775" s="435"/>
      <c r="H2775" s="216"/>
      <c r="I2775" s="435"/>
    </row>
    <row r="2776" spans="1:9" ht="12.75">
      <c r="A2776" s="669"/>
      <c r="B2776" s="670"/>
      <c r="C2776" s="216"/>
      <c r="D2776" s="216"/>
      <c r="E2776" s="216"/>
      <c r="F2776" s="216"/>
      <c r="G2776" s="435"/>
      <c r="H2776" s="216"/>
      <c r="I2776" s="435"/>
    </row>
    <row r="2777" spans="1:9" ht="12.75">
      <c r="A2777" s="669"/>
      <c r="B2777" s="670"/>
      <c r="C2777" s="216"/>
      <c r="D2777" s="216"/>
      <c r="E2777" s="216"/>
      <c r="F2777" s="216"/>
      <c r="G2777" s="435"/>
      <c r="H2777" s="216"/>
      <c r="I2777" s="435"/>
    </row>
    <row r="2778" spans="1:9" ht="12.75">
      <c r="A2778" s="669"/>
      <c r="B2778" s="670"/>
      <c r="C2778" s="216"/>
      <c r="D2778" s="216"/>
      <c r="E2778" s="216"/>
      <c r="F2778" s="216"/>
      <c r="G2778" s="435"/>
      <c r="H2778" s="216"/>
      <c r="I2778" s="435"/>
    </row>
    <row r="2779" spans="1:9" ht="12.75">
      <c r="A2779" s="669"/>
      <c r="B2779" s="670"/>
      <c r="C2779" s="216"/>
      <c r="D2779" s="216"/>
      <c r="E2779" s="216"/>
      <c r="F2779" s="216"/>
      <c r="G2779" s="435"/>
      <c r="H2779" s="216"/>
      <c r="I2779" s="435"/>
    </row>
    <row r="2780" spans="1:9" ht="12.75">
      <c r="A2780" s="669"/>
      <c r="B2780" s="670"/>
      <c r="C2780" s="216"/>
      <c r="D2780" s="216"/>
      <c r="E2780" s="216"/>
      <c r="F2780" s="216"/>
      <c r="G2780" s="435"/>
      <c r="H2780" s="216"/>
      <c r="I2780" s="435"/>
    </row>
    <row r="2781" spans="1:9" ht="12.75">
      <c r="A2781" s="669"/>
      <c r="B2781" s="670"/>
      <c r="C2781" s="216"/>
      <c r="D2781" s="216"/>
      <c r="E2781" s="216"/>
      <c r="F2781" s="216"/>
      <c r="G2781" s="435"/>
      <c r="H2781" s="216"/>
      <c r="I2781" s="435"/>
    </row>
    <row r="2782" spans="1:9" ht="12.75">
      <c r="A2782" s="669"/>
      <c r="B2782" s="670"/>
      <c r="C2782" s="216"/>
      <c r="D2782" s="216"/>
      <c r="E2782" s="216"/>
      <c r="F2782" s="216"/>
      <c r="G2782" s="435"/>
      <c r="H2782" s="216"/>
      <c r="I2782" s="435"/>
    </row>
    <row r="2783" spans="1:9" ht="12.75">
      <c r="A2783" s="669"/>
      <c r="B2783" s="670"/>
      <c r="C2783" s="216"/>
      <c r="D2783" s="216"/>
      <c r="E2783" s="216"/>
      <c r="F2783" s="216"/>
      <c r="G2783" s="435"/>
      <c r="H2783" s="216"/>
      <c r="I2783" s="435"/>
    </row>
    <row r="2784" spans="1:9" ht="12.75">
      <c r="A2784" s="669"/>
      <c r="B2784" s="670"/>
      <c r="C2784" s="216"/>
      <c r="D2784" s="216"/>
      <c r="E2784" s="216"/>
      <c r="F2784" s="216"/>
      <c r="G2784" s="435"/>
      <c r="H2784" s="216"/>
      <c r="I2784" s="435"/>
    </row>
    <row r="2785" spans="1:9" ht="12.75">
      <c r="A2785" s="669"/>
      <c r="B2785" s="670"/>
      <c r="C2785" s="216"/>
      <c r="D2785" s="216"/>
      <c r="E2785" s="216"/>
      <c r="F2785" s="216"/>
      <c r="G2785" s="435"/>
      <c r="H2785" s="216"/>
      <c r="I2785" s="435"/>
    </row>
    <row r="2786" spans="1:9" ht="12.75">
      <c r="A2786" s="669"/>
      <c r="B2786" s="670"/>
      <c r="C2786" s="216"/>
      <c r="D2786" s="216"/>
      <c r="E2786" s="216"/>
      <c r="F2786" s="216"/>
      <c r="G2786" s="435"/>
      <c r="H2786" s="216"/>
      <c r="I2786" s="435"/>
    </row>
    <row r="2787" spans="1:9" ht="12.75">
      <c r="A2787" s="669"/>
      <c r="B2787" s="670"/>
      <c r="C2787" s="216"/>
      <c r="D2787" s="216"/>
      <c r="E2787" s="216"/>
      <c r="F2787" s="216"/>
      <c r="G2787" s="435"/>
      <c r="H2787" s="216"/>
      <c r="I2787" s="435"/>
    </row>
    <row r="2788" spans="1:9" ht="12.75">
      <c r="A2788" s="669"/>
      <c r="B2788" s="670"/>
      <c r="C2788" s="216"/>
      <c r="D2788" s="216"/>
      <c r="E2788" s="216"/>
      <c r="F2788" s="216"/>
      <c r="G2788" s="435"/>
      <c r="H2788" s="216"/>
      <c r="I2788" s="435"/>
    </row>
    <row r="2789" spans="1:9" ht="12.75">
      <c r="A2789" s="669"/>
      <c r="B2789" s="670"/>
      <c r="C2789" s="216"/>
      <c r="D2789" s="216"/>
      <c r="E2789" s="216"/>
      <c r="F2789" s="216"/>
      <c r="G2789" s="435"/>
      <c r="H2789" s="216"/>
      <c r="I2789" s="435"/>
    </row>
    <row r="2790" spans="1:9" ht="12.75">
      <c r="A2790" s="669"/>
      <c r="B2790" s="670"/>
      <c r="C2790" s="216"/>
      <c r="D2790" s="216"/>
      <c r="E2790" s="216"/>
      <c r="F2790" s="216"/>
      <c r="G2790" s="435"/>
      <c r="H2790" s="216"/>
      <c r="I2790" s="435"/>
    </row>
    <row r="2791" spans="1:9" ht="12.75">
      <c r="A2791" s="669"/>
      <c r="B2791" s="670"/>
      <c r="C2791" s="216"/>
      <c r="D2791" s="216"/>
      <c r="E2791" s="216"/>
      <c r="F2791" s="216"/>
      <c r="G2791" s="435"/>
      <c r="H2791" s="216"/>
      <c r="I2791" s="435"/>
    </row>
    <row r="2792" spans="1:9" ht="12.75">
      <c r="A2792" s="669"/>
      <c r="B2792" s="670"/>
      <c r="C2792" s="216"/>
      <c r="D2792" s="216"/>
      <c r="E2792" s="216"/>
      <c r="F2792" s="216"/>
      <c r="G2792" s="435"/>
      <c r="H2792" s="216"/>
      <c r="I2792" s="435"/>
    </row>
    <row r="2793" spans="1:9" ht="12.75">
      <c r="A2793" s="669"/>
      <c r="B2793" s="670"/>
      <c r="C2793" s="216"/>
      <c r="D2793" s="216"/>
      <c r="E2793" s="216"/>
      <c r="F2793" s="216"/>
      <c r="G2793" s="435"/>
      <c r="H2793" s="216"/>
      <c r="I2793" s="435"/>
    </row>
    <row r="2794" spans="1:9" ht="12.75">
      <c r="A2794" s="669"/>
      <c r="B2794" s="670"/>
      <c r="C2794" s="216"/>
      <c r="D2794" s="216"/>
      <c r="E2794" s="216"/>
      <c r="F2794" s="216"/>
      <c r="G2794" s="435"/>
      <c r="H2794" s="216"/>
      <c r="I2794" s="435"/>
    </row>
    <row r="2795" spans="1:9" ht="12.75">
      <c r="A2795" s="669"/>
      <c r="B2795" s="670"/>
      <c r="C2795" s="216"/>
      <c r="D2795" s="216"/>
      <c r="E2795" s="216"/>
      <c r="F2795" s="216"/>
      <c r="G2795" s="435"/>
      <c r="H2795" s="216"/>
      <c r="I2795" s="435"/>
    </row>
    <row r="2796" spans="1:9" ht="12.75">
      <c r="A2796" s="669"/>
      <c r="B2796" s="670"/>
      <c r="C2796" s="216"/>
      <c r="D2796" s="216"/>
      <c r="E2796" s="216"/>
      <c r="F2796" s="216"/>
      <c r="G2796" s="435"/>
      <c r="H2796" s="216"/>
      <c r="I2796" s="435"/>
    </row>
    <row r="2797" spans="1:9" ht="12.75">
      <c r="A2797" s="669"/>
      <c r="B2797" s="670"/>
      <c r="C2797" s="216"/>
      <c r="D2797" s="216"/>
      <c r="E2797" s="216"/>
      <c r="F2797" s="216"/>
      <c r="G2797" s="435"/>
      <c r="H2797" s="216"/>
      <c r="I2797" s="435"/>
    </row>
    <row r="2798" spans="1:9" ht="12.75">
      <c r="A2798" s="669"/>
      <c r="B2798" s="670"/>
      <c r="C2798" s="216"/>
      <c r="D2798" s="216"/>
      <c r="E2798" s="216"/>
      <c r="F2798" s="216"/>
      <c r="G2798" s="435"/>
      <c r="H2798" s="216"/>
      <c r="I2798" s="435"/>
    </row>
    <row r="2799" spans="1:9" ht="12.75">
      <c r="A2799" s="669"/>
      <c r="B2799" s="670"/>
      <c r="C2799" s="216"/>
      <c r="D2799" s="216"/>
      <c r="E2799" s="216"/>
      <c r="F2799" s="216"/>
      <c r="G2799" s="435"/>
      <c r="H2799" s="216"/>
      <c r="I2799" s="435"/>
    </row>
    <row r="2800" spans="1:9" ht="12.75">
      <c r="A2800" s="669"/>
      <c r="B2800" s="670"/>
      <c r="C2800" s="216"/>
      <c r="D2800" s="216"/>
      <c r="E2800" s="216"/>
      <c r="F2800" s="216"/>
      <c r="G2800" s="435"/>
      <c r="H2800" s="216"/>
      <c r="I2800" s="435"/>
    </row>
    <row r="2801" spans="1:9" ht="12.75">
      <c r="A2801" s="669"/>
      <c r="B2801" s="670"/>
      <c r="C2801" s="216"/>
      <c r="D2801" s="216"/>
      <c r="E2801" s="216"/>
      <c r="F2801" s="216"/>
      <c r="G2801" s="435"/>
      <c r="H2801" s="216"/>
      <c r="I2801" s="435"/>
    </row>
    <row r="2802" spans="1:9" ht="12.75">
      <c r="A2802" s="669"/>
      <c r="B2802" s="670"/>
      <c r="C2802" s="216"/>
      <c r="D2802" s="216"/>
      <c r="E2802" s="216"/>
      <c r="F2802" s="216"/>
      <c r="G2802" s="435"/>
      <c r="H2802" s="216"/>
      <c r="I2802" s="435"/>
    </row>
    <row r="2803" spans="1:9" ht="12.75">
      <c r="A2803" s="669"/>
      <c r="B2803" s="670"/>
      <c r="C2803" s="216"/>
      <c r="D2803" s="216"/>
      <c r="E2803" s="216"/>
      <c r="F2803" s="216"/>
      <c r="G2803" s="435"/>
      <c r="H2803" s="216"/>
      <c r="I2803" s="435"/>
    </row>
    <row r="2804" spans="1:9" ht="12.75">
      <c r="A2804" s="669"/>
      <c r="B2804" s="670"/>
      <c r="C2804" s="216"/>
      <c r="D2804" s="216"/>
      <c r="E2804" s="216"/>
      <c r="F2804" s="216"/>
      <c r="G2804" s="435"/>
      <c r="H2804" s="216"/>
      <c r="I2804" s="435"/>
    </row>
    <row r="2805" spans="1:9" ht="12.75">
      <c r="A2805" s="669"/>
      <c r="B2805" s="670"/>
      <c r="C2805" s="216"/>
      <c r="D2805" s="216"/>
      <c r="E2805" s="216"/>
      <c r="F2805" s="216"/>
      <c r="G2805" s="435"/>
      <c r="H2805" s="216"/>
      <c r="I2805" s="435"/>
    </row>
    <row r="2806" spans="1:9" ht="12.75">
      <c r="A2806" s="669"/>
      <c r="B2806" s="670"/>
      <c r="C2806" s="216"/>
      <c r="D2806" s="216"/>
      <c r="E2806" s="216"/>
      <c r="F2806" s="216"/>
      <c r="G2806" s="435"/>
      <c r="H2806" s="216"/>
      <c r="I2806" s="435"/>
    </row>
    <row r="2807" spans="1:9" ht="12.75">
      <c r="A2807" s="669"/>
      <c r="B2807" s="670"/>
      <c r="C2807" s="216"/>
      <c r="D2807" s="216"/>
      <c r="E2807" s="216"/>
      <c r="F2807" s="216"/>
      <c r="G2807" s="435"/>
      <c r="H2807" s="216"/>
      <c r="I2807" s="435"/>
    </row>
    <row r="2808" spans="1:9" ht="12.75">
      <c r="A2808" s="669"/>
      <c r="B2808" s="670"/>
      <c r="C2808" s="216"/>
      <c r="D2808" s="216"/>
      <c r="E2808" s="216"/>
      <c r="F2808" s="216"/>
      <c r="G2808" s="435"/>
      <c r="H2808" s="216"/>
      <c r="I2808" s="435"/>
    </row>
    <row r="2809" spans="1:9" ht="12.75">
      <c r="A2809" s="669"/>
      <c r="B2809" s="670"/>
      <c r="C2809" s="216"/>
      <c r="D2809" s="216"/>
      <c r="E2809" s="216"/>
      <c r="F2809" s="216"/>
      <c r="G2809" s="435"/>
      <c r="H2809" s="216"/>
      <c r="I2809" s="435"/>
    </row>
    <row r="2810" spans="1:9" ht="12.75">
      <c r="A2810" s="669"/>
      <c r="B2810" s="670"/>
      <c r="C2810" s="216"/>
      <c r="D2810" s="216"/>
      <c r="E2810" s="216"/>
      <c r="F2810" s="216"/>
      <c r="G2810" s="435"/>
      <c r="H2810" s="216"/>
      <c r="I2810" s="435"/>
    </row>
    <row r="2811" spans="1:9" ht="12.75">
      <c r="A2811" s="669"/>
      <c r="B2811" s="670"/>
      <c r="C2811" s="216"/>
      <c r="D2811" s="216"/>
      <c r="E2811" s="216"/>
      <c r="F2811" s="216"/>
      <c r="G2811" s="435"/>
      <c r="H2811" s="216"/>
      <c r="I2811" s="435"/>
    </row>
    <row r="2812" spans="1:9" ht="12.75">
      <c r="A2812" s="669"/>
      <c r="B2812" s="670"/>
      <c r="C2812" s="216"/>
      <c r="D2812" s="216"/>
      <c r="E2812" s="216"/>
      <c r="F2812" s="216"/>
      <c r="G2812" s="435"/>
      <c r="H2812" s="216"/>
      <c r="I2812" s="435"/>
    </row>
    <row r="2813" spans="1:9" ht="12.75">
      <c r="A2813" s="669"/>
      <c r="B2813" s="670"/>
      <c r="C2813" s="216"/>
      <c r="D2813" s="216"/>
      <c r="E2813" s="216"/>
      <c r="F2813" s="216"/>
      <c r="G2813" s="435"/>
      <c r="H2813" s="216"/>
      <c r="I2813" s="435"/>
    </row>
    <row r="2814" spans="1:9" ht="12.75">
      <c r="A2814" s="669"/>
      <c r="B2814" s="670"/>
      <c r="C2814" s="216"/>
      <c r="D2814" s="216"/>
      <c r="E2814" s="216"/>
      <c r="F2814" s="216"/>
      <c r="G2814" s="435"/>
      <c r="H2814" s="216"/>
      <c r="I2814" s="435"/>
    </row>
    <row r="2815" spans="1:9" ht="12.75">
      <c r="A2815" s="669"/>
      <c r="B2815" s="670"/>
      <c r="C2815" s="216"/>
      <c r="D2815" s="216"/>
      <c r="E2815" s="216"/>
      <c r="F2815" s="216"/>
      <c r="G2815" s="435"/>
      <c r="H2815" s="216"/>
      <c r="I2815" s="435"/>
    </row>
    <row r="2816" spans="1:9" ht="12.75">
      <c r="A2816" s="669"/>
      <c r="B2816" s="670"/>
      <c r="C2816" s="216"/>
      <c r="D2816" s="216"/>
      <c r="E2816" s="216"/>
      <c r="F2816" s="216"/>
      <c r="G2816" s="435"/>
      <c r="H2816" s="216"/>
      <c r="I2816" s="435"/>
    </row>
    <row r="2817" spans="1:9" ht="12.75">
      <c r="A2817" s="669"/>
      <c r="B2817" s="670"/>
      <c r="C2817" s="216"/>
      <c r="D2817" s="216"/>
      <c r="E2817" s="216"/>
      <c r="F2817" s="216"/>
      <c r="G2817" s="435"/>
      <c r="H2817" s="216"/>
      <c r="I2817" s="435"/>
    </row>
    <row r="2818" spans="1:9" ht="12.75">
      <c r="A2818" s="669"/>
      <c r="B2818" s="670"/>
      <c r="C2818" s="216"/>
      <c r="D2818" s="216"/>
      <c r="E2818" s="216"/>
      <c r="F2818" s="216"/>
      <c r="G2818" s="435"/>
      <c r="H2818" s="216"/>
      <c r="I2818" s="435"/>
    </row>
    <row r="2819" spans="1:9" ht="12.75">
      <c r="A2819" s="669"/>
      <c r="B2819" s="670"/>
      <c r="C2819" s="216"/>
      <c r="D2819" s="216"/>
      <c r="E2819" s="216"/>
      <c r="F2819" s="216"/>
      <c r="G2819" s="435"/>
      <c r="H2819" s="216"/>
      <c r="I2819" s="435"/>
    </row>
    <row r="2820" spans="1:9" ht="12.75">
      <c r="A2820" s="669"/>
      <c r="B2820" s="670"/>
      <c r="C2820" s="216"/>
      <c r="D2820" s="216"/>
      <c r="E2820" s="216"/>
      <c r="F2820" s="216"/>
      <c r="G2820" s="435"/>
      <c r="H2820" s="216"/>
      <c r="I2820" s="435"/>
    </row>
    <row r="2821" spans="1:9" ht="12.75">
      <c r="A2821" s="669"/>
      <c r="B2821" s="670"/>
      <c r="C2821" s="216"/>
      <c r="D2821" s="216"/>
      <c r="E2821" s="216"/>
      <c r="F2821" s="216"/>
      <c r="G2821" s="435"/>
      <c r="H2821" s="216"/>
      <c r="I2821" s="435"/>
    </row>
    <row r="2822" spans="1:9" ht="12.75">
      <c r="A2822" s="669"/>
      <c r="B2822" s="670"/>
      <c r="C2822" s="216"/>
      <c r="D2822" s="216"/>
      <c r="E2822" s="216"/>
      <c r="F2822" s="216"/>
      <c r="G2822" s="435"/>
      <c r="H2822" s="216"/>
      <c r="I2822" s="435"/>
    </row>
    <row r="2823" spans="1:9" ht="12.75">
      <c r="A2823" s="669"/>
      <c r="B2823" s="670"/>
      <c r="C2823" s="216"/>
      <c r="D2823" s="216"/>
      <c r="E2823" s="216"/>
      <c r="F2823" s="216"/>
      <c r="G2823" s="435"/>
      <c r="H2823" s="216"/>
      <c r="I2823" s="435"/>
    </row>
    <row r="2824" spans="1:9" ht="12.75">
      <c r="A2824" s="669"/>
      <c r="B2824" s="670"/>
      <c r="C2824" s="216"/>
      <c r="D2824" s="216"/>
      <c r="E2824" s="216"/>
      <c r="F2824" s="216"/>
      <c r="G2824" s="435"/>
      <c r="H2824" s="216"/>
      <c r="I2824" s="435"/>
    </row>
    <row r="2825" spans="1:9" ht="12.75">
      <c r="A2825" s="669"/>
      <c r="B2825" s="670"/>
      <c r="C2825" s="216"/>
      <c r="D2825" s="216"/>
      <c r="E2825" s="216"/>
      <c r="F2825" s="216"/>
      <c r="G2825" s="435"/>
      <c r="H2825" s="216"/>
      <c r="I2825" s="435"/>
    </row>
    <row r="2826" spans="1:9" ht="12.75">
      <c r="A2826" s="669"/>
      <c r="B2826" s="670"/>
      <c r="C2826" s="216"/>
      <c r="D2826" s="216"/>
      <c r="E2826" s="216"/>
      <c r="F2826" s="216"/>
      <c r="G2826" s="435"/>
      <c r="H2826" s="216"/>
      <c r="I2826" s="435"/>
    </row>
    <row r="2827" spans="1:9" ht="12.75">
      <c r="A2827" s="669"/>
      <c r="B2827" s="670"/>
      <c r="C2827" s="216"/>
      <c r="D2827" s="216"/>
      <c r="E2827" s="216"/>
      <c r="F2827" s="216"/>
      <c r="G2827" s="435"/>
      <c r="H2827" s="216"/>
      <c r="I2827" s="435"/>
    </row>
    <row r="2828" spans="1:9" ht="12.75">
      <c r="A2828" s="669"/>
      <c r="B2828" s="670"/>
      <c r="C2828" s="216"/>
      <c r="D2828" s="216"/>
      <c r="E2828" s="216"/>
      <c r="F2828" s="216"/>
      <c r="G2828" s="435"/>
      <c r="H2828" s="216"/>
      <c r="I2828" s="435"/>
    </row>
    <row r="2829" spans="1:9" ht="12.75">
      <c r="A2829" s="669"/>
      <c r="B2829" s="670"/>
      <c r="C2829" s="216"/>
      <c r="D2829" s="216"/>
      <c r="E2829" s="216"/>
      <c r="F2829" s="216"/>
      <c r="G2829" s="435"/>
      <c r="H2829" s="216"/>
      <c r="I2829" s="435"/>
    </row>
    <row r="2830" spans="1:9" ht="12.75">
      <c r="A2830" s="669"/>
      <c r="B2830" s="670"/>
      <c r="C2830" s="216"/>
      <c r="D2830" s="216"/>
      <c r="E2830" s="216"/>
      <c r="F2830" s="216"/>
      <c r="G2830" s="435"/>
      <c r="H2830" s="216"/>
      <c r="I2830" s="435"/>
    </row>
    <row r="2831" spans="1:9" ht="12.75">
      <c r="A2831" s="669"/>
      <c r="B2831" s="670"/>
      <c r="C2831" s="216"/>
      <c r="D2831" s="216"/>
      <c r="E2831" s="216"/>
      <c r="F2831" s="216"/>
      <c r="G2831" s="435"/>
      <c r="H2831" s="216"/>
      <c r="I2831" s="435"/>
    </row>
    <row r="2832" spans="1:9" ht="12.75">
      <c r="A2832" s="669"/>
      <c r="B2832" s="670"/>
      <c r="C2832" s="216"/>
      <c r="D2832" s="216"/>
      <c r="E2832" s="216"/>
      <c r="F2832" s="216"/>
      <c r="G2832" s="435"/>
      <c r="H2832" s="216"/>
      <c r="I2832" s="435"/>
    </row>
    <row r="2833" spans="1:9" ht="12.75">
      <c r="A2833" s="669"/>
      <c r="B2833" s="670"/>
      <c r="C2833" s="216"/>
      <c r="D2833" s="216"/>
      <c r="E2833" s="216"/>
      <c r="F2833" s="216"/>
      <c r="G2833" s="435"/>
      <c r="H2833" s="216"/>
      <c r="I2833" s="435"/>
    </row>
    <row r="2834" spans="1:9" ht="12.75">
      <c r="A2834" s="669"/>
      <c r="B2834" s="670"/>
      <c r="C2834" s="216"/>
      <c r="D2834" s="216"/>
      <c r="E2834" s="216"/>
      <c r="F2834" s="216"/>
      <c r="G2834" s="435"/>
      <c r="H2834" s="216"/>
      <c r="I2834" s="435"/>
    </row>
    <row r="2835" spans="1:9" ht="12.75">
      <c r="A2835" s="669"/>
      <c r="B2835" s="670"/>
      <c r="C2835" s="216"/>
      <c r="D2835" s="216"/>
      <c r="E2835" s="216"/>
      <c r="F2835" s="216"/>
      <c r="G2835" s="435"/>
      <c r="H2835" s="216"/>
      <c r="I2835" s="435"/>
    </row>
    <row r="2836" spans="1:9" ht="12.75">
      <c r="A2836" s="669"/>
      <c r="B2836" s="670"/>
      <c r="C2836" s="216"/>
      <c r="D2836" s="216"/>
      <c r="E2836" s="216"/>
      <c r="F2836" s="216"/>
      <c r="G2836" s="435"/>
      <c r="H2836" s="216"/>
      <c r="I2836" s="435"/>
    </row>
    <row r="2837" spans="1:9" ht="12.75">
      <c r="A2837" s="669"/>
      <c r="B2837" s="670"/>
      <c r="C2837" s="216"/>
      <c r="D2837" s="216"/>
      <c r="E2837" s="216"/>
      <c r="F2837" s="216"/>
      <c r="G2837" s="435"/>
      <c r="H2837" s="216"/>
      <c r="I2837" s="435"/>
    </row>
    <row r="2838" spans="1:9" ht="12.75">
      <c r="A2838" s="669"/>
      <c r="B2838" s="670"/>
      <c r="C2838" s="216"/>
      <c r="D2838" s="216"/>
      <c r="E2838" s="216"/>
      <c r="F2838" s="216"/>
      <c r="G2838" s="435"/>
      <c r="H2838" s="216"/>
      <c r="I2838" s="435"/>
    </row>
    <row r="2839" spans="1:9" ht="12.75">
      <c r="A2839" s="669"/>
      <c r="B2839" s="670"/>
      <c r="C2839" s="216"/>
      <c r="D2839" s="216"/>
      <c r="E2839" s="216"/>
      <c r="F2839" s="216"/>
      <c r="G2839" s="435"/>
      <c r="H2839" s="216"/>
      <c r="I2839" s="435"/>
    </row>
    <row r="2840" spans="1:9" ht="12.75">
      <c r="A2840" s="669"/>
      <c r="B2840" s="670"/>
      <c r="C2840" s="216"/>
      <c r="D2840" s="216"/>
      <c r="E2840" s="216"/>
      <c r="F2840" s="216"/>
      <c r="G2840" s="435"/>
      <c r="H2840" s="216"/>
      <c r="I2840" s="435"/>
    </row>
    <row r="2841" spans="1:9" ht="12.75">
      <c r="A2841" s="669"/>
      <c r="B2841" s="670"/>
      <c r="C2841" s="216"/>
      <c r="D2841" s="216"/>
      <c r="E2841" s="216"/>
      <c r="F2841" s="216"/>
      <c r="G2841" s="435"/>
      <c r="H2841" s="216"/>
      <c r="I2841" s="435"/>
    </row>
    <row r="2842" spans="1:9" ht="12.75">
      <c r="A2842" s="669"/>
      <c r="B2842" s="670"/>
      <c r="C2842" s="216"/>
      <c r="D2842" s="216"/>
      <c r="E2842" s="216"/>
      <c r="F2842" s="216"/>
      <c r="G2842" s="435"/>
      <c r="H2842" s="216"/>
      <c r="I2842" s="435"/>
    </row>
    <row r="2843" spans="1:9" ht="12.75">
      <c r="A2843" s="669"/>
      <c r="B2843" s="670"/>
      <c r="C2843" s="216"/>
      <c r="D2843" s="216"/>
      <c r="E2843" s="216"/>
      <c r="F2843" s="216"/>
      <c r="G2843" s="435"/>
      <c r="H2843" s="216"/>
      <c r="I2843" s="435"/>
    </row>
    <row r="2844" spans="1:9" ht="12.75">
      <c r="A2844" s="669"/>
      <c r="B2844" s="670"/>
      <c r="C2844" s="216"/>
      <c r="D2844" s="216"/>
      <c r="E2844" s="216"/>
      <c r="F2844" s="216"/>
      <c r="G2844" s="435"/>
      <c r="H2844" s="216"/>
      <c r="I2844" s="435"/>
    </row>
    <row r="2845" spans="1:9" ht="12.75">
      <c r="A2845" s="669"/>
      <c r="B2845" s="670"/>
      <c r="C2845" s="216"/>
      <c r="D2845" s="216"/>
      <c r="E2845" s="216"/>
      <c r="F2845" s="216"/>
      <c r="G2845" s="435"/>
      <c r="H2845" s="216"/>
      <c r="I2845" s="435"/>
    </row>
    <row r="2846" spans="1:9" ht="12.75">
      <c r="A2846" s="669"/>
      <c r="B2846" s="670"/>
      <c r="C2846" s="216"/>
      <c r="D2846" s="216"/>
      <c r="E2846" s="216"/>
      <c r="F2846" s="216"/>
      <c r="G2846" s="435"/>
      <c r="H2846" s="216"/>
      <c r="I2846" s="435"/>
    </row>
    <row r="2847" spans="1:9" ht="12.75">
      <c r="A2847" s="669"/>
      <c r="B2847" s="670"/>
      <c r="C2847" s="216"/>
      <c r="D2847" s="216"/>
      <c r="E2847" s="216"/>
      <c r="F2847" s="216"/>
      <c r="G2847" s="435"/>
      <c r="H2847" s="216"/>
      <c r="I2847" s="435"/>
    </row>
    <row r="2848" spans="1:9" ht="12.75">
      <c r="A2848" s="669"/>
      <c r="B2848" s="670"/>
      <c r="C2848" s="216"/>
      <c r="D2848" s="216"/>
      <c r="E2848" s="216"/>
      <c r="F2848" s="216"/>
      <c r="G2848" s="435"/>
      <c r="H2848" s="216"/>
      <c r="I2848" s="435"/>
    </row>
    <row r="2849" spans="1:9" ht="12.75">
      <c r="A2849" s="669"/>
      <c r="B2849" s="670"/>
      <c r="C2849" s="216"/>
      <c r="D2849" s="216"/>
      <c r="E2849" s="216"/>
      <c r="F2849" s="216"/>
      <c r="G2849" s="435"/>
      <c r="H2849" s="216"/>
      <c r="I2849" s="435"/>
    </row>
    <row r="2850" spans="1:9" ht="12.75">
      <c r="A2850" s="669"/>
      <c r="B2850" s="670"/>
      <c r="C2850" s="216"/>
      <c r="D2850" s="216"/>
      <c r="E2850" s="216"/>
      <c r="F2850" s="216"/>
      <c r="G2850" s="435"/>
      <c r="H2850" s="216"/>
      <c r="I2850" s="435"/>
    </row>
    <row r="2851" spans="1:9" ht="12.75">
      <c r="A2851" s="669"/>
      <c r="B2851" s="670"/>
      <c r="C2851" s="216"/>
      <c r="D2851" s="216"/>
      <c r="E2851" s="216"/>
      <c r="F2851" s="216"/>
      <c r="G2851" s="435"/>
      <c r="H2851" s="216"/>
      <c r="I2851" s="435"/>
    </row>
    <row r="2852" spans="1:9" ht="12.75">
      <c r="A2852" s="669"/>
      <c r="B2852" s="670"/>
      <c r="C2852" s="216"/>
      <c r="D2852" s="216"/>
      <c r="E2852" s="216"/>
      <c r="F2852" s="216"/>
      <c r="G2852" s="435"/>
      <c r="H2852" s="216"/>
      <c r="I2852" s="435"/>
    </row>
    <row r="2853" spans="1:9" ht="12.75">
      <c r="A2853" s="669"/>
      <c r="B2853" s="670"/>
      <c r="C2853" s="216"/>
      <c r="D2853" s="216"/>
      <c r="E2853" s="216"/>
      <c r="F2853" s="216"/>
      <c r="G2853" s="435"/>
      <c r="H2853" s="216"/>
      <c r="I2853" s="435"/>
    </row>
    <row r="2854" spans="1:9" ht="12.75">
      <c r="A2854" s="669"/>
      <c r="B2854" s="670"/>
      <c r="C2854" s="216"/>
      <c r="D2854" s="216"/>
      <c r="E2854" s="216"/>
      <c r="F2854" s="216"/>
      <c r="G2854" s="435"/>
      <c r="H2854" s="216"/>
      <c r="I2854" s="435"/>
    </row>
    <row r="2855" spans="1:9" ht="12.75">
      <c r="A2855" s="669"/>
      <c r="B2855" s="670"/>
      <c r="C2855" s="216"/>
      <c r="D2855" s="216"/>
      <c r="E2855" s="216"/>
      <c r="F2855" s="216"/>
      <c r="G2855" s="435"/>
      <c r="H2855" s="216"/>
      <c r="I2855" s="435"/>
    </row>
    <row r="2856" spans="1:9" ht="12.75">
      <c r="A2856" s="669"/>
      <c r="B2856" s="670"/>
      <c r="C2856" s="216"/>
      <c r="D2856" s="216"/>
      <c r="E2856" s="216"/>
      <c r="F2856" s="216"/>
      <c r="G2856" s="435"/>
      <c r="H2856" s="216"/>
      <c r="I2856" s="435"/>
    </row>
    <row r="2857" spans="1:9" ht="12.75">
      <c r="A2857" s="669"/>
      <c r="B2857" s="670"/>
      <c r="C2857" s="216"/>
      <c r="D2857" s="216"/>
      <c r="E2857" s="216"/>
      <c r="F2857" s="216"/>
      <c r="G2857" s="435"/>
      <c r="H2857" s="216"/>
      <c r="I2857" s="435"/>
    </row>
    <row r="2858" spans="1:9" ht="12.75">
      <c r="A2858" s="669"/>
      <c r="B2858" s="670"/>
      <c r="C2858" s="216"/>
      <c r="D2858" s="216"/>
      <c r="E2858" s="216"/>
      <c r="F2858" s="216"/>
      <c r="G2858" s="435"/>
      <c r="H2858" s="216"/>
      <c r="I2858" s="435"/>
    </row>
    <row r="2859" spans="1:9" ht="12.75">
      <c r="A2859" s="669"/>
      <c r="B2859" s="670"/>
      <c r="C2859" s="216"/>
      <c r="D2859" s="216"/>
      <c r="E2859" s="216"/>
      <c r="F2859" s="216"/>
      <c r="G2859" s="435"/>
      <c r="H2859" s="216"/>
      <c r="I2859" s="435"/>
    </row>
    <row r="2860" spans="1:9" ht="12.75">
      <c r="A2860" s="669"/>
      <c r="B2860" s="670"/>
      <c r="C2860" s="216"/>
      <c r="D2860" s="216"/>
      <c r="E2860" s="216"/>
      <c r="F2860" s="216"/>
      <c r="G2860" s="435"/>
      <c r="H2860" s="216"/>
      <c r="I2860" s="435"/>
    </row>
    <row r="2861" spans="1:9" ht="12.75">
      <c r="A2861" s="669"/>
      <c r="B2861" s="670"/>
      <c r="C2861" s="216"/>
      <c r="D2861" s="216"/>
      <c r="E2861" s="216"/>
      <c r="F2861" s="216"/>
      <c r="G2861" s="435"/>
      <c r="H2861" s="216"/>
      <c r="I2861" s="435"/>
    </row>
    <row r="2862" spans="1:9" ht="12.75">
      <c r="A2862" s="669"/>
      <c r="B2862" s="670"/>
      <c r="C2862" s="216"/>
      <c r="D2862" s="216"/>
      <c r="E2862" s="216"/>
      <c r="F2862" s="216"/>
      <c r="G2862" s="435"/>
      <c r="H2862" s="216"/>
      <c r="I2862" s="435"/>
    </row>
    <row r="2863" spans="1:9" ht="12.75">
      <c r="A2863" s="669"/>
      <c r="B2863" s="670"/>
      <c r="C2863" s="216"/>
      <c r="D2863" s="216"/>
      <c r="E2863" s="216"/>
      <c r="F2863" s="216"/>
      <c r="G2863" s="435"/>
      <c r="H2863" s="216"/>
      <c r="I2863" s="435"/>
    </row>
    <row r="2864" spans="1:9" ht="12.75">
      <c r="A2864" s="669"/>
      <c r="B2864" s="670"/>
      <c r="C2864" s="216"/>
      <c r="D2864" s="216"/>
      <c r="E2864" s="216"/>
      <c r="F2864" s="216"/>
      <c r="G2864" s="435"/>
      <c r="H2864" s="216"/>
      <c r="I2864" s="435"/>
    </row>
    <row r="2865" spans="1:9" ht="12.75">
      <c r="A2865" s="669"/>
      <c r="B2865" s="670"/>
      <c r="C2865" s="216"/>
      <c r="D2865" s="216"/>
      <c r="E2865" s="216"/>
      <c r="F2865" s="216"/>
      <c r="G2865" s="435"/>
      <c r="H2865" s="216"/>
      <c r="I2865" s="435"/>
    </row>
    <row r="2866" spans="1:9" ht="12.75">
      <c r="A2866" s="669"/>
      <c r="B2866" s="670"/>
      <c r="C2866" s="216"/>
      <c r="D2866" s="216"/>
      <c r="E2866" s="216"/>
      <c r="F2866" s="216"/>
      <c r="G2866" s="435"/>
      <c r="H2866" s="216"/>
      <c r="I2866" s="435"/>
    </row>
    <row r="2867" spans="1:9" ht="12.75">
      <c r="A2867" s="669"/>
      <c r="B2867" s="670"/>
      <c r="C2867" s="216"/>
      <c r="D2867" s="216"/>
      <c r="E2867" s="216"/>
      <c r="F2867" s="216"/>
      <c r="G2867" s="435"/>
      <c r="H2867" s="216"/>
      <c r="I2867" s="435"/>
    </row>
    <row r="2868" spans="1:9" ht="12.75">
      <c r="A2868" s="669"/>
      <c r="B2868" s="670"/>
      <c r="C2868" s="216"/>
      <c r="D2868" s="216"/>
      <c r="E2868" s="216"/>
      <c r="F2868" s="216"/>
      <c r="G2868" s="435"/>
      <c r="H2868" s="216"/>
      <c r="I2868" s="435"/>
    </row>
    <row r="2869" spans="1:9" ht="12.75">
      <c r="A2869" s="669"/>
      <c r="B2869" s="670"/>
      <c r="C2869" s="216"/>
      <c r="D2869" s="216"/>
      <c r="E2869" s="216"/>
      <c r="F2869" s="216"/>
      <c r="G2869" s="435"/>
      <c r="H2869" s="216"/>
      <c r="I2869" s="435"/>
    </row>
    <row r="2870" spans="1:9" ht="12.75">
      <c r="A2870" s="669"/>
      <c r="B2870" s="670"/>
      <c r="C2870" s="216"/>
      <c r="D2870" s="216"/>
      <c r="E2870" s="216"/>
      <c r="F2870" s="216"/>
      <c r="G2870" s="435"/>
      <c r="H2870" s="216"/>
      <c r="I2870" s="435"/>
    </row>
    <row r="2871" spans="1:9" ht="12.75">
      <c r="A2871" s="669"/>
      <c r="B2871" s="670"/>
      <c r="C2871" s="216"/>
      <c r="D2871" s="216"/>
      <c r="E2871" s="216"/>
      <c r="F2871" s="216"/>
      <c r="G2871" s="435"/>
      <c r="H2871" s="216"/>
      <c r="I2871" s="435"/>
    </row>
    <row r="2872" spans="1:9" ht="12.75">
      <c r="A2872" s="669"/>
      <c r="B2872" s="670"/>
      <c r="C2872" s="216"/>
      <c r="D2872" s="216"/>
      <c r="E2872" s="216"/>
      <c r="F2872" s="216"/>
      <c r="G2872" s="435"/>
      <c r="H2872" s="216"/>
      <c r="I2872" s="435"/>
    </row>
    <row r="2873" spans="1:9" ht="12.75">
      <c r="A2873" s="669"/>
      <c r="B2873" s="670"/>
      <c r="C2873" s="216"/>
      <c r="D2873" s="216"/>
      <c r="E2873" s="216"/>
      <c r="F2873" s="216"/>
      <c r="G2873" s="435"/>
      <c r="H2873" s="216"/>
      <c r="I2873" s="435"/>
    </row>
    <row r="2874" spans="1:9" ht="12.75">
      <c r="A2874" s="669"/>
      <c r="B2874" s="670"/>
      <c r="C2874" s="216"/>
      <c r="D2874" s="216"/>
      <c r="E2874" s="216"/>
      <c r="F2874" s="216"/>
      <c r="G2874" s="435"/>
      <c r="H2874" s="216"/>
      <c r="I2874" s="435"/>
    </row>
    <row r="2875" spans="1:9" ht="12.75">
      <c r="A2875" s="669"/>
      <c r="B2875" s="670"/>
      <c r="C2875" s="216"/>
      <c r="D2875" s="216"/>
      <c r="E2875" s="216"/>
      <c r="F2875" s="216"/>
      <c r="G2875" s="435"/>
      <c r="H2875" s="216"/>
      <c r="I2875" s="435"/>
    </row>
    <row r="2876" spans="1:9" ht="12.75">
      <c r="A2876" s="669"/>
      <c r="B2876" s="670"/>
      <c r="C2876" s="216"/>
      <c r="D2876" s="216"/>
      <c r="E2876" s="216"/>
      <c r="F2876" s="216"/>
      <c r="G2876" s="435"/>
      <c r="H2876" s="216"/>
      <c r="I2876" s="435"/>
    </row>
    <row r="2877" spans="1:9" ht="12.75">
      <c r="A2877" s="669"/>
      <c r="B2877" s="670"/>
      <c r="C2877" s="216"/>
      <c r="D2877" s="216"/>
      <c r="E2877" s="216"/>
      <c r="F2877" s="216"/>
      <c r="G2877" s="435"/>
      <c r="H2877" s="216"/>
      <c r="I2877" s="435"/>
    </row>
    <row r="2878" spans="1:9" ht="12.75">
      <c r="A2878" s="669"/>
      <c r="B2878" s="670"/>
      <c r="C2878" s="216"/>
      <c r="D2878" s="216"/>
      <c r="E2878" s="216"/>
      <c r="F2878" s="216"/>
      <c r="G2878" s="435"/>
      <c r="H2878" s="216"/>
      <c r="I2878" s="435"/>
    </row>
    <row r="2879" spans="1:9" ht="12.75">
      <c r="A2879" s="669"/>
      <c r="B2879" s="670"/>
      <c r="C2879" s="216"/>
      <c r="D2879" s="216"/>
      <c r="E2879" s="216"/>
      <c r="F2879" s="216"/>
      <c r="G2879" s="435"/>
      <c r="H2879" s="216"/>
      <c r="I2879" s="435"/>
    </row>
    <row r="2880" spans="1:9" ht="12.75">
      <c r="A2880" s="669"/>
      <c r="B2880" s="670"/>
      <c r="C2880" s="216"/>
      <c r="D2880" s="216"/>
      <c r="E2880" s="216"/>
      <c r="F2880" s="216"/>
      <c r="G2880" s="435"/>
      <c r="H2880" s="216"/>
      <c r="I2880" s="435"/>
    </row>
    <row r="2881" spans="1:9" ht="12.75">
      <c r="A2881" s="669"/>
      <c r="B2881" s="670"/>
      <c r="C2881" s="216"/>
      <c r="D2881" s="216"/>
      <c r="E2881" s="216"/>
      <c r="F2881" s="216"/>
      <c r="G2881" s="435"/>
      <c r="H2881" s="216"/>
      <c r="I2881" s="435"/>
    </row>
    <row r="2882" spans="1:9" ht="12.75">
      <c r="A2882" s="669"/>
      <c r="B2882" s="670"/>
      <c r="C2882" s="216"/>
      <c r="D2882" s="216"/>
      <c r="E2882" s="216"/>
      <c r="F2882" s="216"/>
      <c r="G2882" s="435"/>
      <c r="H2882" s="216"/>
      <c r="I2882" s="435"/>
    </row>
    <row r="2883" spans="1:9" ht="12.75">
      <c r="A2883" s="669"/>
      <c r="B2883" s="670"/>
      <c r="C2883" s="216"/>
      <c r="D2883" s="216"/>
      <c r="E2883" s="216"/>
      <c r="F2883" s="216"/>
      <c r="G2883" s="435"/>
      <c r="H2883" s="216"/>
      <c r="I2883" s="435"/>
    </row>
    <row r="2884" spans="1:9" ht="12.75">
      <c r="A2884" s="669"/>
      <c r="B2884" s="670"/>
      <c r="C2884" s="216"/>
      <c r="D2884" s="216"/>
      <c r="E2884" s="216"/>
      <c r="F2884" s="216"/>
      <c r="G2884" s="435"/>
      <c r="H2884" s="216"/>
      <c r="I2884" s="435"/>
    </row>
    <row r="2885" spans="1:9" ht="12.75">
      <c r="A2885" s="669"/>
      <c r="B2885" s="670"/>
      <c r="C2885" s="216"/>
      <c r="D2885" s="216"/>
      <c r="E2885" s="216"/>
      <c r="F2885" s="216"/>
      <c r="G2885" s="435"/>
      <c r="H2885" s="216"/>
      <c r="I2885" s="435"/>
    </row>
    <row r="2886" spans="1:9" ht="12.75">
      <c r="A2886" s="669"/>
      <c r="B2886" s="670"/>
      <c r="C2886" s="216"/>
      <c r="D2886" s="216"/>
      <c r="E2886" s="216"/>
      <c r="F2886" s="216"/>
      <c r="G2886" s="435"/>
      <c r="H2886" s="216"/>
      <c r="I2886" s="435"/>
    </row>
    <row r="2887" spans="1:9" ht="12.75">
      <c r="A2887" s="669"/>
      <c r="B2887" s="670"/>
      <c r="C2887" s="216"/>
      <c r="D2887" s="216"/>
      <c r="E2887" s="216"/>
      <c r="F2887" s="216"/>
      <c r="G2887" s="435"/>
      <c r="H2887" s="216"/>
      <c r="I2887" s="435"/>
    </row>
    <row r="2888" spans="1:9" ht="12.75">
      <c r="A2888" s="669"/>
      <c r="B2888" s="670"/>
      <c r="C2888" s="216"/>
      <c r="D2888" s="216"/>
      <c r="E2888" s="216"/>
      <c r="F2888" s="216"/>
      <c r="G2888" s="435"/>
      <c r="H2888" s="216"/>
      <c r="I2888" s="435"/>
    </row>
    <row r="2889" spans="1:9" ht="12.75">
      <c r="A2889" s="669"/>
      <c r="B2889" s="670"/>
      <c r="C2889" s="216"/>
      <c r="D2889" s="216"/>
      <c r="E2889" s="216"/>
      <c r="F2889" s="216"/>
      <c r="G2889" s="435"/>
      <c r="H2889" s="216"/>
      <c r="I2889" s="435"/>
    </row>
    <row r="2890" spans="1:9" ht="12.75">
      <c r="A2890" s="669"/>
      <c r="B2890" s="670"/>
      <c r="C2890" s="216"/>
      <c r="D2890" s="216"/>
      <c r="E2890" s="216"/>
      <c r="F2890" s="216"/>
      <c r="G2890" s="435"/>
      <c r="H2890" s="216"/>
      <c r="I2890" s="435"/>
    </row>
    <row r="2891" spans="1:9" ht="12.75">
      <c r="A2891" s="669"/>
      <c r="B2891" s="670"/>
      <c r="C2891" s="216"/>
      <c r="D2891" s="216"/>
      <c r="E2891" s="216"/>
      <c r="F2891" s="216"/>
      <c r="G2891" s="435"/>
      <c r="H2891" s="216"/>
      <c r="I2891" s="435"/>
    </row>
    <row r="2892" spans="1:9" ht="12.75">
      <c r="A2892" s="669"/>
      <c r="B2892" s="670"/>
      <c r="C2892" s="216"/>
      <c r="D2892" s="216"/>
      <c r="E2892" s="216"/>
      <c r="F2892" s="216"/>
      <c r="G2892" s="435"/>
      <c r="H2892" s="216"/>
      <c r="I2892" s="435"/>
    </row>
    <row r="2893" spans="1:9" ht="12.75">
      <c r="A2893" s="669"/>
      <c r="B2893" s="670"/>
      <c r="C2893" s="216"/>
      <c r="D2893" s="216"/>
      <c r="E2893" s="216"/>
      <c r="F2893" s="216"/>
      <c r="G2893" s="435"/>
      <c r="H2893" s="216"/>
      <c r="I2893" s="435"/>
    </row>
    <row r="2894" spans="1:9" ht="12.75">
      <c r="A2894" s="669"/>
      <c r="B2894" s="670"/>
      <c r="C2894" s="216"/>
      <c r="D2894" s="216"/>
      <c r="E2894" s="216"/>
      <c r="F2894" s="216"/>
      <c r="G2894" s="435"/>
      <c r="H2894" s="216"/>
      <c r="I2894" s="435"/>
    </row>
    <row r="2895" spans="1:9" ht="12.75">
      <c r="A2895" s="669"/>
      <c r="B2895" s="670"/>
      <c r="C2895" s="216"/>
      <c r="D2895" s="216"/>
      <c r="E2895" s="216"/>
      <c r="F2895" s="216"/>
      <c r="G2895" s="435"/>
      <c r="H2895" s="216"/>
      <c r="I2895" s="435"/>
    </row>
    <row r="2896" spans="1:9" ht="12.75">
      <c r="A2896" s="669"/>
      <c r="B2896" s="670"/>
      <c r="C2896" s="216"/>
      <c r="D2896" s="216"/>
      <c r="E2896" s="216"/>
      <c r="F2896" s="216"/>
      <c r="G2896" s="435"/>
      <c r="H2896" s="216"/>
      <c r="I2896" s="435"/>
    </row>
    <row r="2897" spans="1:9" ht="12.75">
      <c r="A2897" s="669"/>
      <c r="B2897" s="670"/>
      <c r="C2897" s="216"/>
      <c r="D2897" s="216"/>
      <c r="E2897" s="216"/>
      <c r="F2897" s="216"/>
      <c r="G2897" s="435"/>
      <c r="H2897" s="216"/>
      <c r="I2897" s="435"/>
    </row>
    <row r="2898" spans="1:9" ht="12.75">
      <c r="A2898" s="669"/>
      <c r="B2898" s="670"/>
      <c r="C2898" s="216"/>
      <c r="D2898" s="216"/>
      <c r="E2898" s="216"/>
      <c r="F2898" s="216"/>
      <c r="G2898" s="435"/>
      <c r="H2898" s="216"/>
      <c r="I2898" s="435"/>
    </row>
    <row r="2899" spans="1:9" ht="12.75">
      <c r="A2899" s="669"/>
      <c r="B2899" s="670"/>
      <c r="C2899" s="216"/>
      <c r="D2899" s="216"/>
      <c r="E2899" s="216"/>
      <c r="F2899" s="216"/>
      <c r="G2899" s="435"/>
      <c r="H2899" s="216"/>
      <c r="I2899" s="435"/>
    </row>
    <row r="2900" spans="1:9" ht="12.75">
      <c r="A2900" s="669"/>
      <c r="B2900" s="670"/>
      <c r="C2900" s="216"/>
      <c r="D2900" s="216"/>
      <c r="E2900" s="216"/>
      <c r="F2900" s="216"/>
      <c r="G2900" s="435"/>
      <c r="H2900" s="216"/>
      <c r="I2900" s="435"/>
    </row>
    <row r="2901" spans="1:9" ht="12.75">
      <c r="A2901" s="669"/>
      <c r="B2901" s="670"/>
      <c r="C2901" s="216"/>
      <c r="D2901" s="216"/>
      <c r="E2901" s="216"/>
      <c r="F2901" s="216"/>
      <c r="G2901" s="435"/>
      <c r="H2901" s="216"/>
      <c r="I2901" s="435"/>
    </row>
    <row r="2902" spans="1:9" ht="12.75">
      <c r="A2902" s="669"/>
      <c r="B2902" s="670"/>
      <c r="C2902" s="216"/>
      <c r="D2902" s="216"/>
      <c r="E2902" s="216"/>
      <c r="F2902" s="216"/>
      <c r="G2902" s="435"/>
      <c r="H2902" s="216"/>
      <c r="I2902" s="435"/>
    </row>
    <row r="2903" spans="1:9" ht="12.75">
      <c r="A2903" s="669"/>
      <c r="B2903" s="670"/>
      <c r="C2903" s="216"/>
      <c r="D2903" s="216"/>
      <c r="E2903" s="216"/>
      <c r="F2903" s="216"/>
      <c r="G2903" s="435"/>
      <c r="H2903" s="216"/>
      <c r="I2903" s="435"/>
    </row>
    <row r="2904" spans="1:9" ht="12.75">
      <c r="A2904" s="669"/>
      <c r="B2904" s="670"/>
      <c r="C2904" s="216"/>
      <c r="D2904" s="216"/>
      <c r="E2904" s="216"/>
      <c r="F2904" s="216"/>
      <c r="G2904" s="435"/>
      <c r="H2904" s="216"/>
      <c r="I2904" s="435"/>
    </row>
    <row r="2905" spans="1:9" ht="12.75">
      <c r="A2905" s="669"/>
      <c r="B2905" s="670"/>
      <c r="C2905" s="216"/>
      <c r="D2905" s="216"/>
      <c r="E2905" s="216"/>
      <c r="F2905" s="216"/>
      <c r="G2905" s="435"/>
      <c r="H2905" s="216"/>
      <c r="I2905" s="435"/>
    </row>
    <row r="2906" spans="1:9" ht="12.75">
      <c r="A2906" s="669"/>
      <c r="B2906" s="670"/>
      <c r="C2906" s="216"/>
      <c r="D2906" s="216"/>
      <c r="E2906" s="216"/>
      <c r="F2906" s="216"/>
      <c r="G2906" s="435"/>
      <c r="H2906" s="216"/>
      <c r="I2906" s="435"/>
    </row>
    <row r="2907" spans="1:9" ht="12.75">
      <c r="A2907" s="669"/>
      <c r="B2907" s="670"/>
      <c r="C2907" s="216"/>
      <c r="D2907" s="216"/>
      <c r="E2907" s="216"/>
      <c r="F2907" s="216"/>
      <c r="G2907" s="435"/>
      <c r="H2907" s="216"/>
      <c r="I2907" s="435"/>
    </row>
    <row r="2908" spans="1:9" ht="12.75">
      <c r="A2908" s="669"/>
      <c r="B2908" s="670"/>
      <c r="C2908" s="216"/>
      <c r="D2908" s="216"/>
      <c r="E2908" s="216"/>
      <c r="F2908" s="216"/>
      <c r="G2908" s="435"/>
      <c r="H2908" s="216"/>
      <c r="I2908" s="435"/>
    </row>
    <row r="2909" spans="1:9" ht="12.75">
      <c r="A2909" s="669"/>
      <c r="B2909" s="670"/>
      <c r="C2909" s="216"/>
      <c r="D2909" s="216"/>
      <c r="E2909" s="216"/>
      <c r="F2909" s="216"/>
      <c r="G2909" s="435"/>
      <c r="H2909" s="216"/>
      <c r="I2909" s="435"/>
    </row>
    <row r="2910" spans="1:9" ht="12.75">
      <c r="A2910" s="669"/>
      <c r="B2910" s="670"/>
      <c r="C2910" s="216"/>
      <c r="D2910" s="216"/>
      <c r="E2910" s="216"/>
      <c r="F2910" s="216"/>
      <c r="G2910" s="435"/>
      <c r="H2910" s="216"/>
      <c r="I2910" s="435"/>
    </row>
    <row r="2911" spans="1:9" ht="12.75">
      <c r="A2911" s="669"/>
      <c r="B2911" s="670"/>
      <c r="C2911" s="216"/>
      <c r="D2911" s="216"/>
      <c r="E2911" s="216"/>
      <c r="F2911" s="216"/>
      <c r="G2911" s="435"/>
      <c r="H2911" s="216"/>
      <c r="I2911" s="435"/>
    </row>
    <row r="2912" spans="1:9" ht="12.75">
      <c r="A2912" s="669"/>
      <c r="B2912" s="670"/>
      <c r="C2912" s="216"/>
      <c r="D2912" s="216"/>
      <c r="E2912" s="216"/>
      <c r="F2912" s="216"/>
      <c r="G2912" s="435"/>
      <c r="H2912" s="216"/>
      <c r="I2912" s="435"/>
    </row>
    <row r="2913" spans="1:9" ht="12.75">
      <c r="A2913" s="669"/>
      <c r="B2913" s="670"/>
      <c r="C2913" s="216"/>
      <c r="D2913" s="216"/>
      <c r="E2913" s="216"/>
      <c r="F2913" s="216"/>
      <c r="G2913" s="435"/>
      <c r="H2913" s="216"/>
      <c r="I2913" s="435"/>
    </row>
    <row r="2914" spans="1:9" ht="12.75">
      <c r="A2914" s="669"/>
      <c r="B2914" s="670"/>
      <c r="C2914" s="216"/>
      <c r="D2914" s="216"/>
      <c r="E2914" s="216"/>
      <c r="F2914" s="216"/>
      <c r="G2914" s="435"/>
      <c r="H2914" s="216"/>
      <c r="I2914" s="435"/>
    </row>
    <row r="2915" spans="1:9" ht="12.75">
      <c r="A2915" s="669"/>
      <c r="B2915" s="670"/>
      <c r="C2915" s="216"/>
      <c r="D2915" s="216"/>
      <c r="E2915" s="216"/>
      <c r="F2915" s="216"/>
      <c r="G2915" s="435"/>
      <c r="H2915" s="216"/>
      <c r="I2915" s="435"/>
    </row>
    <row r="2916" spans="1:9" ht="12.75">
      <c r="A2916" s="669"/>
      <c r="B2916" s="670"/>
      <c r="C2916" s="216"/>
      <c r="D2916" s="216"/>
      <c r="E2916" s="216"/>
      <c r="F2916" s="216"/>
      <c r="G2916" s="435"/>
      <c r="H2916" s="216"/>
      <c r="I2916" s="435"/>
    </row>
    <row r="2917" spans="1:9" ht="12.75">
      <c r="A2917" s="669"/>
      <c r="B2917" s="670"/>
      <c r="C2917" s="216"/>
      <c r="D2917" s="216"/>
      <c r="E2917" s="216"/>
      <c r="F2917" s="216"/>
      <c r="G2917" s="435"/>
      <c r="H2917" s="216"/>
      <c r="I2917" s="435"/>
    </row>
    <row r="2918" spans="1:9" ht="12.75">
      <c r="A2918" s="669"/>
      <c r="B2918" s="670"/>
      <c r="C2918" s="216"/>
      <c r="D2918" s="216"/>
      <c r="E2918" s="216"/>
      <c r="F2918" s="216"/>
      <c r="G2918" s="435"/>
      <c r="H2918" s="216"/>
      <c r="I2918" s="435"/>
    </row>
    <row r="2919" spans="1:9" ht="12.75">
      <c r="A2919" s="669"/>
      <c r="B2919" s="670"/>
      <c r="C2919" s="216"/>
      <c r="D2919" s="216"/>
      <c r="E2919" s="216"/>
      <c r="F2919" s="216"/>
      <c r="G2919" s="435"/>
      <c r="H2919" s="216"/>
      <c r="I2919" s="435"/>
    </row>
    <row r="2920" spans="1:9" ht="12.75">
      <c r="A2920" s="669"/>
      <c r="B2920" s="670"/>
      <c r="C2920" s="216"/>
      <c r="D2920" s="216"/>
      <c r="E2920" s="216"/>
      <c r="F2920" s="216"/>
      <c r="G2920" s="435"/>
      <c r="H2920" s="216"/>
      <c r="I2920" s="435"/>
    </row>
    <row r="2921" spans="1:9" ht="12.75">
      <c r="A2921" s="669"/>
      <c r="B2921" s="670"/>
      <c r="C2921" s="216"/>
      <c r="D2921" s="216"/>
      <c r="E2921" s="216"/>
      <c r="F2921" s="216"/>
      <c r="G2921" s="435"/>
      <c r="H2921" s="216"/>
      <c r="I2921" s="435"/>
    </row>
    <row r="2922" spans="1:9" ht="12.75">
      <c r="A2922" s="669"/>
      <c r="B2922" s="670"/>
      <c r="C2922" s="216"/>
      <c r="D2922" s="216"/>
      <c r="E2922" s="216"/>
      <c r="F2922" s="216"/>
      <c r="G2922" s="435"/>
      <c r="H2922" s="216"/>
      <c r="I2922" s="435"/>
    </row>
    <row r="2923" spans="1:9" ht="12.75">
      <c r="A2923" s="669"/>
      <c r="B2923" s="670"/>
      <c r="C2923" s="216"/>
      <c r="D2923" s="216"/>
      <c r="E2923" s="216"/>
      <c r="F2923" s="216"/>
      <c r="G2923" s="435"/>
      <c r="H2923" s="216"/>
      <c r="I2923" s="435"/>
    </row>
    <row r="2924" spans="1:9" ht="12.75">
      <c r="A2924" s="669"/>
      <c r="B2924" s="670"/>
      <c r="C2924" s="216"/>
      <c r="D2924" s="216"/>
      <c r="E2924" s="216"/>
      <c r="F2924" s="216"/>
      <c r="G2924" s="435"/>
      <c r="H2924" s="216"/>
      <c r="I2924" s="435"/>
    </row>
    <row r="2925" spans="1:9" ht="12.75">
      <c r="A2925" s="669"/>
      <c r="B2925" s="670"/>
      <c r="C2925" s="216"/>
      <c r="D2925" s="216"/>
      <c r="E2925" s="216"/>
      <c r="F2925" s="216"/>
      <c r="G2925" s="435"/>
      <c r="H2925" s="216"/>
      <c r="I2925" s="435"/>
    </row>
    <row r="2926" spans="1:9" ht="12.75">
      <c r="A2926" s="669"/>
      <c r="B2926" s="670"/>
      <c r="C2926" s="216"/>
      <c r="D2926" s="216"/>
      <c r="E2926" s="216"/>
      <c r="F2926" s="216"/>
      <c r="G2926" s="435"/>
      <c r="H2926" s="216"/>
      <c r="I2926" s="435"/>
    </row>
    <row r="2927" spans="1:9" ht="12.75">
      <c r="A2927" s="669"/>
      <c r="B2927" s="670"/>
      <c r="C2927" s="216"/>
      <c r="D2927" s="216"/>
      <c r="E2927" s="216"/>
      <c r="F2927" s="216"/>
      <c r="G2927" s="435"/>
      <c r="H2927" s="216"/>
      <c r="I2927" s="435"/>
    </row>
    <row r="2928" spans="1:9" ht="12.75">
      <c r="A2928" s="669"/>
      <c r="B2928" s="670"/>
      <c r="C2928" s="216"/>
      <c r="D2928" s="216"/>
      <c r="E2928" s="216"/>
      <c r="F2928" s="216"/>
      <c r="G2928" s="435"/>
      <c r="H2928" s="216"/>
      <c r="I2928" s="435"/>
    </row>
    <row r="2929" spans="1:9" ht="12.75">
      <c r="A2929" s="669"/>
      <c r="B2929" s="670"/>
      <c r="C2929" s="216"/>
      <c r="D2929" s="216"/>
      <c r="E2929" s="216"/>
      <c r="F2929" s="216"/>
      <c r="G2929" s="435"/>
      <c r="H2929" s="216"/>
      <c r="I2929" s="435"/>
    </row>
    <row r="2930" spans="1:9" ht="12.75">
      <c r="A2930" s="669"/>
      <c r="B2930" s="670"/>
      <c r="C2930" s="216"/>
      <c r="D2930" s="216"/>
      <c r="E2930" s="216"/>
      <c r="F2930" s="216"/>
      <c r="G2930" s="435"/>
      <c r="H2930" s="216"/>
      <c r="I2930" s="435"/>
    </row>
    <row r="2931" spans="1:9" ht="12.75">
      <c r="A2931" s="669"/>
      <c r="B2931" s="670"/>
      <c r="C2931" s="216"/>
      <c r="D2931" s="216"/>
      <c r="E2931" s="216"/>
      <c r="F2931" s="216"/>
      <c r="G2931" s="435"/>
      <c r="H2931" s="216"/>
      <c r="I2931" s="435"/>
    </row>
    <row r="2932" spans="1:9" ht="12.75">
      <c r="A2932" s="669"/>
      <c r="B2932" s="670"/>
      <c r="C2932" s="216"/>
      <c r="D2932" s="216"/>
      <c r="E2932" s="216"/>
      <c r="F2932" s="216"/>
      <c r="G2932" s="435"/>
      <c r="H2932" s="216"/>
      <c r="I2932" s="435"/>
    </row>
    <row r="2933" spans="1:9" ht="12.75">
      <c r="A2933" s="669"/>
      <c r="B2933" s="670"/>
      <c r="C2933" s="216"/>
      <c r="D2933" s="216"/>
      <c r="E2933" s="216"/>
      <c r="F2933" s="216"/>
      <c r="G2933" s="435"/>
      <c r="H2933" s="216"/>
      <c r="I2933" s="435"/>
    </row>
    <row r="2934" spans="1:9" ht="12.75">
      <c r="A2934" s="669"/>
      <c r="B2934" s="670"/>
      <c r="C2934" s="216"/>
      <c r="D2934" s="216"/>
      <c r="E2934" s="216"/>
      <c r="F2934" s="216"/>
      <c r="G2934" s="435"/>
      <c r="H2934" s="216"/>
      <c r="I2934" s="435"/>
    </row>
    <row r="2935" spans="1:9" ht="12.75">
      <c r="A2935" s="669"/>
      <c r="B2935" s="670"/>
      <c r="C2935" s="216"/>
      <c r="D2935" s="216"/>
      <c r="E2935" s="216"/>
      <c r="F2935" s="216"/>
      <c r="G2935" s="435"/>
      <c r="H2935" s="216"/>
      <c r="I2935" s="435"/>
    </row>
    <row r="2936" spans="1:9" ht="12.75">
      <c r="A2936" s="669"/>
      <c r="B2936" s="670"/>
      <c r="C2936" s="216"/>
      <c r="D2936" s="216"/>
      <c r="E2936" s="216"/>
      <c r="F2936" s="216"/>
      <c r="G2936" s="435"/>
      <c r="H2936" s="216"/>
      <c r="I2936" s="435"/>
    </row>
    <row r="2937" spans="1:9" ht="12.75">
      <c r="A2937" s="669"/>
      <c r="B2937" s="670"/>
      <c r="C2937" s="216"/>
      <c r="D2937" s="216"/>
      <c r="E2937" s="216"/>
      <c r="F2937" s="216"/>
      <c r="G2937" s="435"/>
      <c r="H2937" s="216"/>
      <c r="I2937" s="435"/>
    </row>
    <row r="2938" spans="1:9" ht="12.75">
      <c r="A2938" s="669"/>
      <c r="B2938" s="670"/>
      <c r="C2938" s="216"/>
      <c r="D2938" s="216"/>
      <c r="E2938" s="216"/>
      <c r="F2938" s="216"/>
      <c r="G2938" s="435"/>
      <c r="H2938" s="216"/>
      <c r="I2938" s="435"/>
    </row>
    <row r="2939" spans="1:9" ht="12.75">
      <c r="A2939" s="669"/>
      <c r="B2939" s="670"/>
      <c r="C2939" s="216"/>
      <c r="D2939" s="216"/>
      <c r="E2939" s="216"/>
      <c r="F2939" s="216"/>
      <c r="G2939" s="435"/>
      <c r="H2939" s="216"/>
      <c r="I2939" s="435"/>
    </row>
    <row r="2940" spans="1:9" ht="12.75">
      <c r="A2940" s="669"/>
      <c r="B2940" s="670"/>
      <c r="C2940" s="216"/>
      <c r="D2940" s="216"/>
      <c r="E2940" s="216"/>
      <c r="F2940" s="216"/>
      <c r="G2940" s="435"/>
      <c r="H2940" s="216"/>
      <c r="I2940" s="435"/>
    </row>
    <row r="2941" spans="1:9" ht="12.75">
      <c r="A2941" s="669"/>
      <c r="B2941" s="670"/>
      <c r="C2941" s="216"/>
      <c r="D2941" s="216"/>
      <c r="E2941" s="216"/>
      <c r="F2941" s="216"/>
      <c r="G2941" s="435"/>
      <c r="H2941" s="216"/>
      <c r="I2941" s="435"/>
    </row>
    <row r="2942" spans="1:9" ht="12.75">
      <c r="A2942" s="669"/>
      <c r="B2942" s="670"/>
      <c r="C2942" s="216"/>
      <c r="D2942" s="216"/>
      <c r="E2942" s="216"/>
      <c r="F2942" s="216"/>
      <c r="G2942" s="435"/>
      <c r="H2942" s="216"/>
      <c r="I2942" s="435"/>
    </row>
    <row r="2943" spans="1:9" ht="12.75">
      <c r="A2943" s="669"/>
      <c r="B2943" s="670"/>
      <c r="C2943" s="216"/>
      <c r="D2943" s="216"/>
      <c r="E2943" s="216"/>
      <c r="F2943" s="216"/>
      <c r="G2943" s="435"/>
      <c r="H2943" s="216"/>
      <c r="I2943" s="435"/>
    </row>
    <row r="2944" spans="1:9" ht="12.75">
      <c r="A2944" s="669"/>
      <c r="B2944" s="670"/>
      <c r="C2944" s="216"/>
      <c r="D2944" s="216"/>
      <c r="E2944" s="216"/>
      <c r="F2944" s="216"/>
      <c r="G2944" s="435"/>
      <c r="H2944" s="216"/>
      <c r="I2944" s="435"/>
    </row>
    <row r="2945" spans="1:9" ht="12.75">
      <c r="A2945" s="669"/>
      <c r="B2945" s="670"/>
      <c r="C2945" s="216"/>
      <c r="D2945" s="216"/>
      <c r="E2945" s="216"/>
      <c r="F2945" s="216"/>
      <c r="G2945" s="435"/>
      <c r="H2945" s="216"/>
      <c r="I2945" s="435"/>
    </row>
    <row r="2946" spans="1:9" ht="12.75">
      <c r="A2946" s="669"/>
      <c r="B2946" s="670"/>
      <c r="C2946" s="216"/>
      <c r="D2946" s="216"/>
      <c r="E2946" s="216"/>
      <c r="F2946" s="216"/>
      <c r="G2946" s="435"/>
      <c r="H2946" s="216"/>
      <c r="I2946" s="435"/>
    </row>
    <row r="2947" spans="1:9" ht="12.75">
      <c r="A2947" s="669"/>
      <c r="B2947" s="670"/>
      <c r="C2947" s="216"/>
      <c r="D2947" s="216"/>
      <c r="E2947" s="216"/>
      <c r="F2947" s="216"/>
      <c r="G2947" s="435"/>
      <c r="H2947" s="216"/>
      <c r="I2947" s="435"/>
    </row>
    <row r="2948" spans="1:9" ht="12.75">
      <c r="A2948" s="669"/>
      <c r="B2948" s="670"/>
      <c r="C2948" s="216"/>
      <c r="D2948" s="216"/>
      <c r="E2948" s="216"/>
      <c r="F2948" s="216"/>
      <c r="G2948" s="435"/>
      <c r="H2948" s="216"/>
      <c r="I2948" s="435"/>
    </row>
    <row r="2949" spans="1:9" ht="12.75">
      <c r="A2949" s="669"/>
      <c r="B2949" s="670"/>
      <c r="C2949" s="216"/>
      <c r="D2949" s="216"/>
      <c r="E2949" s="216"/>
      <c r="F2949" s="216"/>
      <c r="G2949" s="435"/>
      <c r="H2949" s="216"/>
      <c r="I2949" s="435"/>
    </row>
    <row r="2950" spans="1:9" ht="12.75">
      <c r="A2950" s="669"/>
      <c r="B2950" s="670"/>
      <c r="C2950" s="216"/>
      <c r="D2950" s="216"/>
      <c r="E2950" s="216"/>
      <c r="F2950" s="216"/>
      <c r="G2950" s="435"/>
      <c r="H2950" s="216"/>
      <c r="I2950" s="435"/>
    </row>
    <row r="2951" spans="1:9" ht="12.75">
      <c r="A2951" s="669"/>
      <c r="B2951" s="670"/>
      <c r="C2951" s="216"/>
      <c r="D2951" s="216"/>
      <c r="E2951" s="216"/>
      <c r="F2951" s="216"/>
      <c r="G2951" s="435"/>
      <c r="H2951" s="216"/>
      <c r="I2951" s="435"/>
    </row>
    <row r="2952" spans="1:9" ht="12.75">
      <c r="A2952" s="669"/>
      <c r="B2952" s="670"/>
      <c r="C2952" s="216"/>
      <c r="D2952" s="216"/>
      <c r="E2952" s="216"/>
      <c r="F2952" s="216"/>
      <c r="G2952" s="435"/>
      <c r="H2952" s="216"/>
      <c r="I2952" s="435"/>
    </row>
    <row r="2953" spans="1:9" ht="12.75">
      <c r="A2953" s="669"/>
      <c r="B2953" s="670"/>
      <c r="C2953" s="216"/>
      <c r="D2953" s="216"/>
      <c r="E2953" s="216"/>
      <c r="F2953" s="216"/>
      <c r="G2953" s="435"/>
      <c r="H2953" s="216"/>
      <c r="I2953" s="435"/>
    </row>
    <row r="2954" spans="1:9" ht="12.75">
      <c r="A2954" s="669"/>
      <c r="B2954" s="670"/>
      <c r="C2954" s="216"/>
      <c r="D2954" s="216"/>
      <c r="E2954" s="216"/>
      <c r="F2954" s="216"/>
      <c r="G2954" s="435"/>
      <c r="H2954" s="216"/>
      <c r="I2954" s="435"/>
    </row>
    <row r="2955" spans="1:9" ht="12.75">
      <c r="A2955" s="669"/>
      <c r="B2955" s="670"/>
      <c r="C2955" s="216"/>
      <c r="D2955" s="216"/>
      <c r="E2955" s="216"/>
      <c r="F2955" s="216"/>
      <c r="G2955" s="435"/>
      <c r="H2955" s="216"/>
      <c r="I2955" s="435"/>
    </row>
    <row r="2956" spans="1:9" ht="12.75">
      <c r="A2956" s="669"/>
      <c r="B2956" s="670"/>
      <c r="C2956" s="216"/>
      <c r="D2956" s="216"/>
      <c r="E2956" s="216"/>
      <c r="F2956" s="216"/>
      <c r="G2956" s="435"/>
      <c r="H2956" s="216"/>
      <c r="I2956" s="435"/>
    </row>
    <row r="2957" spans="1:9" ht="12.75">
      <c r="A2957" s="669"/>
      <c r="B2957" s="670"/>
      <c r="C2957" s="216"/>
      <c r="D2957" s="216"/>
      <c r="E2957" s="216"/>
      <c r="F2957" s="216"/>
      <c r="G2957" s="435"/>
      <c r="H2957" s="216"/>
      <c r="I2957" s="435"/>
    </row>
    <row r="2958" spans="1:9" ht="12.75">
      <c r="A2958" s="669"/>
      <c r="B2958" s="670"/>
      <c r="C2958" s="216"/>
      <c r="D2958" s="216"/>
      <c r="E2958" s="216"/>
      <c r="F2958" s="216"/>
      <c r="G2958" s="435"/>
      <c r="H2958" s="216"/>
      <c r="I2958" s="435"/>
    </row>
    <row r="2959" spans="1:9" ht="12.75">
      <c r="A2959" s="669"/>
      <c r="B2959" s="670"/>
      <c r="C2959" s="216"/>
      <c r="D2959" s="216"/>
      <c r="E2959" s="216"/>
      <c r="F2959" s="216"/>
      <c r="G2959" s="435"/>
      <c r="H2959" s="216"/>
      <c r="I2959" s="435"/>
    </row>
    <row r="2960" spans="1:9" ht="12.75">
      <c r="A2960" s="669"/>
      <c r="B2960" s="670"/>
      <c r="C2960" s="216"/>
      <c r="D2960" s="216"/>
      <c r="E2960" s="216"/>
      <c r="F2960" s="216"/>
      <c r="G2960" s="435"/>
      <c r="H2960" s="216"/>
      <c r="I2960" s="435"/>
    </row>
    <row r="2961" spans="1:9" ht="12.75">
      <c r="A2961" s="669"/>
      <c r="B2961" s="670"/>
      <c r="C2961" s="216"/>
      <c r="D2961" s="216"/>
      <c r="E2961" s="216"/>
      <c r="F2961" s="216"/>
      <c r="G2961" s="435"/>
      <c r="H2961" s="216"/>
      <c r="I2961" s="435"/>
    </row>
    <row r="2962" spans="1:9" ht="12.75">
      <c r="A2962" s="669"/>
      <c r="B2962" s="670"/>
      <c r="C2962" s="216"/>
      <c r="D2962" s="216"/>
      <c r="E2962" s="216"/>
      <c r="F2962" s="216"/>
      <c r="G2962" s="435"/>
      <c r="H2962" s="216"/>
      <c r="I2962" s="435"/>
    </row>
    <row r="2963" spans="1:9" ht="12.75">
      <c r="A2963" s="669"/>
      <c r="B2963" s="670"/>
      <c r="C2963" s="216"/>
      <c r="D2963" s="216"/>
      <c r="E2963" s="216"/>
      <c r="F2963" s="216"/>
      <c r="G2963" s="435"/>
      <c r="H2963" s="216"/>
      <c r="I2963" s="435"/>
    </row>
    <row r="2964" spans="1:9" ht="12.75">
      <c r="A2964" s="669"/>
      <c r="B2964" s="670"/>
      <c r="C2964" s="216"/>
      <c r="D2964" s="216"/>
      <c r="E2964" s="216"/>
      <c r="F2964" s="216"/>
      <c r="G2964" s="435"/>
      <c r="H2964" s="216"/>
      <c r="I2964" s="435"/>
    </row>
    <row r="2965" spans="1:9" ht="12.75">
      <c r="A2965" s="669"/>
      <c r="B2965" s="670"/>
      <c r="C2965" s="216"/>
      <c r="D2965" s="216"/>
      <c r="E2965" s="216"/>
      <c r="F2965" s="216"/>
      <c r="G2965" s="435"/>
      <c r="H2965" s="216"/>
      <c r="I2965" s="435"/>
    </row>
    <row r="2966" spans="1:9" ht="12.75">
      <c r="A2966" s="669"/>
      <c r="B2966" s="670"/>
      <c r="C2966" s="216"/>
      <c r="D2966" s="216"/>
      <c r="E2966" s="216"/>
      <c r="F2966" s="216"/>
      <c r="G2966" s="435"/>
      <c r="H2966" s="216"/>
      <c r="I2966" s="435"/>
    </row>
    <row r="2967" spans="1:9" ht="12.75">
      <c r="A2967" s="669"/>
      <c r="B2967" s="670"/>
      <c r="C2967" s="216"/>
      <c r="D2967" s="216"/>
      <c r="E2967" s="216"/>
      <c r="F2967" s="216"/>
      <c r="G2967" s="435"/>
      <c r="H2967" s="216"/>
      <c r="I2967" s="435"/>
    </row>
    <row r="2968" spans="1:9" ht="12.75">
      <c r="A2968" s="669"/>
      <c r="B2968" s="670"/>
      <c r="C2968" s="216"/>
      <c r="D2968" s="216"/>
      <c r="E2968" s="216"/>
      <c r="F2968" s="216"/>
      <c r="G2968" s="435"/>
      <c r="H2968" s="216"/>
      <c r="I2968" s="435"/>
    </row>
    <row r="2969" spans="1:9" ht="12.75">
      <c r="A2969" s="669"/>
      <c r="B2969" s="670"/>
      <c r="C2969" s="216"/>
      <c r="D2969" s="216"/>
      <c r="E2969" s="216"/>
      <c r="F2969" s="216"/>
      <c r="G2969" s="435"/>
      <c r="H2969" s="216"/>
      <c r="I2969" s="435"/>
    </row>
    <row r="2970" spans="1:9" ht="12.75">
      <c r="A2970" s="669"/>
      <c r="B2970" s="670"/>
      <c r="C2970" s="216"/>
      <c r="D2970" s="216"/>
      <c r="E2970" s="216"/>
      <c r="F2970" s="216"/>
      <c r="G2970" s="435"/>
      <c r="H2970" s="216"/>
      <c r="I2970" s="435"/>
    </row>
    <row r="2971" spans="1:9" ht="12.75">
      <c r="A2971" s="669"/>
      <c r="B2971" s="670"/>
      <c r="C2971" s="216"/>
      <c r="D2971" s="216"/>
      <c r="E2971" s="216"/>
      <c r="F2971" s="216"/>
      <c r="G2971" s="435"/>
      <c r="H2971" s="216"/>
      <c r="I2971" s="435"/>
    </row>
    <row r="2972" spans="1:9" ht="12.75">
      <c r="A2972" s="669"/>
      <c r="B2972" s="670"/>
      <c r="C2972" s="216"/>
      <c r="D2972" s="216"/>
      <c r="E2972" s="216"/>
      <c r="F2972" s="216"/>
      <c r="G2972" s="435"/>
      <c r="H2972" s="216"/>
      <c r="I2972" s="435"/>
    </row>
    <row r="2973" spans="1:9" ht="12.75">
      <c r="A2973" s="669"/>
      <c r="B2973" s="670"/>
      <c r="C2973" s="216"/>
      <c r="D2973" s="216"/>
      <c r="E2973" s="216"/>
      <c r="F2973" s="216"/>
      <c r="G2973" s="435"/>
      <c r="H2973" s="216"/>
      <c r="I2973" s="435"/>
    </row>
    <row r="2974" spans="1:9" ht="12.75">
      <c r="A2974" s="669"/>
      <c r="B2974" s="670"/>
      <c r="C2974" s="216"/>
      <c r="D2974" s="216"/>
      <c r="E2974" s="216"/>
      <c r="F2974" s="216"/>
      <c r="G2974" s="435"/>
      <c r="H2974" s="216"/>
      <c r="I2974" s="435"/>
    </row>
    <row r="2975" spans="1:9" ht="12.75">
      <c r="A2975" s="669"/>
      <c r="B2975" s="670"/>
      <c r="C2975" s="216"/>
      <c r="D2975" s="216"/>
      <c r="E2975" s="216"/>
      <c r="F2975" s="216"/>
      <c r="G2975" s="435"/>
      <c r="H2975" s="216"/>
      <c r="I2975" s="435"/>
    </row>
    <row r="2976" spans="1:9" ht="12.75">
      <c r="A2976" s="669"/>
      <c r="B2976" s="670"/>
      <c r="C2976" s="216"/>
      <c r="D2976" s="216"/>
      <c r="E2976" s="216"/>
      <c r="F2976" s="216"/>
      <c r="G2976" s="435"/>
      <c r="H2976" s="216"/>
      <c r="I2976" s="435"/>
    </row>
    <row r="2977" spans="1:9" ht="12.75">
      <c r="A2977" s="669"/>
      <c r="B2977" s="670"/>
      <c r="C2977" s="216"/>
      <c r="D2977" s="216"/>
      <c r="E2977" s="216"/>
      <c r="F2977" s="216"/>
      <c r="G2977" s="435"/>
      <c r="H2977" s="216"/>
      <c r="I2977" s="435"/>
    </row>
    <row r="2978" spans="1:9" ht="12.75">
      <c r="A2978" s="669"/>
      <c r="B2978" s="670"/>
      <c r="C2978" s="216"/>
      <c r="D2978" s="216"/>
      <c r="E2978" s="216"/>
      <c r="F2978" s="216"/>
      <c r="G2978" s="435"/>
      <c r="H2978" s="216"/>
      <c r="I2978" s="435"/>
    </row>
    <row r="2979" spans="1:9" ht="12.75">
      <c r="A2979" s="669"/>
      <c r="B2979" s="670"/>
      <c r="C2979" s="216"/>
      <c r="D2979" s="216"/>
      <c r="E2979" s="216"/>
      <c r="F2979" s="216"/>
      <c r="G2979" s="435"/>
      <c r="H2979" s="216"/>
      <c r="I2979" s="435"/>
    </row>
    <row r="2980" spans="1:9" ht="12.75">
      <c r="A2980" s="669"/>
      <c r="B2980" s="670"/>
      <c r="C2980" s="216"/>
      <c r="D2980" s="216"/>
      <c r="E2980" s="216"/>
      <c r="F2980" s="216"/>
      <c r="G2980" s="435"/>
      <c r="H2980" s="216"/>
      <c r="I2980" s="435"/>
    </row>
    <row r="2981" spans="1:9" ht="12.75">
      <c r="A2981" s="669"/>
      <c r="B2981" s="670"/>
      <c r="C2981" s="216"/>
      <c r="D2981" s="216"/>
      <c r="E2981" s="216"/>
      <c r="F2981" s="216"/>
      <c r="G2981" s="435"/>
      <c r="H2981" s="216"/>
      <c r="I2981" s="435"/>
    </row>
    <row r="2982" spans="1:9" ht="12.75">
      <c r="A2982" s="669"/>
      <c r="B2982" s="670"/>
      <c r="C2982" s="216"/>
      <c r="D2982" s="216"/>
      <c r="E2982" s="216"/>
      <c r="F2982" s="216"/>
      <c r="G2982" s="435"/>
      <c r="H2982" s="216"/>
      <c r="I2982" s="435"/>
    </row>
    <row r="2983" spans="1:9" ht="12.75">
      <c r="A2983" s="669"/>
      <c r="B2983" s="670"/>
      <c r="C2983" s="216"/>
      <c r="D2983" s="216"/>
      <c r="E2983" s="216"/>
      <c r="F2983" s="216"/>
      <c r="G2983" s="435"/>
      <c r="H2983" s="216"/>
      <c r="I2983" s="435"/>
    </row>
    <row r="2984" spans="1:9" ht="12.75">
      <c r="A2984" s="669"/>
      <c r="B2984" s="670"/>
      <c r="C2984" s="216"/>
      <c r="D2984" s="216"/>
      <c r="E2984" s="216"/>
      <c r="F2984" s="216"/>
      <c r="G2984" s="435"/>
      <c r="H2984" s="216"/>
      <c r="I2984" s="435"/>
    </row>
    <row r="2985" spans="1:9" ht="12.75">
      <c r="A2985" s="669"/>
      <c r="B2985" s="670"/>
      <c r="C2985" s="216"/>
      <c r="D2985" s="216"/>
      <c r="E2985" s="216"/>
      <c r="F2985" s="216"/>
      <c r="G2985" s="435"/>
      <c r="H2985" s="216"/>
      <c r="I2985" s="435"/>
    </row>
    <row r="2986" spans="1:9" ht="12.75">
      <c r="A2986" s="669"/>
      <c r="B2986" s="670"/>
      <c r="C2986" s="216"/>
      <c r="D2986" s="216"/>
      <c r="E2986" s="216"/>
      <c r="F2986" s="216"/>
      <c r="G2986" s="435"/>
      <c r="H2986" s="216"/>
      <c r="I2986" s="435"/>
    </row>
    <row r="2987" spans="1:9" ht="12.75">
      <c r="A2987" s="669"/>
      <c r="B2987" s="670"/>
      <c r="C2987" s="216"/>
      <c r="D2987" s="216"/>
      <c r="E2987" s="216"/>
      <c r="F2987" s="216"/>
      <c r="G2987" s="435"/>
      <c r="H2987" s="216"/>
      <c r="I2987" s="435"/>
    </row>
    <row r="2988" spans="1:9" ht="12.75">
      <c r="A2988" s="669"/>
      <c r="B2988" s="670"/>
      <c r="C2988" s="216"/>
      <c r="D2988" s="216"/>
      <c r="E2988" s="216"/>
      <c r="F2988" s="216"/>
      <c r="G2988" s="435"/>
      <c r="H2988" s="216"/>
      <c r="I2988" s="435"/>
    </row>
    <row r="2989" spans="1:9" ht="12.75">
      <c r="A2989" s="669"/>
      <c r="B2989" s="670"/>
      <c r="C2989" s="216"/>
      <c r="D2989" s="216"/>
      <c r="E2989" s="216"/>
      <c r="F2989" s="216"/>
      <c r="G2989" s="435"/>
      <c r="H2989" s="216"/>
      <c r="I2989" s="435"/>
    </row>
    <row r="2990" spans="1:9" ht="12.75">
      <c r="A2990" s="669"/>
      <c r="B2990" s="670"/>
      <c r="C2990" s="216"/>
      <c r="D2990" s="216"/>
      <c r="E2990" s="216"/>
      <c r="F2990" s="216"/>
      <c r="G2990" s="435"/>
      <c r="H2990" s="216"/>
      <c r="I2990" s="435"/>
    </row>
    <row r="2991" spans="1:9" ht="12.75">
      <c r="A2991" s="669"/>
      <c r="B2991" s="670"/>
      <c r="C2991" s="216"/>
      <c r="D2991" s="216"/>
      <c r="E2991" s="216"/>
      <c r="F2991" s="216"/>
      <c r="G2991" s="435"/>
      <c r="H2991" s="216"/>
      <c r="I2991" s="435"/>
    </row>
    <row r="2992" spans="1:9" ht="12.75">
      <c r="A2992" s="669"/>
      <c r="B2992" s="670"/>
      <c r="C2992" s="216"/>
      <c r="D2992" s="216"/>
      <c r="E2992" s="216"/>
      <c r="F2992" s="216"/>
      <c r="G2992" s="435"/>
      <c r="H2992" s="216"/>
      <c r="I2992" s="435"/>
    </row>
    <row r="2993" spans="1:9" ht="12.75">
      <c r="A2993" s="669"/>
      <c r="B2993" s="670"/>
      <c r="C2993" s="216"/>
      <c r="D2993" s="216"/>
      <c r="E2993" s="216"/>
      <c r="F2993" s="216"/>
      <c r="G2993" s="435"/>
      <c r="H2993" s="216"/>
      <c r="I2993" s="435"/>
    </row>
    <row r="2994" spans="1:9" ht="12.75">
      <c r="A2994" s="669"/>
      <c r="B2994" s="670"/>
      <c r="C2994" s="216"/>
      <c r="D2994" s="216"/>
      <c r="E2994" s="216"/>
      <c r="F2994" s="216"/>
      <c r="G2994" s="435"/>
      <c r="H2994" s="216"/>
      <c r="I2994" s="435"/>
    </row>
    <row r="2995" spans="1:9" ht="12.75">
      <c r="A2995" s="669"/>
      <c r="B2995" s="670"/>
      <c r="C2995" s="216"/>
      <c r="D2995" s="216"/>
      <c r="E2995" s="216"/>
      <c r="F2995" s="216"/>
      <c r="G2995" s="435"/>
      <c r="H2995" s="216"/>
      <c r="I2995" s="435"/>
    </row>
    <row r="2996" spans="1:9" ht="12.75">
      <c r="A2996" s="669"/>
      <c r="B2996" s="670"/>
      <c r="C2996" s="216"/>
      <c r="D2996" s="216"/>
      <c r="E2996" s="216"/>
      <c r="F2996" s="216"/>
      <c r="G2996" s="435"/>
      <c r="H2996" s="216"/>
      <c r="I2996" s="435"/>
    </row>
    <row r="2997" spans="1:9" ht="12.75">
      <c r="A2997" s="669"/>
      <c r="B2997" s="670"/>
      <c r="C2997" s="216"/>
      <c r="D2997" s="216"/>
      <c r="E2997" s="216"/>
      <c r="F2997" s="216"/>
      <c r="G2997" s="435"/>
      <c r="H2997" s="216"/>
      <c r="I2997" s="435"/>
    </row>
    <row r="2998" spans="1:9" ht="12.75">
      <c r="A2998" s="669"/>
      <c r="B2998" s="670"/>
      <c r="C2998" s="216"/>
      <c r="D2998" s="216"/>
      <c r="E2998" s="216"/>
      <c r="F2998" s="216"/>
      <c r="G2998" s="435"/>
      <c r="H2998" s="216"/>
      <c r="I2998" s="435"/>
    </row>
    <row r="2999" spans="1:9" ht="12.75">
      <c r="A2999" s="669"/>
      <c r="B2999" s="670"/>
      <c r="C2999" s="216"/>
      <c r="D2999" s="216"/>
      <c r="E2999" s="216"/>
      <c r="F2999" s="216"/>
      <c r="G2999" s="435"/>
      <c r="H2999" s="216"/>
      <c r="I2999" s="435"/>
    </row>
    <row r="3000" spans="1:9" ht="12.75">
      <c r="A3000" s="669"/>
      <c r="B3000" s="670"/>
      <c r="C3000" s="216"/>
      <c r="D3000" s="216"/>
      <c r="E3000" s="216"/>
      <c r="F3000" s="216"/>
      <c r="G3000" s="435"/>
      <c r="H3000" s="216"/>
      <c r="I3000" s="435"/>
    </row>
    <row r="3001" spans="1:9" ht="12.75">
      <c r="A3001" s="669"/>
      <c r="B3001" s="670"/>
      <c r="C3001" s="216"/>
      <c r="D3001" s="216"/>
      <c r="E3001" s="216"/>
      <c r="F3001" s="216"/>
      <c r="G3001" s="435"/>
      <c r="H3001" s="216"/>
      <c r="I3001" s="435"/>
    </row>
    <row r="3002" spans="1:9" ht="12.75">
      <c r="A3002" s="669"/>
      <c r="B3002" s="670"/>
      <c r="C3002" s="216"/>
      <c r="D3002" s="216"/>
      <c r="E3002" s="216"/>
      <c r="F3002" s="216"/>
      <c r="G3002" s="435"/>
      <c r="H3002" s="216"/>
      <c r="I3002" s="435"/>
    </row>
    <row r="3003" spans="1:9" ht="12.75">
      <c r="A3003" s="669"/>
      <c r="B3003" s="670"/>
      <c r="C3003" s="216"/>
      <c r="D3003" s="216"/>
      <c r="E3003" s="216"/>
      <c r="F3003" s="216"/>
      <c r="G3003" s="435"/>
      <c r="H3003" s="216"/>
      <c r="I3003" s="435"/>
    </row>
    <row r="3004" spans="1:9" ht="12.75">
      <c r="A3004" s="669"/>
      <c r="B3004" s="670"/>
      <c r="C3004" s="216"/>
      <c r="D3004" s="216"/>
      <c r="E3004" s="216"/>
      <c r="F3004" s="216"/>
      <c r="G3004" s="435"/>
      <c r="H3004" s="216"/>
      <c r="I3004" s="435"/>
    </row>
    <row r="3005" spans="1:9" ht="12.75">
      <c r="A3005" s="669"/>
      <c r="B3005" s="670"/>
      <c r="C3005" s="216"/>
      <c r="D3005" s="216"/>
      <c r="E3005" s="216"/>
      <c r="F3005" s="216"/>
      <c r="G3005" s="435"/>
      <c r="H3005" s="216"/>
      <c r="I3005" s="435"/>
    </row>
    <row r="3006" spans="1:9" ht="12.75">
      <c r="A3006" s="669"/>
      <c r="B3006" s="670"/>
      <c r="C3006" s="216"/>
      <c r="D3006" s="216"/>
      <c r="E3006" s="216"/>
      <c r="F3006" s="216"/>
      <c r="G3006" s="435"/>
      <c r="H3006" s="216"/>
      <c r="I3006" s="435"/>
    </row>
    <row r="3007" spans="1:9" ht="12.75">
      <c r="A3007" s="669"/>
      <c r="B3007" s="670"/>
      <c r="C3007" s="216"/>
      <c r="D3007" s="216"/>
      <c r="E3007" s="216"/>
      <c r="F3007" s="216"/>
      <c r="G3007" s="435"/>
      <c r="H3007" s="216"/>
      <c r="I3007" s="435"/>
    </row>
    <row r="3008" spans="1:9" ht="12.75">
      <c r="A3008" s="669"/>
      <c r="B3008" s="670"/>
      <c r="C3008" s="216"/>
      <c r="D3008" s="216"/>
      <c r="E3008" s="216"/>
      <c r="F3008" s="216"/>
      <c r="G3008" s="435"/>
      <c r="H3008" s="216"/>
      <c r="I3008" s="435"/>
    </row>
    <row r="3009" spans="1:9" ht="12.75">
      <c r="A3009" s="669"/>
      <c r="B3009" s="670"/>
      <c r="C3009" s="216"/>
      <c r="D3009" s="216"/>
      <c r="E3009" s="216"/>
      <c r="F3009" s="216"/>
      <c r="G3009" s="435"/>
      <c r="H3009" s="216"/>
      <c r="I3009" s="435"/>
    </row>
    <row r="3010" spans="1:9" ht="12.75">
      <c r="A3010" s="669"/>
      <c r="B3010" s="670"/>
      <c r="C3010" s="216"/>
      <c r="D3010" s="216"/>
      <c r="E3010" s="216"/>
      <c r="F3010" s="216"/>
      <c r="G3010" s="435"/>
      <c r="H3010" s="216"/>
      <c r="I3010" s="435"/>
    </row>
    <row r="3011" spans="1:9" ht="12.75">
      <c r="A3011" s="669"/>
      <c r="B3011" s="670"/>
      <c r="C3011" s="216"/>
      <c r="D3011" s="216"/>
      <c r="E3011" s="216"/>
      <c r="F3011" s="216"/>
      <c r="G3011" s="435"/>
      <c r="H3011" s="216"/>
      <c r="I3011" s="435"/>
    </row>
    <row r="3012" spans="1:9" ht="12.75">
      <c r="A3012" s="669"/>
      <c r="B3012" s="670"/>
      <c r="C3012" s="216"/>
      <c r="D3012" s="216"/>
      <c r="E3012" s="216"/>
      <c r="F3012" s="216"/>
      <c r="G3012" s="435"/>
      <c r="H3012" s="216"/>
      <c r="I3012" s="435"/>
    </row>
    <row r="3013" spans="1:9" ht="12.75">
      <c r="A3013" s="669"/>
      <c r="B3013" s="670"/>
      <c r="C3013" s="216"/>
      <c r="D3013" s="216"/>
      <c r="E3013" s="216"/>
      <c r="F3013" s="216"/>
      <c r="G3013" s="435"/>
      <c r="H3013" s="216"/>
      <c r="I3013" s="435"/>
    </row>
    <row r="3014" spans="1:9" ht="12.75">
      <c r="A3014" s="669"/>
      <c r="B3014" s="670"/>
      <c r="C3014" s="216"/>
      <c r="D3014" s="216"/>
      <c r="E3014" s="216"/>
      <c r="F3014" s="216"/>
      <c r="G3014" s="435"/>
      <c r="H3014" s="216"/>
      <c r="I3014" s="435"/>
    </row>
    <row r="3015" spans="1:9" ht="12.75">
      <c r="A3015" s="669"/>
      <c r="B3015" s="670"/>
      <c r="C3015" s="216"/>
      <c r="D3015" s="216"/>
      <c r="E3015" s="216"/>
      <c r="F3015" s="216"/>
      <c r="G3015" s="435"/>
      <c r="H3015" s="216"/>
      <c r="I3015" s="435"/>
    </row>
    <row r="3016" spans="1:9" ht="12.75">
      <c r="A3016" s="669"/>
      <c r="B3016" s="670"/>
      <c r="C3016" s="216"/>
      <c r="D3016" s="216"/>
      <c r="E3016" s="216"/>
      <c r="F3016" s="216"/>
      <c r="G3016" s="435"/>
      <c r="H3016" s="216"/>
      <c r="I3016" s="435"/>
    </row>
    <row r="3017" spans="1:9" ht="12.75">
      <c r="A3017" s="669"/>
      <c r="B3017" s="670"/>
      <c r="C3017" s="216"/>
      <c r="D3017" s="216"/>
      <c r="E3017" s="216"/>
      <c r="F3017" s="216"/>
      <c r="G3017" s="435"/>
      <c r="H3017" s="216"/>
      <c r="I3017" s="435"/>
    </row>
    <row r="3018" spans="1:9" ht="12.75">
      <c r="A3018" s="669"/>
      <c r="B3018" s="670"/>
      <c r="C3018" s="216"/>
      <c r="D3018" s="216"/>
      <c r="E3018" s="216"/>
      <c r="F3018" s="216"/>
      <c r="G3018" s="435"/>
      <c r="H3018" s="216"/>
      <c r="I3018" s="435"/>
    </row>
    <row r="3019" spans="1:9" ht="12.75">
      <c r="A3019" s="669"/>
      <c r="B3019" s="670"/>
      <c r="C3019" s="216"/>
      <c r="D3019" s="216"/>
      <c r="E3019" s="216"/>
      <c r="F3019" s="216"/>
      <c r="G3019" s="435"/>
      <c r="H3019" s="216"/>
      <c r="I3019" s="435"/>
    </row>
    <row r="3020" spans="1:9" ht="12.75">
      <c r="A3020" s="669"/>
      <c r="B3020" s="670"/>
      <c r="C3020" s="216"/>
      <c r="D3020" s="216"/>
      <c r="E3020" s="216"/>
      <c r="F3020" s="216"/>
      <c r="G3020" s="435"/>
      <c r="H3020" s="216"/>
      <c r="I3020" s="435"/>
    </row>
    <row r="3021" spans="1:9" ht="12.75">
      <c r="A3021" s="669"/>
      <c r="B3021" s="670"/>
      <c r="C3021" s="216"/>
      <c r="D3021" s="216"/>
      <c r="E3021" s="216"/>
      <c r="F3021" s="216"/>
      <c r="G3021" s="435"/>
      <c r="H3021" s="216"/>
      <c r="I3021" s="435"/>
    </row>
    <row r="3022" spans="1:9" ht="12.75">
      <c r="A3022" s="669"/>
      <c r="B3022" s="670"/>
      <c r="C3022" s="216"/>
      <c r="D3022" s="216"/>
      <c r="E3022" s="216"/>
      <c r="F3022" s="216"/>
      <c r="G3022" s="435"/>
      <c r="H3022" s="216"/>
      <c r="I3022" s="435"/>
    </row>
    <row r="3023" spans="1:9" ht="12.75">
      <c r="A3023" s="669"/>
      <c r="B3023" s="670"/>
      <c r="C3023" s="216"/>
      <c r="D3023" s="216"/>
      <c r="E3023" s="216"/>
      <c r="F3023" s="216"/>
      <c r="G3023" s="435"/>
      <c r="H3023" s="216"/>
      <c r="I3023" s="435"/>
    </row>
    <row r="3024" spans="1:9" ht="12.75">
      <c r="A3024" s="669"/>
      <c r="B3024" s="670"/>
      <c r="C3024" s="216"/>
      <c r="D3024" s="216"/>
      <c r="E3024" s="216"/>
      <c r="F3024" s="216"/>
      <c r="G3024" s="435"/>
      <c r="H3024" s="216"/>
      <c r="I3024" s="435"/>
    </row>
    <row r="3025" spans="1:9" ht="12.75">
      <c r="A3025" s="669"/>
      <c r="B3025" s="670"/>
      <c r="C3025" s="216"/>
      <c r="D3025" s="216"/>
      <c r="E3025" s="216"/>
      <c r="F3025" s="216"/>
      <c r="G3025" s="435"/>
      <c r="H3025" s="216"/>
      <c r="I3025" s="435"/>
    </row>
    <row r="3026" spans="1:9" ht="12.75">
      <c r="A3026" s="669"/>
      <c r="B3026" s="670"/>
      <c r="C3026" s="216"/>
      <c r="D3026" s="216"/>
      <c r="E3026" s="216"/>
      <c r="F3026" s="216"/>
      <c r="G3026" s="435"/>
      <c r="H3026" s="216"/>
      <c r="I3026" s="435"/>
    </row>
    <row r="3027" spans="1:9" ht="12.75">
      <c r="A3027" s="669"/>
      <c r="B3027" s="670"/>
      <c r="C3027" s="216"/>
      <c r="D3027" s="216"/>
      <c r="E3027" s="216"/>
      <c r="F3027" s="216"/>
      <c r="G3027" s="435"/>
      <c r="H3027" s="216"/>
      <c r="I3027" s="435"/>
    </row>
    <row r="3028" spans="1:9" ht="12.75">
      <c r="A3028" s="669"/>
      <c r="B3028" s="670"/>
      <c r="C3028" s="216"/>
      <c r="D3028" s="216"/>
      <c r="E3028" s="216"/>
      <c r="F3028" s="216"/>
      <c r="G3028" s="435"/>
      <c r="H3028" s="216"/>
      <c r="I3028" s="435"/>
    </row>
    <row r="3029" spans="1:9" ht="12.75">
      <c r="A3029" s="669"/>
      <c r="B3029" s="670"/>
      <c r="C3029" s="216"/>
      <c r="D3029" s="216"/>
      <c r="E3029" s="216"/>
      <c r="F3029" s="216"/>
      <c r="G3029" s="435"/>
      <c r="H3029" s="216"/>
      <c r="I3029" s="435"/>
    </row>
    <row r="3030" spans="1:9" ht="12.75">
      <c r="A3030" s="669"/>
      <c r="B3030" s="670"/>
      <c r="C3030" s="216"/>
      <c r="D3030" s="216"/>
      <c r="E3030" s="216"/>
      <c r="F3030" s="216"/>
      <c r="G3030" s="435"/>
      <c r="H3030" s="216"/>
      <c r="I3030" s="435"/>
    </row>
    <row r="3031" spans="1:9" ht="12.75">
      <c r="A3031" s="669"/>
      <c r="B3031" s="670"/>
      <c r="C3031" s="216"/>
      <c r="D3031" s="216"/>
      <c r="E3031" s="216"/>
      <c r="F3031" s="216"/>
      <c r="G3031" s="435"/>
      <c r="H3031" s="216"/>
      <c r="I3031" s="435"/>
    </row>
    <row r="3032" spans="1:9" ht="12.75">
      <c r="A3032" s="669"/>
      <c r="B3032" s="670"/>
      <c r="C3032" s="216"/>
      <c r="D3032" s="216"/>
      <c r="E3032" s="216"/>
      <c r="F3032" s="216"/>
      <c r="G3032" s="435"/>
      <c r="H3032" s="216"/>
      <c r="I3032" s="435"/>
    </row>
    <row r="3033" spans="1:9" ht="12.75">
      <c r="A3033" s="669"/>
      <c r="B3033" s="670"/>
      <c r="C3033" s="216"/>
      <c r="D3033" s="216"/>
      <c r="E3033" s="216"/>
      <c r="F3033" s="216"/>
      <c r="G3033" s="435"/>
      <c r="H3033" s="216"/>
      <c r="I3033" s="435"/>
    </row>
    <row r="3034" spans="1:9" ht="12.75">
      <c r="A3034" s="669"/>
      <c r="B3034" s="670"/>
      <c r="C3034" s="216"/>
      <c r="D3034" s="216"/>
      <c r="E3034" s="216"/>
      <c r="F3034" s="216"/>
      <c r="G3034" s="435"/>
      <c r="H3034" s="216"/>
      <c r="I3034" s="435"/>
    </row>
    <row r="3035" spans="1:9" ht="12.75">
      <c r="A3035" s="669"/>
      <c r="B3035" s="670"/>
      <c r="C3035" s="216"/>
      <c r="D3035" s="216"/>
      <c r="E3035" s="216"/>
      <c r="F3035" s="216"/>
      <c r="G3035" s="435"/>
      <c r="H3035" s="216"/>
      <c r="I3035" s="435"/>
    </row>
    <row r="3036" spans="1:9" ht="12.75">
      <c r="A3036" s="669"/>
      <c r="B3036" s="670"/>
      <c r="C3036" s="216"/>
      <c r="D3036" s="216"/>
      <c r="E3036" s="216"/>
      <c r="F3036" s="216"/>
      <c r="G3036" s="435"/>
      <c r="H3036" s="216"/>
      <c r="I3036" s="435"/>
    </row>
    <row r="3037" spans="1:9" ht="12.75">
      <c r="A3037" s="669"/>
      <c r="B3037" s="670"/>
      <c r="C3037" s="216"/>
      <c r="D3037" s="216"/>
      <c r="E3037" s="216"/>
      <c r="F3037" s="216"/>
      <c r="G3037" s="435"/>
      <c r="H3037" s="216"/>
      <c r="I3037" s="435"/>
    </row>
    <row r="3038" spans="1:9" ht="12.75">
      <c r="A3038" s="669"/>
      <c r="B3038" s="670"/>
      <c r="C3038" s="216"/>
      <c r="D3038" s="216"/>
      <c r="E3038" s="216"/>
      <c r="F3038" s="216"/>
      <c r="G3038" s="435"/>
      <c r="H3038" s="216"/>
      <c r="I3038" s="435"/>
    </row>
    <row r="3039" spans="1:9" ht="12.75">
      <c r="A3039" s="669"/>
      <c r="B3039" s="670"/>
      <c r="C3039" s="216"/>
      <c r="D3039" s="216"/>
      <c r="E3039" s="216"/>
      <c r="F3039" s="216"/>
      <c r="G3039" s="435"/>
      <c r="H3039" s="216"/>
      <c r="I3039" s="435"/>
    </row>
    <row r="3040" spans="1:9" ht="12.75">
      <c r="A3040" s="669"/>
      <c r="B3040" s="670"/>
      <c r="C3040" s="216"/>
      <c r="D3040" s="216"/>
      <c r="E3040" s="216"/>
      <c r="F3040" s="216"/>
      <c r="G3040" s="435"/>
      <c r="H3040" s="216"/>
      <c r="I3040" s="435"/>
    </row>
    <row r="3041" spans="1:9" ht="12.75">
      <c r="A3041" s="669"/>
      <c r="B3041" s="670"/>
      <c r="C3041" s="216"/>
      <c r="D3041" s="216"/>
      <c r="E3041" s="216"/>
      <c r="F3041" s="216"/>
      <c r="G3041" s="435"/>
      <c r="H3041" s="216"/>
      <c r="I3041" s="435"/>
    </row>
    <row r="3042" spans="1:9" ht="12.75">
      <c r="A3042" s="669"/>
      <c r="B3042" s="670"/>
      <c r="C3042" s="216"/>
      <c r="D3042" s="216"/>
      <c r="E3042" s="216"/>
      <c r="F3042" s="216"/>
      <c r="G3042" s="435"/>
      <c r="H3042" s="216"/>
      <c r="I3042" s="435"/>
    </row>
    <row r="3043" spans="1:9" ht="12.75">
      <c r="A3043" s="669"/>
      <c r="B3043" s="670"/>
      <c r="C3043" s="216"/>
      <c r="D3043" s="216"/>
      <c r="E3043" s="216"/>
      <c r="F3043" s="216"/>
      <c r="G3043" s="435"/>
      <c r="H3043" s="216"/>
      <c r="I3043" s="435"/>
    </row>
    <row r="3044" spans="1:9" ht="12.75">
      <c r="A3044" s="669"/>
      <c r="B3044" s="670"/>
      <c r="C3044" s="216"/>
      <c r="D3044" s="216"/>
      <c r="E3044" s="216"/>
      <c r="F3044" s="216"/>
      <c r="G3044" s="435"/>
      <c r="H3044" s="216"/>
      <c r="I3044" s="435"/>
    </row>
    <row r="3045" spans="1:9" ht="12.75">
      <c r="A3045" s="669"/>
      <c r="B3045" s="670"/>
      <c r="C3045" s="216"/>
      <c r="D3045" s="216"/>
      <c r="E3045" s="216"/>
      <c r="F3045" s="216"/>
      <c r="G3045" s="435"/>
      <c r="H3045" s="216"/>
      <c r="I3045" s="435"/>
    </row>
    <row r="3046" spans="1:9" ht="12.75">
      <c r="A3046" s="669"/>
      <c r="B3046" s="670"/>
      <c r="C3046" s="216"/>
      <c r="D3046" s="216"/>
      <c r="E3046" s="216"/>
      <c r="F3046" s="216"/>
      <c r="G3046" s="435"/>
      <c r="H3046" s="216"/>
      <c r="I3046" s="435"/>
    </row>
    <row r="3047" spans="1:9" ht="12.75">
      <c r="A3047" s="669"/>
      <c r="B3047" s="670"/>
      <c r="C3047" s="216"/>
      <c r="D3047" s="216"/>
      <c r="E3047" s="216"/>
      <c r="F3047" s="216"/>
      <c r="G3047" s="435"/>
      <c r="H3047" s="216"/>
      <c r="I3047" s="435"/>
    </row>
    <row r="3048" spans="1:9" ht="12.75">
      <c r="A3048" s="669"/>
      <c r="B3048" s="670"/>
      <c r="C3048" s="216"/>
      <c r="D3048" s="216"/>
      <c r="E3048" s="216"/>
      <c r="F3048" s="216"/>
      <c r="G3048" s="435"/>
      <c r="H3048" s="216"/>
      <c r="I3048" s="435"/>
    </row>
    <row r="3049" spans="1:9" ht="12.75">
      <c r="A3049" s="669"/>
      <c r="B3049" s="670"/>
      <c r="C3049" s="216"/>
      <c r="D3049" s="216"/>
      <c r="E3049" s="216"/>
      <c r="F3049" s="216"/>
      <c r="G3049" s="435"/>
      <c r="H3049" s="216"/>
      <c r="I3049" s="435"/>
    </row>
    <row r="3050" spans="1:9" ht="12.75">
      <c r="A3050" s="669"/>
      <c r="B3050" s="670"/>
      <c r="C3050" s="216"/>
      <c r="D3050" s="216"/>
      <c r="E3050" s="216"/>
      <c r="F3050" s="216"/>
      <c r="G3050" s="435"/>
      <c r="H3050" s="216"/>
      <c r="I3050" s="435"/>
    </row>
    <row r="3051" spans="1:9" ht="12.75">
      <c r="A3051" s="669"/>
      <c r="B3051" s="670"/>
      <c r="C3051" s="216"/>
      <c r="D3051" s="216"/>
      <c r="E3051" s="216"/>
      <c r="F3051" s="216"/>
      <c r="G3051" s="435"/>
      <c r="H3051" s="216"/>
      <c r="I3051" s="435"/>
    </row>
    <row r="3052" spans="1:9" ht="12.75">
      <c r="A3052" s="669"/>
      <c r="B3052" s="670"/>
      <c r="C3052" s="216"/>
      <c r="D3052" s="216"/>
      <c r="E3052" s="216"/>
      <c r="F3052" s="216"/>
      <c r="G3052" s="435"/>
      <c r="H3052" s="216"/>
      <c r="I3052" s="435"/>
    </row>
    <row r="3053" spans="1:9" ht="12.75">
      <c r="A3053" s="669"/>
      <c r="B3053" s="670"/>
      <c r="C3053" s="216"/>
      <c r="D3053" s="216"/>
      <c r="E3053" s="216"/>
      <c r="F3053" s="216"/>
      <c r="G3053" s="435"/>
      <c r="H3053" s="216"/>
      <c r="I3053" s="435"/>
    </row>
    <row r="3054" spans="1:9" ht="12.75">
      <c r="A3054" s="669"/>
      <c r="B3054" s="670"/>
      <c r="C3054" s="216"/>
      <c r="D3054" s="216"/>
      <c r="E3054" s="216"/>
      <c r="F3054" s="216"/>
      <c r="G3054" s="435"/>
      <c r="H3054" s="216"/>
      <c r="I3054" s="435"/>
    </row>
    <row r="3055" spans="1:9" ht="12.75">
      <c r="A3055" s="669"/>
      <c r="B3055" s="670"/>
      <c r="C3055" s="216"/>
      <c r="D3055" s="216"/>
      <c r="E3055" s="216"/>
      <c r="F3055" s="216"/>
      <c r="G3055" s="435"/>
      <c r="H3055" s="216"/>
      <c r="I3055" s="435"/>
    </row>
    <row r="3056" spans="1:9" ht="12.75">
      <c r="A3056" s="669"/>
      <c r="B3056" s="670"/>
      <c r="C3056" s="216"/>
      <c r="D3056" s="216"/>
      <c r="E3056" s="216"/>
      <c r="F3056" s="216"/>
      <c r="G3056" s="435"/>
      <c r="H3056" s="216"/>
      <c r="I3056" s="435"/>
    </row>
    <row r="3057" spans="1:9" ht="12.75">
      <c r="A3057" s="669"/>
      <c r="B3057" s="670"/>
      <c r="C3057" s="216"/>
      <c r="D3057" s="216"/>
      <c r="E3057" s="216"/>
      <c r="F3057" s="216"/>
      <c r="G3057" s="435"/>
      <c r="H3057" s="216"/>
      <c r="I3057" s="435"/>
    </row>
    <row r="3058" spans="1:9" ht="12.75">
      <c r="A3058" s="669"/>
      <c r="B3058" s="670"/>
      <c r="C3058" s="216"/>
      <c r="D3058" s="216"/>
      <c r="E3058" s="216"/>
      <c r="F3058" s="216"/>
      <c r="G3058" s="435"/>
      <c r="H3058" s="216"/>
      <c r="I3058" s="435"/>
    </row>
    <row r="3059" spans="1:9" ht="12.75">
      <c r="A3059" s="669"/>
      <c r="B3059" s="670"/>
      <c r="C3059" s="216"/>
      <c r="D3059" s="216"/>
      <c r="E3059" s="216"/>
      <c r="F3059" s="216"/>
      <c r="G3059" s="435"/>
      <c r="H3059" s="216"/>
      <c r="I3059" s="435"/>
    </row>
    <row r="3060" spans="1:9" ht="12.75">
      <c r="A3060" s="669"/>
      <c r="B3060" s="670"/>
      <c r="C3060" s="216"/>
      <c r="D3060" s="216"/>
      <c r="E3060" s="216"/>
      <c r="F3060" s="216"/>
      <c r="G3060" s="435"/>
      <c r="H3060" s="216"/>
      <c r="I3060" s="435"/>
    </row>
    <row r="3061" spans="1:9" ht="12.75">
      <c r="A3061" s="669"/>
      <c r="B3061" s="670"/>
      <c r="C3061" s="216"/>
      <c r="D3061" s="216"/>
      <c r="E3061" s="216"/>
      <c r="F3061" s="216"/>
      <c r="G3061" s="435"/>
      <c r="H3061" s="216"/>
      <c r="I3061" s="435"/>
    </row>
    <row r="3062" spans="1:9" ht="12.75">
      <c r="A3062" s="669"/>
      <c r="B3062" s="670"/>
      <c r="C3062" s="216"/>
      <c r="D3062" s="216"/>
      <c r="E3062" s="216"/>
      <c r="F3062" s="216"/>
      <c r="G3062" s="435"/>
      <c r="H3062" s="216"/>
      <c r="I3062" s="435"/>
    </row>
    <row r="3063" spans="1:9" ht="12.75">
      <c r="A3063" s="669"/>
      <c r="B3063" s="670"/>
      <c r="C3063" s="216"/>
      <c r="D3063" s="216"/>
      <c r="E3063" s="216"/>
      <c r="F3063" s="216"/>
      <c r="G3063" s="435"/>
      <c r="H3063" s="216"/>
      <c r="I3063" s="435"/>
    </row>
    <row r="3064" spans="1:9" ht="12.75">
      <c r="A3064" s="669"/>
      <c r="B3064" s="670"/>
      <c r="C3064" s="216"/>
      <c r="D3064" s="216"/>
      <c r="E3064" s="216"/>
      <c r="F3064" s="216"/>
      <c r="G3064" s="435"/>
      <c r="H3064" s="216"/>
      <c r="I3064" s="435"/>
    </row>
    <row r="3065" spans="1:9" ht="12.75">
      <c r="A3065" s="669"/>
      <c r="B3065" s="670"/>
      <c r="C3065" s="216"/>
      <c r="D3065" s="216"/>
      <c r="E3065" s="216"/>
      <c r="F3065" s="216"/>
      <c r="G3065" s="435"/>
      <c r="H3065" s="216"/>
      <c r="I3065" s="435"/>
    </row>
    <row r="3066" spans="1:9" ht="12.75">
      <c r="A3066" s="669"/>
      <c r="B3066" s="670"/>
      <c r="C3066" s="216"/>
      <c r="D3066" s="216"/>
      <c r="E3066" s="216"/>
      <c r="F3066" s="216"/>
      <c r="G3066" s="435"/>
      <c r="H3066" s="216"/>
      <c r="I3066" s="435"/>
    </row>
    <row r="3067" spans="1:9" ht="12.75">
      <c r="A3067" s="669"/>
      <c r="B3067" s="670"/>
      <c r="C3067" s="216"/>
      <c r="D3067" s="216"/>
      <c r="E3067" s="216"/>
      <c r="F3067" s="216"/>
      <c r="G3067" s="435"/>
      <c r="H3067" s="216"/>
      <c r="I3067" s="435"/>
    </row>
    <row r="3068" spans="1:9" ht="12.75">
      <c r="A3068" s="669"/>
      <c r="B3068" s="670"/>
      <c r="C3068" s="216"/>
      <c r="D3068" s="216"/>
      <c r="E3068" s="216"/>
      <c r="F3068" s="216"/>
      <c r="G3068" s="435"/>
      <c r="H3068" s="216"/>
      <c r="I3068" s="435"/>
    </row>
    <row r="3069" spans="1:9" ht="12.75">
      <c r="A3069" s="669"/>
      <c r="B3069" s="670"/>
      <c r="C3069" s="216"/>
      <c r="D3069" s="216"/>
      <c r="E3069" s="216"/>
      <c r="F3069" s="216"/>
      <c r="G3069" s="435"/>
      <c r="H3069" s="216"/>
      <c r="I3069" s="435"/>
    </row>
    <row r="3070" spans="1:9" ht="12.75">
      <c r="A3070" s="669"/>
      <c r="B3070" s="670"/>
      <c r="C3070" s="216"/>
      <c r="D3070" s="216"/>
      <c r="E3070" s="216"/>
      <c r="F3070" s="216"/>
      <c r="G3070" s="435"/>
      <c r="H3070" s="216"/>
      <c r="I3070" s="435"/>
    </row>
    <row r="3071" spans="1:9" ht="12.75">
      <c r="A3071" s="669"/>
      <c r="B3071" s="670"/>
      <c r="C3071" s="216"/>
      <c r="D3071" s="216"/>
      <c r="E3071" s="216"/>
      <c r="F3071" s="216"/>
      <c r="G3071" s="435"/>
      <c r="H3071" s="216"/>
      <c r="I3071" s="435"/>
    </row>
    <row r="3072" spans="1:9" ht="12.75">
      <c r="A3072" s="669"/>
      <c r="B3072" s="670"/>
      <c r="C3072" s="216"/>
      <c r="D3072" s="216"/>
      <c r="E3072" s="216"/>
      <c r="F3072" s="216"/>
      <c r="G3072" s="435"/>
      <c r="H3072" s="216"/>
      <c r="I3072" s="435"/>
    </row>
    <row r="3073" spans="1:9" ht="12.75">
      <c r="A3073" s="669"/>
      <c r="B3073" s="670"/>
      <c r="C3073" s="216"/>
      <c r="D3073" s="216"/>
      <c r="E3073" s="216"/>
      <c r="F3073" s="216"/>
      <c r="G3073" s="435"/>
      <c r="H3073" s="216"/>
      <c r="I3073" s="435"/>
    </row>
    <row r="3074" spans="1:9" ht="12.75">
      <c r="A3074" s="669"/>
      <c r="B3074" s="670"/>
      <c r="C3074" s="216"/>
      <c r="D3074" s="216"/>
      <c r="E3074" s="216"/>
      <c r="F3074" s="216"/>
      <c r="G3074" s="435"/>
      <c r="H3074" s="216"/>
      <c r="I3074" s="435"/>
    </row>
    <row r="3075" spans="1:9" ht="12.75">
      <c r="A3075" s="669"/>
      <c r="B3075" s="670"/>
      <c r="C3075" s="216"/>
      <c r="D3075" s="216"/>
      <c r="E3075" s="216"/>
      <c r="F3075" s="216"/>
      <c r="G3075" s="435"/>
      <c r="H3075" s="216"/>
      <c r="I3075" s="435"/>
    </row>
    <row r="3076" spans="1:9" ht="12.75">
      <c r="A3076" s="669"/>
      <c r="B3076" s="670"/>
      <c r="C3076" s="216"/>
      <c r="D3076" s="216"/>
      <c r="E3076" s="216"/>
      <c r="F3076" s="216"/>
      <c r="G3076" s="435"/>
      <c r="H3076" s="216"/>
      <c r="I3076" s="435"/>
    </row>
    <row r="3077" spans="1:9" ht="12.75">
      <c r="A3077" s="669"/>
      <c r="B3077" s="670"/>
      <c r="C3077" s="216"/>
      <c r="D3077" s="216"/>
      <c r="E3077" s="216"/>
      <c r="F3077" s="216"/>
      <c r="G3077" s="435"/>
      <c r="H3077" s="216"/>
      <c r="I3077" s="435"/>
    </row>
    <row r="3078" spans="1:9" ht="12.75">
      <c r="A3078" s="669"/>
      <c r="B3078" s="670"/>
      <c r="C3078" s="216"/>
      <c r="D3078" s="216"/>
      <c r="E3078" s="216"/>
      <c r="F3078" s="216"/>
      <c r="G3078" s="435"/>
      <c r="H3078" s="216"/>
      <c r="I3078" s="435"/>
    </row>
    <row r="3079" spans="1:9" ht="12.75">
      <c r="A3079" s="669"/>
      <c r="B3079" s="670"/>
      <c r="C3079" s="216"/>
      <c r="D3079" s="216"/>
      <c r="E3079" s="216"/>
      <c r="F3079" s="216"/>
      <c r="G3079" s="435"/>
      <c r="H3079" s="216"/>
      <c r="I3079" s="435"/>
    </row>
    <row r="3080" spans="1:9" ht="12.75">
      <c r="A3080" s="669"/>
      <c r="B3080" s="670"/>
      <c r="C3080" s="216"/>
      <c r="D3080" s="216"/>
      <c r="E3080" s="216"/>
      <c r="F3080" s="216"/>
      <c r="G3080" s="435"/>
      <c r="H3080" s="216"/>
      <c r="I3080" s="435"/>
    </row>
    <row r="3081" spans="1:9" ht="12.75">
      <c r="A3081" s="669"/>
      <c r="B3081" s="670"/>
      <c r="C3081" s="216"/>
      <c r="D3081" s="216"/>
      <c r="E3081" s="216"/>
      <c r="F3081" s="216"/>
      <c r="G3081" s="435"/>
      <c r="H3081" s="216"/>
      <c r="I3081" s="435"/>
    </row>
    <row r="3082" spans="1:9" ht="12.75">
      <c r="A3082" s="669"/>
      <c r="B3082" s="670"/>
      <c r="C3082" s="216"/>
      <c r="D3082" s="216"/>
      <c r="E3082" s="216"/>
      <c r="F3082" s="216"/>
      <c r="G3082" s="435"/>
      <c r="H3082" s="216"/>
      <c r="I3082" s="435"/>
    </row>
    <row r="3083" spans="1:9" ht="12.75">
      <c r="A3083" s="669"/>
      <c r="B3083" s="670"/>
      <c r="C3083" s="216"/>
      <c r="D3083" s="216"/>
      <c r="E3083" s="216"/>
      <c r="F3083" s="216"/>
      <c r="G3083" s="435"/>
      <c r="H3083" s="216"/>
      <c r="I3083" s="435"/>
    </row>
    <row r="3084" spans="1:9" ht="12.75">
      <c r="A3084" s="669"/>
      <c r="B3084" s="670"/>
      <c r="C3084" s="216"/>
      <c r="D3084" s="216"/>
      <c r="E3084" s="216"/>
      <c r="F3084" s="216"/>
      <c r="G3084" s="435"/>
      <c r="H3084" s="216"/>
      <c r="I3084" s="435"/>
    </row>
    <row r="3085" spans="1:9" ht="12.75">
      <c r="A3085" s="669"/>
      <c r="B3085" s="670"/>
      <c r="C3085" s="216"/>
      <c r="D3085" s="216"/>
      <c r="E3085" s="216"/>
      <c r="F3085" s="216"/>
      <c r="G3085" s="435"/>
      <c r="H3085" s="216"/>
      <c r="I3085" s="435"/>
    </row>
    <row r="3086" spans="1:9" ht="12.75">
      <c r="A3086" s="669"/>
      <c r="B3086" s="670"/>
      <c r="C3086" s="216"/>
      <c r="D3086" s="216"/>
      <c r="E3086" s="216"/>
      <c r="F3086" s="216"/>
      <c r="G3086" s="435"/>
      <c r="H3086" s="216"/>
      <c r="I3086" s="435"/>
    </row>
    <row r="3087" spans="1:9" ht="12.75">
      <c r="A3087" s="669"/>
      <c r="B3087" s="670"/>
      <c r="C3087" s="216"/>
      <c r="D3087" s="216"/>
      <c r="E3087" s="216"/>
      <c r="F3087" s="216"/>
      <c r="G3087" s="435"/>
      <c r="H3087" s="216"/>
      <c r="I3087" s="435"/>
    </row>
    <row r="3088" spans="1:9" ht="12.75">
      <c r="A3088" s="669"/>
      <c r="B3088" s="670"/>
      <c r="C3088" s="216"/>
      <c r="D3088" s="216"/>
      <c r="E3088" s="216"/>
      <c r="F3088" s="216"/>
      <c r="G3088" s="435"/>
      <c r="H3088" s="216"/>
      <c r="I3088" s="435"/>
    </row>
    <row r="3089" spans="1:9" ht="12.75">
      <c r="A3089" s="669"/>
      <c r="B3089" s="670"/>
      <c r="C3089" s="216"/>
      <c r="D3089" s="216"/>
      <c r="E3089" s="216"/>
      <c r="F3089" s="216"/>
      <c r="G3089" s="435"/>
      <c r="H3089" s="216"/>
      <c r="I3089" s="435"/>
    </row>
    <row r="3090" spans="1:9" ht="12.75">
      <c r="A3090" s="669"/>
      <c r="B3090" s="670"/>
      <c r="C3090" s="216"/>
      <c r="D3090" s="216"/>
      <c r="E3090" s="216"/>
      <c r="F3090" s="216"/>
      <c r="G3090" s="435"/>
      <c r="H3090" s="216"/>
      <c r="I3090" s="435"/>
    </row>
    <row r="3091" spans="1:9" ht="12.75">
      <c r="A3091" s="669"/>
      <c r="B3091" s="670"/>
      <c r="C3091" s="216"/>
      <c r="D3091" s="216"/>
      <c r="E3091" s="216"/>
      <c r="F3091" s="216"/>
      <c r="G3091" s="435"/>
      <c r="H3091" s="216"/>
      <c r="I3091" s="435"/>
    </row>
    <row r="3092" spans="1:9" ht="12.75">
      <c r="A3092" s="669"/>
      <c r="B3092" s="670"/>
      <c r="C3092" s="216"/>
      <c r="D3092" s="216"/>
      <c r="E3092" s="216"/>
      <c r="F3092" s="216"/>
      <c r="G3092" s="435"/>
      <c r="H3092" s="216"/>
      <c r="I3092" s="435"/>
    </row>
    <row r="3093" spans="1:9" ht="12.75">
      <c r="A3093" s="669"/>
      <c r="B3093" s="670"/>
      <c r="C3093" s="216"/>
      <c r="D3093" s="216"/>
      <c r="E3093" s="216"/>
      <c r="F3093" s="216"/>
      <c r="G3093" s="435"/>
      <c r="H3093" s="216"/>
      <c r="I3093" s="435"/>
    </row>
    <row r="3094" spans="1:9" ht="12.75">
      <c r="A3094" s="669"/>
      <c r="B3094" s="670"/>
      <c r="C3094" s="216"/>
      <c r="D3094" s="216"/>
      <c r="E3094" s="216"/>
      <c r="F3094" s="216"/>
      <c r="G3094" s="435"/>
      <c r="H3094" s="216"/>
      <c r="I3094" s="435"/>
    </row>
    <row r="3095" spans="1:9" ht="12.75">
      <c r="A3095" s="669"/>
      <c r="B3095" s="670"/>
      <c r="C3095" s="216"/>
      <c r="D3095" s="216"/>
      <c r="E3095" s="216"/>
      <c r="F3095" s="216"/>
      <c r="G3095" s="435"/>
      <c r="H3095" s="216"/>
      <c r="I3095" s="435"/>
    </row>
    <row r="3096" spans="1:9" ht="12.75">
      <c r="A3096" s="669"/>
      <c r="B3096" s="670"/>
      <c r="C3096" s="216"/>
      <c r="D3096" s="216"/>
      <c r="E3096" s="216"/>
      <c r="F3096" s="216"/>
      <c r="G3096" s="435"/>
      <c r="H3096" s="216"/>
      <c r="I3096" s="435"/>
    </row>
    <row r="3097" spans="1:9" ht="12.75">
      <c r="A3097" s="669"/>
      <c r="B3097" s="670"/>
      <c r="C3097" s="216"/>
      <c r="D3097" s="216"/>
      <c r="E3097" s="216"/>
      <c r="F3097" s="216"/>
      <c r="G3097" s="435"/>
      <c r="H3097" s="216"/>
      <c r="I3097" s="435"/>
    </row>
    <row r="3098" spans="1:9" ht="12.75">
      <c r="A3098" s="669"/>
      <c r="B3098" s="670"/>
      <c r="C3098" s="216"/>
      <c r="D3098" s="216"/>
      <c r="E3098" s="216"/>
      <c r="F3098" s="216"/>
      <c r="G3098" s="435"/>
      <c r="H3098" s="216"/>
      <c r="I3098" s="435"/>
    </row>
    <row r="3099" spans="1:9" ht="12.75">
      <c r="A3099" s="669"/>
      <c r="B3099" s="670"/>
      <c r="C3099" s="216"/>
      <c r="D3099" s="216"/>
      <c r="E3099" s="216"/>
      <c r="F3099" s="216"/>
      <c r="G3099" s="435"/>
      <c r="H3099" s="216"/>
      <c r="I3099" s="435"/>
    </row>
    <row r="3100" spans="1:9" ht="12.75">
      <c r="A3100" s="669"/>
      <c r="B3100" s="670"/>
      <c r="C3100" s="216"/>
      <c r="D3100" s="216"/>
      <c r="E3100" s="216"/>
      <c r="F3100" s="216"/>
      <c r="G3100" s="435"/>
      <c r="H3100" s="216"/>
      <c r="I3100" s="435"/>
    </row>
    <row r="3101" spans="1:9" ht="12.75">
      <c r="A3101" s="669"/>
      <c r="B3101" s="670"/>
      <c r="C3101" s="216"/>
      <c r="D3101" s="216"/>
      <c r="E3101" s="216"/>
      <c r="F3101" s="216"/>
      <c r="G3101" s="435"/>
      <c r="H3101" s="216"/>
      <c r="I3101" s="435"/>
    </row>
    <row r="3102" spans="1:9" ht="12.75">
      <c r="A3102" s="669"/>
      <c r="B3102" s="670"/>
      <c r="C3102" s="216"/>
      <c r="D3102" s="216"/>
      <c r="E3102" s="216"/>
      <c r="F3102" s="216"/>
      <c r="G3102" s="435"/>
      <c r="H3102" s="216"/>
      <c r="I3102" s="435"/>
    </row>
    <row r="3103" spans="1:9" ht="12.75">
      <c r="A3103" s="669"/>
      <c r="B3103" s="670"/>
      <c r="C3103" s="216"/>
      <c r="D3103" s="216"/>
      <c r="E3103" s="216"/>
      <c r="F3103" s="216"/>
      <c r="G3103" s="435"/>
      <c r="H3103" s="216"/>
      <c r="I3103" s="435"/>
    </row>
    <row r="3104" spans="1:9" ht="12.75">
      <c r="A3104" s="669"/>
      <c r="B3104" s="670"/>
      <c r="C3104" s="216"/>
      <c r="D3104" s="216"/>
      <c r="E3104" s="216"/>
      <c r="F3104" s="216"/>
      <c r="G3104" s="435"/>
      <c r="H3104" s="216"/>
      <c r="I3104" s="435"/>
    </row>
    <row r="3105" spans="1:9" ht="12.75">
      <c r="A3105" s="669"/>
      <c r="B3105" s="670"/>
      <c r="C3105" s="216"/>
      <c r="D3105" s="216"/>
      <c r="E3105" s="216"/>
      <c r="F3105" s="216"/>
      <c r="G3105" s="435"/>
      <c r="H3105" s="216"/>
      <c r="I3105" s="435"/>
    </row>
    <row r="3106" spans="1:9" ht="12.75">
      <c r="A3106" s="669"/>
      <c r="B3106" s="670"/>
      <c r="C3106" s="216"/>
      <c r="D3106" s="216"/>
      <c r="E3106" s="216"/>
      <c r="F3106" s="216"/>
      <c r="G3106" s="435"/>
      <c r="H3106" s="216"/>
      <c r="I3106" s="435"/>
    </row>
    <row r="3107" spans="1:9" ht="12.75">
      <c r="A3107" s="669"/>
      <c r="B3107" s="670"/>
      <c r="C3107" s="216"/>
      <c r="D3107" s="216"/>
      <c r="E3107" s="216"/>
      <c r="F3107" s="216"/>
      <c r="G3107" s="435"/>
      <c r="H3107" s="216"/>
      <c r="I3107" s="435"/>
    </row>
    <row r="3108" spans="1:9" ht="12.75">
      <c r="A3108" s="669"/>
      <c r="B3108" s="670"/>
      <c r="C3108" s="216"/>
      <c r="D3108" s="216"/>
      <c r="E3108" s="216"/>
      <c r="F3108" s="216"/>
      <c r="G3108" s="435"/>
      <c r="H3108" s="216"/>
      <c r="I3108" s="435"/>
    </row>
    <row r="3109" spans="1:9" ht="12.75">
      <c r="A3109" s="669"/>
      <c r="B3109" s="670"/>
      <c r="C3109" s="216"/>
      <c r="D3109" s="216"/>
      <c r="E3109" s="216"/>
      <c r="F3109" s="216"/>
      <c r="G3109" s="435"/>
      <c r="H3109" s="216"/>
      <c r="I3109" s="435"/>
    </row>
    <row r="3110" spans="1:9" ht="12.75">
      <c r="A3110" s="669"/>
      <c r="B3110" s="670"/>
      <c r="C3110" s="216"/>
      <c r="D3110" s="216"/>
      <c r="E3110" s="216"/>
      <c r="F3110" s="216"/>
      <c r="G3110" s="435"/>
      <c r="H3110" s="216"/>
      <c r="I3110" s="435"/>
    </row>
    <row r="3111" spans="1:9" ht="12.75">
      <c r="A3111" s="669"/>
      <c r="B3111" s="670"/>
      <c r="C3111" s="216"/>
      <c r="D3111" s="216"/>
      <c r="E3111" s="216"/>
      <c r="F3111" s="216"/>
      <c r="G3111" s="435"/>
      <c r="H3111" s="216"/>
      <c r="I3111" s="435"/>
    </row>
    <row r="3112" spans="1:9" ht="12.75">
      <c r="A3112" s="669"/>
      <c r="B3112" s="670"/>
      <c r="C3112" s="216"/>
      <c r="D3112" s="216"/>
      <c r="E3112" s="216"/>
      <c r="F3112" s="216"/>
      <c r="G3112" s="435"/>
      <c r="H3112" s="216"/>
      <c r="I3112" s="435"/>
    </row>
    <row r="3113" spans="1:9" ht="12.75">
      <c r="A3113" s="669"/>
      <c r="B3113" s="670"/>
      <c r="C3113" s="216"/>
      <c r="D3113" s="216"/>
      <c r="E3113" s="216"/>
      <c r="F3113" s="216"/>
      <c r="G3113" s="435"/>
      <c r="H3113" s="216"/>
      <c r="I3113" s="435"/>
    </row>
  </sheetData>
  <printOptions horizontalCentered="1"/>
  <pageMargins left="0.2362204724409449" right="0.2362204724409449" top="0.45" bottom="0.33" header="0.29" footer="0.28"/>
  <pageSetup horizontalDpi="600" verticalDpi="600" orientation="portrait" paperSize="9" scale="90" r:id="rId1"/>
  <headerFooter alignWithMargins="0">
    <oddHeader>&amp;C&amp;"Times New Roman CE,Normalny" &amp;P</oddHeader>
  </headerFooter>
  <ignoredErrors>
    <ignoredError sqref="F9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J35"/>
  <sheetViews>
    <sheetView workbookViewId="0" topLeftCell="A22">
      <selection activeCell="A35" sqref="A35"/>
    </sheetView>
  </sheetViews>
  <sheetFormatPr defaultColWidth="9.00390625" defaultRowHeight="12.75"/>
  <cols>
    <col min="1" max="1" width="4.125" style="1" customWidth="1"/>
    <col min="2" max="2" width="29.625" style="1" customWidth="1"/>
    <col min="3" max="3" width="13.00390625" style="1" customWidth="1"/>
    <col min="4" max="4" width="13.25390625" style="1" customWidth="1"/>
    <col min="5" max="5" width="9.625" style="1" customWidth="1"/>
    <col min="6" max="6" width="11.875" style="1" hidden="1" customWidth="1"/>
    <col min="7" max="7" width="8.875" style="1" customWidth="1"/>
    <col min="8" max="8" width="10.875" style="1" customWidth="1"/>
    <col min="9" max="9" width="9.625" style="1" customWidth="1"/>
    <col min="10" max="10" width="11.125" style="1" customWidth="1"/>
    <col min="11" max="11" width="9.75390625" style="1" customWidth="1"/>
    <col min="12" max="12" width="9.00390625" style="1" customWidth="1"/>
    <col min="13" max="13" width="8.375" style="1" customWidth="1"/>
    <col min="14" max="14" width="9.875" style="1" customWidth="1"/>
    <col min="15" max="16384" width="10.00390625" style="1" customWidth="1"/>
  </cols>
  <sheetData>
    <row r="1" spans="11:13" ht="11.25" customHeight="1">
      <c r="K1" s="88"/>
      <c r="L1" s="68" t="s">
        <v>404</v>
      </c>
      <c r="M1" s="672"/>
    </row>
    <row r="2" spans="11:13" ht="11.25" customHeight="1">
      <c r="K2" s="4"/>
      <c r="L2" s="215" t="s">
        <v>746</v>
      </c>
      <c r="M2" s="672"/>
    </row>
    <row r="3" spans="11:244" ht="11.25" customHeight="1">
      <c r="K3" s="4"/>
      <c r="L3" s="4" t="s">
        <v>747</v>
      </c>
      <c r="M3" s="67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673" t="s">
        <v>405</v>
      </c>
      <c r="K4" s="4"/>
      <c r="L4" s="4"/>
      <c r="M4" s="672"/>
      <c r="N4" s="1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674" t="s">
        <v>406</v>
      </c>
      <c r="B5" s="675"/>
      <c r="C5" s="675"/>
      <c r="D5" s="676"/>
      <c r="E5" s="677"/>
      <c r="F5" s="677"/>
      <c r="G5" s="677"/>
      <c r="H5" s="677"/>
      <c r="I5" s="677"/>
      <c r="J5" s="677"/>
      <c r="K5" s="676"/>
      <c r="L5" s="676"/>
      <c r="M5" s="676"/>
      <c r="N5" s="16" t="s">
        <v>121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223" t="s">
        <v>525</v>
      </c>
      <c r="B6" s="675"/>
      <c r="C6" s="675"/>
      <c r="D6" s="676"/>
      <c r="E6" s="677"/>
      <c r="F6" s="677"/>
      <c r="G6" s="677"/>
      <c r="H6" s="677"/>
      <c r="I6" s="677"/>
      <c r="J6" s="677"/>
      <c r="K6" s="676"/>
      <c r="L6" s="676"/>
      <c r="M6" s="676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22" customFormat="1" ht="18" customHeight="1" thickBot="1" thickTop="1">
      <c r="A7" s="2490" t="s">
        <v>122</v>
      </c>
      <c r="B7" s="2506" t="s">
        <v>123</v>
      </c>
      <c r="C7" s="2509" t="s">
        <v>407</v>
      </c>
      <c r="D7" s="678" t="s">
        <v>186</v>
      </c>
      <c r="E7" s="678"/>
      <c r="F7" s="679"/>
      <c r="G7" s="679"/>
      <c r="H7" s="679"/>
      <c r="I7" s="680"/>
      <c r="J7" s="681" t="s">
        <v>187</v>
      </c>
      <c r="K7" s="679"/>
      <c r="L7" s="679"/>
      <c r="M7" s="679"/>
      <c r="N7" s="682"/>
    </row>
    <row r="8" spans="1:14" s="22" customFormat="1" ht="12.75" customHeight="1" thickTop="1">
      <c r="A8" s="2504"/>
      <c r="B8" s="2507"/>
      <c r="C8" s="2510"/>
      <c r="D8" s="2496" t="s">
        <v>126</v>
      </c>
      <c r="E8" s="2498" t="s">
        <v>127</v>
      </c>
      <c r="F8" s="683"/>
      <c r="G8" s="684" t="s">
        <v>128</v>
      </c>
      <c r="H8" s="2498" t="s">
        <v>129</v>
      </c>
      <c r="I8" s="2488" t="s">
        <v>130</v>
      </c>
      <c r="J8" s="2496" t="s">
        <v>126</v>
      </c>
      <c r="K8" s="2498" t="s">
        <v>127</v>
      </c>
      <c r="L8" s="685" t="s">
        <v>128</v>
      </c>
      <c r="M8" s="2498" t="s">
        <v>129</v>
      </c>
      <c r="N8" s="2488" t="s">
        <v>130</v>
      </c>
    </row>
    <row r="9" spans="1:14" s="22" customFormat="1" ht="42.75" customHeight="1" thickBot="1">
      <c r="A9" s="2505"/>
      <c r="B9" s="2508"/>
      <c r="C9" s="2511"/>
      <c r="D9" s="2497"/>
      <c r="E9" s="2499"/>
      <c r="F9" s="686" t="s">
        <v>131</v>
      </c>
      <c r="G9" s="30" t="s">
        <v>131</v>
      </c>
      <c r="H9" s="2495"/>
      <c r="I9" s="2489"/>
      <c r="J9" s="2497"/>
      <c r="K9" s="2499"/>
      <c r="L9" s="687" t="s">
        <v>131</v>
      </c>
      <c r="M9" s="2495"/>
      <c r="N9" s="2489"/>
    </row>
    <row r="10" spans="1:14" s="31" customFormat="1" ht="11.25" customHeight="1" thickBot="1" thickTop="1">
      <c r="A10" s="688">
        <v>1</v>
      </c>
      <c r="B10" s="689">
        <v>2</v>
      </c>
      <c r="C10" s="690">
        <v>3</v>
      </c>
      <c r="D10" s="689">
        <v>4</v>
      </c>
      <c r="E10" s="691">
        <v>5</v>
      </c>
      <c r="F10" s="692">
        <v>6</v>
      </c>
      <c r="G10" s="693">
        <v>6</v>
      </c>
      <c r="H10" s="694">
        <v>7</v>
      </c>
      <c r="I10" s="695">
        <v>8</v>
      </c>
      <c r="J10" s="689">
        <v>9</v>
      </c>
      <c r="K10" s="691">
        <v>10</v>
      </c>
      <c r="L10" s="696">
        <v>11</v>
      </c>
      <c r="M10" s="689">
        <v>12</v>
      </c>
      <c r="N10" s="697">
        <v>13</v>
      </c>
    </row>
    <row r="11" spans="1:14" s="46" customFormat="1" ht="17.25" customHeight="1" thickTop="1">
      <c r="A11" s="698" t="s">
        <v>132</v>
      </c>
      <c r="B11" s="699" t="s">
        <v>133</v>
      </c>
      <c r="C11" s="2118">
        <f>D11+J11</f>
        <v>27687.83</v>
      </c>
      <c r="D11" s="2119">
        <f aca="true" t="shared" si="0" ref="D11:D17">E11+H11+I11</f>
        <v>27687.83</v>
      </c>
      <c r="E11" s="2120">
        <v>13915</v>
      </c>
      <c r="F11" s="2121"/>
      <c r="G11" s="2122"/>
      <c r="H11" s="2123">
        <v>13772.83</v>
      </c>
      <c r="I11" s="2124"/>
      <c r="J11" s="701"/>
      <c r="K11" s="702"/>
      <c r="L11" s="707"/>
      <c r="M11" s="708"/>
      <c r="N11" s="706"/>
    </row>
    <row r="12" spans="1:14" s="46" customFormat="1" ht="12.75" customHeight="1">
      <c r="A12" s="698">
        <v>500</v>
      </c>
      <c r="B12" s="699" t="s">
        <v>134</v>
      </c>
      <c r="C12" s="700">
        <f aca="true" t="shared" si="1" ref="C12:C31">D12+J12</f>
        <v>194000</v>
      </c>
      <c r="D12" s="701">
        <f t="shared" si="0"/>
        <v>194000</v>
      </c>
      <c r="E12" s="702">
        <v>194000</v>
      </c>
      <c r="F12" s="703"/>
      <c r="G12" s="704"/>
      <c r="H12" s="705"/>
      <c r="I12" s="706"/>
      <c r="J12" s="701"/>
      <c r="K12" s="702"/>
      <c r="L12" s="707"/>
      <c r="M12" s="708"/>
      <c r="N12" s="706"/>
    </row>
    <row r="13" spans="1:14" s="46" customFormat="1" ht="15" customHeight="1">
      <c r="A13" s="698" t="s">
        <v>135</v>
      </c>
      <c r="B13" s="699" t="s">
        <v>136</v>
      </c>
      <c r="C13" s="700">
        <f t="shared" si="1"/>
        <v>51949920</v>
      </c>
      <c r="D13" s="701">
        <f t="shared" si="0"/>
        <v>28563920</v>
      </c>
      <c r="E13" s="702">
        <v>28563920</v>
      </c>
      <c r="F13" s="709"/>
      <c r="G13" s="704"/>
      <c r="H13" s="705"/>
      <c r="I13" s="706"/>
      <c r="J13" s="701">
        <f aca="true" t="shared" si="2" ref="J13:J30">K13+M13+N13</f>
        <v>23386000</v>
      </c>
      <c r="K13" s="702">
        <v>23386000</v>
      </c>
      <c r="L13" s="707"/>
      <c r="M13" s="708"/>
      <c r="N13" s="706"/>
    </row>
    <row r="14" spans="1:244" ht="15" customHeight="1">
      <c r="A14" s="698" t="s">
        <v>137</v>
      </c>
      <c r="B14" s="699" t="s">
        <v>138</v>
      </c>
      <c r="C14" s="700">
        <f t="shared" si="1"/>
        <v>64000</v>
      </c>
      <c r="D14" s="701">
        <f t="shared" si="0"/>
        <v>64000</v>
      </c>
      <c r="E14" s="702">
        <v>64000</v>
      </c>
      <c r="F14" s="709"/>
      <c r="G14" s="704"/>
      <c r="H14" s="705"/>
      <c r="I14" s="706"/>
      <c r="J14" s="701"/>
      <c r="K14" s="702"/>
      <c r="L14" s="707"/>
      <c r="M14" s="708"/>
      <c r="N14" s="70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14" s="46" customFormat="1" ht="17.25" customHeight="1">
      <c r="A15" s="698" t="s">
        <v>139</v>
      </c>
      <c r="B15" s="699" t="s">
        <v>140</v>
      </c>
      <c r="C15" s="700">
        <f t="shared" si="1"/>
        <v>22924815</v>
      </c>
      <c r="D15" s="701">
        <f t="shared" si="0"/>
        <v>22885815</v>
      </c>
      <c r="E15" s="702">
        <v>22885815</v>
      </c>
      <c r="F15" s="709"/>
      <c r="G15" s="704"/>
      <c r="H15" s="705"/>
      <c r="I15" s="706"/>
      <c r="J15" s="701">
        <f t="shared" si="2"/>
        <v>39000</v>
      </c>
      <c r="K15" s="702"/>
      <c r="L15" s="707"/>
      <c r="M15" s="708">
        <f>43500-4500</f>
        <v>39000</v>
      </c>
      <c r="N15" s="706"/>
    </row>
    <row r="16" spans="1:14" s="46" customFormat="1" ht="18" customHeight="1">
      <c r="A16" s="698" t="s">
        <v>141</v>
      </c>
      <c r="B16" s="699" t="s">
        <v>142</v>
      </c>
      <c r="C16" s="700">
        <f>D16+J16</f>
        <v>3764966</v>
      </c>
      <c r="D16" s="701">
        <f t="shared" si="0"/>
        <v>3137300</v>
      </c>
      <c r="E16" s="702">
        <f>3149700-29000</f>
        <v>3120700</v>
      </c>
      <c r="F16" s="709"/>
      <c r="G16" s="704"/>
      <c r="H16" s="705"/>
      <c r="I16" s="706">
        <v>16600</v>
      </c>
      <c r="J16" s="701">
        <f t="shared" si="2"/>
        <v>627666</v>
      </c>
      <c r="K16" s="702">
        <v>200000</v>
      </c>
      <c r="L16" s="707"/>
      <c r="M16" s="708">
        <v>427666</v>
      </c>
      <c r="N16" s="706"/>
    </row>
    <row r="17" spans="1:14" s="46" customFormat="1" ht="17.25" customHeight="1">
      <c r="A17" s="698" t="s">
        <v>143</v>
      </c>
      <c r="B17" s="699" t="s">
        <v>144</v>
      </c>
      <c r="C17" s="700">
        <f>D17+J17</f>
        <v>34771508</v>
      </c>
      <c r="D17" s="701">
        <f t="shared" si="0"/>
        <v>31299876</v>
      </c>
      <c r="E17" s="702">
        <v>30541976</v>
      </c>
      <c r="F17" s="709"/>
      <c r="G17" s="704"/>
      <c r="H17" s="705">
        <v>757900</v>
      </c>
      <c r="I17" s="706"/>
      <c r="J17" s="701">
        <f t="shared" si="2"/>
        <v>3471632</v>
      </c>
      <c r="K17" s="702">
        <v>3192000</v>
      </c>
      <c r="L17" s="707">
        <v>15000</v>
      </c>
      <c r="M17" s="708">
        <f>275200-2</f>
        <v>275198</v>
      </c>
      <c r="N17" s="706">
        <f>5500-1066</f>
        <v>4434</v>
      </c>
    </row>
    <row r="18" spans="1:14" s="46" customFormat="1" ht="35.25" customHeight="1">
      <c r="A18" s="698" t="s">
        <v>145</v>
      </c>
      <c r="B18" s="710" t="s">
        <v>146</v>
      </c>
      <c r="C18" s="700">
        <f>D18+J18</f>
        <v>132897</v>
      </c>
      <c r="D18" s="701">
        <f>E18+H18+I18</f>
        <v>132897</v>
      </c>
      <c r="E18" s="702"/>
      <c r="F18" s="709"/>
      <c r="G18" s="704"/>
      <c r="H18" s="705">
        <v>132897</v>
      </c>
      <c r="I18" s="706"/>
      <c r="J18" s="701"/>
      <c r="K18" s="702"/>
      <c r="L18" s="707"/>
      <c r="M18" s="708"/>
      <c r="N18" s="706"/>
    </row>
    <row r="19" spans="1:14" s="46" customFormat="1" ht="24" customHeight="1">
      <c r="A19" s="711" t="s">
        <v>147</v>
      </c>
      <c r="B19" s="712" t="s">
        <v>148</v>
      </c>
      <c r="C19" s="713">
        <f t="shared" si="1"/>
        <v>10092446</v>
      </c>
      <c r="D19" s="701">
        <f aca="true" t="shared" si="3" ref="D19:D31">E19+H19+I19</f>
        <v>189500</v>
      </c>
      <c r="E19" s="714">
        <v>179500</v>
      </c>
      <c r="F19" s="715"/>
      <c r="G19" s="65"/>
      <c r="H19" s="716">
        <v>10000</v>
      </c>
      <c r="I19" s="717"/>
      <c r="J19" s="701">
        <f t="shared" si="2"/>
        <v>9902946</v>
      </c>
      <c r="K19" s="714">
        <v>1278000</v>
      </c>
      <c r="L19" s="718"/>
      <c r="M19" s="719">
        <v>8573810</v>
      </c>
      <c r="N19" s="717">
        <v>51136</v>
      </c>
    </row>
    <row r="20" spans="1:14" s="46" customFormat="1" ht="54" customHeight="1">
      <c r="A20" s="698" t="s">
        <v>149</v>
      </c>
      <c r="B20" s="720" t="s">
        <v>150</v>
      </c>
      <c r="C20" s="721">
        <f t="shared" si="1"/>
        <v>674700</v>
      </c>
      <c r="D20" s="701">
        <f t="shared" si="3"/>
        <v>674700</v>
      </c>
      <c r="E20" s="702">
        <v>674700</v>
      </c>
      <c r="F20" s="709"/>
      <c r="G20" s="704"/>
      <c r="H20" s="705"/>
      <c r="I20" s="706"/>
      <c r="J20" s="701"/>
      <c r="K20" s="702"/>
      <c r="L20" s="707"/>
      <c r="M20" s="708"/>
      <c r="N20" s="706"/>
    </row>
    <row r="21" spans="1:14" s="46" customFormat="1" ht="17.25" customHeight="1">
      <c r="A21" s="698" t="s">
        <v>151</v>
      </c>
      <c r="B21" s="699" t="s">
        <v>152</v>
      </c>
      <c r="C21" s="700">
        <f t="shared" si="1"/>
        <v>4250000</v>
      </c>
      <c r="D21" s="701">
        <f t="shared" si="3"/>
        <v>4250000</v>
      </c>
      <c r="E21" s="702">
        <v>4250000</v>
      </c>
      <c r="F21" s="709"/>
      <c r="G21" s="704"/>
      <c r="H21" s="705"/>
      <c r="I21" s="706"/>
      <c r="J21" s="701"/>
      <c r="K21" s="702"/>
      <c r="L21" s="707"/>
      <c r="M21" s="708"/>
      <c r="N21" s="706"/>
    </row>
    <row r="22" spans="1:14" s="46" customFormat="1" ht="17.25" customHeight="1">
      <c r="A22" s="698" t="s">
        <v>153</v>
      </c>
      <c r="B22" s="699" t="s">
        <v>154</v>
      </c>
      <c r="C22" s="700">
        <f>D22+J22</f>
        <v>6518729</v>
      </c>
      <c r="D22" s="701">
        <f t="shared" si="3"/>
        <v>2120283</v>
      </c>
      <c r="E22" s="702">
        <v>2120283</v>
      </c>
      <c r="F22" s="709"/>
      <c r="G22" s="704"/>
      <c r="H22" s="705"/>
      <c r="I22" s="706"/>
      <c r="J22" s="701">
        <f t="shared" si="2"/>
        <v>4398446</v>
      </c>
      <c r="K22" s="702">
        <v>4398446</v>
      </c>
      <c r="L22" s="707"/>
      <c r="M22" s="708"/>
      <c r="N22" s="706"/>
    </row>
    <row r="23" spans="1:14" s="46" customFormat="1" ht="15" customHeight="1">
      <c r="A23" s="698" t="s">
        <v>155</v>
      </c>
      <c r="B23" s="699" t="s">
        <v>156</v>
      </c>
      <c r="C23" s="700">
        <f t="shared" si="1"/>
        <v>142199073</v>
      </c>
      <c r="D23" s="701">
        <f t="shared" si="3"/>
        <v>83232948</v>
      </c>
      <c r="E23" s="702">
        <v>82950448</v>
      </c>
      <c r="F23" s="709"/>
      <c r="G23" s="704"/>
      <c r="H23" s="705"/>
      <c r="I23" s="706">
        <v>282500</v>
      </c>
      <c r="J23" s="701">
        <f t="shared" si="2"/>
        <v>58966125</v>
      </c>
      <c r="K23" s="702">
        <v>58966125</v>
      </c>
      <c r="L23" s="707"/>
      <c r="M23" s="708"/>
      <c r="N23" s="706"/>
    </row>
    <row r="24" spans="1:14" s="46" customFormat="1" ht="16.5" customHeight="1">
      <c r="A24" s="698" t="s">
        <v>157</v>
      </c>
      <c r="B24" s="699" t="s">
        <v>158</v>
      </c>
      <c r="C24" s="700">
        <f t="shared" si="1"/>
        <v>730000</v>
      </c>
      <c r="D24" s="701">
        <f t="shared" si="3"/>
        <v>730000</v>
      </c>
      <c r="E24" s="702">
        <v>730000</v>
      </c>
      <c r="F24" s="709"/>
      <c r="G24" s="704"/>
      <c r="H24" s="705"/>
      <c r="I24" s="706"/>
      <c r="J24" s="701"/>
      <c r="K24" s="702"/>
      <c r="L24" s="707"/>
      <c r="M24" s="708"/>
      <c r="N24" s="706"/>
    </row>
    <row r="25" spans="1:14" s="46" customFormat="1" ht="18" customHeight="1">
      <c r="A25" s="698" t="s">
        <v>159</v>
      </c>
      <c r="B25" s="699" t="s">
        <v>160</v>
      </c>
      <c r="C25" s="700">
        <f t="shared" si="1"/>
        <v>4200531</v>
      </c>
      <c r="D25" s="701">
        <f t="shared" si="3"/>
        <v>4190631</v>
      </c>
      <c r="E25" s="702">
        <v>4190631</v>
      </c>
      <c r="F25" s="709"/>
      <c r="G25" s="704"/>
      <c r="H25" s="705"/>
      <c r="I25" s="706"/>
      <c r="J25" s="701">
        <f t="shared" si="2"/>
        <v>9900</v>
      </c>
      <c r="K25" s="702"/>
      <c r="L25" s="707"/>
      <c r="M25" s="708">
        <v>9900</v>
      </c>
      <c r="N25" s="706"/>
    </row>
    <row r="26" spans="1:14" s="46" customFormat="1" ht="15" customHeight="1">
      <c r="A26" s="698" t="s">
        <v>161</v>
      </c>
      <c r="B26" s="699" t="s">
        <v>162</v>
      </c>
      <c r="C26" s="700">
        <f t="shared" si="1"/>
        <v>44992449</v>
      </c>
      <c r="D26" s="701">
        <f t="shared" si="3"/>
        <v>39037840</v>
      </c>
      <c r="E26" s="702">
        <v>20117401</v>
      </c>
      <c r="F26" s="709"/>
      <c r="G26" s="704"/>
      <c r="H26" s="705">
        <v>18920439</v>
      </c>
      <c r="I26" s="706"/>
      <c r="J26" s="701">
        <f t="shared" si="2"/>
        <v>5954609</v>
      </c>
      <c r="K26" s="702">
        <v>5938109</v>
      </c>
      <c r="L26" s="707">
        <v>594800</v>
      </c>
      <c r="M26" s="708">
        <v>16500</v>
      </c>
      <c r="N26" s="706"/>
    </row>
    <row r="27" spans="1:14" s="46" customFormat="1" ht="25.5" customHeight="1">
      <c r="A27" s="698" t="s">
        <v>163</v>
      </c>
      <c r="B27" s="710" t="s">
        <v>164</v>
      </c>
      <c r="C27" s="700">
        <f t="shared" si="1"/>
        <v>7150033</v>
      </c>
      <c r="D27" s="701">
        <f t="shared" si="3"/>
        <v>4347234</v>
      </c>
      <c r="E27" s="702">
        <v>4347234</v>
      </c>
      <c r="F27" s="709"/>
      <c r="G27" s="704"/>
      <c r="H27" s="705"/>
      <c r="I27" s="706"/>
      <c r="J27" s="701">
        <f t="shared" si="2"/>
        <v>2802799</v>
      </c>
      <c r="K27" s="702">
        <f>891219+1785580</f>
        <v>2676799</v>
      </c>
      <c r="L27" s="707">
        <v>1880967</v>
      </c>
      <c r="M27" s="708">
        <v>126000</v>
      </c>
      <c r="N27" s="706"/>
    </row>
    <row r="28" spans="1:14" s="46" customFormat="1" ht="15" customHeight="1">
      <c r="A28" s="698" t="s">
        <v>165</v>
      </c>
      <c r="B28" s="710" t="s">
        <v>166</v>
      </c>
      <c r="C28" s="700">
        <f t="shared" si="1"/>
        <v>13575039</v>
      </c>
      <c r="D28" s="701">
        <f t="shared" si="3"/>
        <v>2569093</v>
      </c>
      <c r="E28" s="702">
        <v>2569093</v>
      </c>
      <c r="F28" s="709"/>
      <c r="G28" s="704"/>
      <c r="H28" s="705"/>
      <c r="I28" s="706"/>
      <c r="J28" s="701">
        <f t="shared" si="2"/>
        <v>11005946</v>
      </c>
      <c r="K28" s="702">
        <v>11005946</v>
      </c>
      <c r="L28" s="707"/>
      <c r="M28" s="708"/>
      <c r="N28" s="706"/>
    </row>
    <row r="29" spans="1:14" s="46" customFormat="1" ht="25.5" customHeight="1">
      <c r="A29" s="698" t="s">
        <v>167</v>
      </c>
      <c r="B29" s="710" t="s">
        <v>170</v>
      </c>
      <c r="C29" s="700">
        <f t="shared" si="1"/>
        <v>27310800</v>
      </c>
      <c r="D29" s="701">
        <f t="shared" si="3"/>
        <v>21721360</v>
      </c>
      <c r="E29" s="702">
        <v>21721360</v>
      </c>
      <c r="F29" s="709"/>
      <c r="G29" s="704"/>
      <c r="H29" s="705"/>
      <c r="I29" s="706"/>
      <c r="J29" s="701">
        <f t="shared" si="2"/>
        <v>5589440</v>
      </c>
      <c r="K29" s="702">
        <v>5589440</v>
      </c>
      <c r="L29" s="707"/>
      <c r="M29" s="708"/>
      <c r="N29" s="706"/>
    </row>
    <row r="30" spans="1:14" s="46" customFormat="1" ht="22.5" customHeight="1">
      <c r="A30" s="698" t="s">
        <v>171</v>
      </c>
      <c r="B30" s="710" t="s">
        <v>172</v>
      </c>
      <c r="C30" s="700">
        <f t="shared" si="1"/>
        <v>20881841</v>
      </c>
      <c r="D30" s="701">
        <f t="shared" si="3"/>
        <v>7543441</v>
      </c>
      <c r="E30" s="702">
        <v>7538441</v>
      </c>
      <c r="F30" s="709"/>
      <c r="G30" s="704"/>
      <c r="H30" s="705"/>
      <c r="I30" s="706">
        <v>5000</v>
      </c>
      <c r="J30" s="701">
        <f t="shared" si="2"/>
        <v>13338400</v>
      </c>
      <c r="K30" s="702">
        <v>13270400</v>
      </c>
      <c r="L30" s="707">
        <v>40000</v>
      </c>
      <c r="M30" s="708"/>
      <c r="N30" s="706">
        <v>68000</v>
      </c>
    </row>
    <row r="31" spans="1:14" s="46" customFormat="1" ht="16.5" customHeight="1" thickBot="1">
      <c r="A31" s="722" t="s">
        <v>173</v>
      </c>
      <c r="B31" s="710" t="s">
        <v>174</v>
      </c>
      <c r="C31" s="700">
        <f t="shared" si="1"/>
        <v>19967830</v>
      </c>
      <c r="D31" s="701">
        <f t="shared" si="3"/>
        <v>19967830</v>
      </c>
      <c r="E31" s="723">
        <v>19967830</v>
      </c>
      <c r="F31" s="709"/>
      <c r="G31" s="704"/>
      <c r="H31" s="705"/>
      <c r="I31" s="706"/>
      <c r="J31" s="701"/>
      <c r="K31" s="702"/>
      <c r="L31" s="707"/>
      <c r="M31" s="708"/>
      <c r="N31" s="706"/>
    </row>
    <row r="32" spans="1:14" s="60" customFormat="1" ht="18.75" customHeight="1" thickBot="1" thickTop="1">
      <c r="A32" s="724"/>
      <c r="B32" s="725" t="s">
        <v>126</v>
      </c>
      <c r="C32" s="2125">
        <f aca="true" t="shared" si="4" ref="C32:N32">SUM(C11:C31)</f>
        <v>416373264.83</v>
      </c>
      <c r="D32" s="2126">
        <f t="shared" si="4"/>
        <v>276880355.83</v>
      </c>
      <c r="E32" s="727">
        <f>SUM(E11:E31)</f>
        <v>256741247</v>
      </c>
      <c r="F32" s="728">
        <f t="shared" si="4"/>
        <v>0</v>
      </c>
      <c r="G32" s="729">
        <f t="shared" si="4"/>
        <v>0</v>
      </c>
      <c r="H32" s="2127">
        <f t="shared" si="4"/>
        <v>19835008.83</v>
      </c>
      <c r="I32" s="730">
        <f t="shared" si="4"/>
        <v>304100</v>
      </c>
      <c r="J32" s="726">
        <f t="shared" si="4"/>
        <v>139492909</v>
      </c>
      <c r="K32" s="727">
        <f t="shared" si="4"/>
        <v>129901265</v>
      </c>
      <c r="L32" s="731">
        <f>SUM(L11:L31)</f>
        <v>2530767</v>
      </c>
      <c r="M32" s="732">
        <f>SUM(M11:M31)</f>
        <v>9468074</v>
      </c>
      <c r="N32" s="730">
        <f t="shared" si="4"/>
        <v>123570</v>
      </c>
    </row>
    <row r="33" ht="15.75" thickTop="1">
      <c r="A33" s="87" t="s">
        <v>423</v>
      </c>
    </row>
    <row r="34" ht="15">
      <c r="A34" s="87" t="s">
        <v>181</v>
      </c>
    </row>
    <row r="35" ht="15">
      <c r="A35" s="87" t="s">
        <v>40</v>
      </c>
    </row>
  </sheetData>
  <mergeCells count="11">
    <mergeCell ref="J8:J9"/>
    <mergeCell ref="K8:K9"/>
    <mergeCell ref="M8:M9"/>
    <mergeCell ref="N8:N9"/>
    <mergeCell ref="E8:E9"/>
    <mergeCell ref="H8:H9"/>
    <mergeCell ref="I8:I9"/>
    <mergeCell ref="A7:A9"/>
    <mergeCell ref="B7:B9"/>
    <mergeCell ref="C7:C9"/>
    <mergeCell ref="D8:D9"/>
  </mergeCells>
  <printOptions horizontalCentered="1"/>
  <pageMargins left="0.2" right="0.2" top="0.17" bottom="0.16" header="0.2" footer="0.16"/>
  <pageSetup horizontalDpi="600" verticalDpi="600" orientation="landscape" paperSize="9" scale="90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9">
      <selection activeCell="A31" sqref="A31"/>
    </sheetView>
  </sheetViews>
  <sheetFormatPr defaultColWidth="9.00390625" defaultRowHeight="12.75"/>
  <cols>
    <col min="1" max="1" width="6.25390625" style="733" customWidth="1"/>
    <col min="2" max="2" width="38.75390625" style="734" customWidth="1"/>
    <col min="3" max="3" width="12.00390625" style="735" hidden="1" customWidth="1"/>
    <col min="4" max="4" width="5.25390625" style="735" customWidth="1"/>
    <col min="5" max="5" width="16.125" style="735" customWidth="1"/>
    <col min="6" max="6" width="17.375" style="735" customWidth="1"/>
    <col min="7" max="16384" width="9.125" style="737" customWidth="1"/>
  </cols>
  <sheetData>
    <row r="1" ht="12.75">
      <c r="E1" s="736" t="s">
        <v>408</v>
      </c>
    </row>
    <row r="2" ht="12.75">
      <c r="E2" s="215" t="s">
        <v>755</v>
      </c>
    </row>
    <row r="3" ht="12.75">
      <c r="E3" s="4" t="s">
        <v>756</v>
      </c>
    </row>
    <row r="4" ht="12.75">
      <c r="E4" s="101"/>
    </row>
    <row r="5" ht="13.5" customHeight="1">
      <c r="E5" s="738"/>
    </row>
    <row r="6" ht="3" customHeight="1"/>
    <row r="7" spans="1:6" ht="60" customHeight="1">
      <c r="A7" s="739" t="s">
        <v>409</v>
      </c>
      <c r="B7" s="740"/>
      <c r="C7" s="740"/>
      <c r="D7" s="740"/>
      <c r="E7" s="740"/>
      <c r="F7" s="740"/>
    </row>
    <row r="8" spans="1:6" ht="15.75" customHeight="1">
      <c r="A8" s="223" t="s">
        <v>525</v>
      </c>
      <c r="B8" s="740"/>
      <c r="C8" s="740"/>
      <c r="D8" s="740"/>
      <c r="E8" s="740"/>
      <c r="F8" s="740"/>
    </row>
    <row r="9" spans="1:6" ht="12" customHeight="1" thickBot="1">
      <c r="A9" s="672"/>
      <c r="F9" s="735" t="s">
        <v>121</v>
      </c>
    </row>
    <row r="10" spans="1:6" ht="38.25" customHeight="1" thickTop="1">
      <c r="A10" s="741" t="s">
        <v>410</v>
      </c>
      <c r="B10" s="742" t="s">
        <v>123</v>
      </c>
      <c r="C10" s="743" t="s">
        <v>411</v>
      </c>
      <c r="D10" s="744" t="s">
        <v>412</v>
      </c>
      <c r="E10" s="745" t="s">
        <v>124</v>
      </c>
      <c r="F10" s="746" t="s">
        <v>125</v>
      </c>
    </row>
    <row r="11" spans="1:6" s="752" customFormat="1" ht="12" thickBot="1">
      <c r="A11" s="747">
        <v>1</v>
      </c>
      <c r="B11" s="748">
        <v>2</v>
      </c>
      <c r="C11" s="749">
        <v>3</v>
      </c>
      <c r="D11" s="750">
        <v>3</v>
      </c>
      <c r="E11" s="749">
        <v>4</v>
      </c>
      <c r="F11" s="751">
        <v>5</v>
      </c>
    </row>
    <row r="12" spans="1:6" s="146" customFormat="1" ht="24" customHeight="1" thickBot="1" thickTop="1">
      <c r="A12" s="2128" t="s">
        <v>132</v>
      </c>
      <c r="B12" s="2129" t="s">
        <v>133</v>
      </c>
      <c r="C12" s="2130"/>
      <c r="D12" s="2131"/>
      <c r="E12" s="2132">
        <f>E13</f>
        <v>13772.83</v>
      </c>
      <c r="F12" s="2133">
        <f>F13</f>
        <v>13772.83</v>
      </c>
    </row>
    <row r="13" spans="1:6" s="806" customFormat="1" ht="23.25" customHeight="1" thickBot="1" thickTop="1">
      <c r="A13" s="788" t="s">
        <v>267</v>
      </c>
      <c r="B13" s="1828" t="s">
        <v>268</v>
      </c>
      <c r="C13" s="2134"/>
      <c r="D13" s="2135">
        <v>2010</v>
      </c>
      <c r="E13" s="2136">
        <v>13772.83</v>
      </c>
      <c r="F13" s="2137">
        <v>13772.83</v>
      </c>
    </row>
    <row r="14" spans="1:6" s="759" customFormat="1" ht="24.75" customHeight="1" thickBot="1" thickTop="1">
      <c r="A14" s="753" t="s">
        <v>143</v>
      </c>
      <c r="B14" s="754" t="s">
        <v>144</v>
      </c>
      <c r="C14" s="755">
        <f>C15</f>
        <v>715400</v>
      </c>
      <c r="D14" s="756"/>
      <c r="E14" s="757">
        <f>E15</f>
        <v>757900</v>
      </c>
      <c r="F14" s="758">
        <f>F15</f>
        <v>757900</v>
      </c>
    </row>
    <row r="15" spans="1:6" s="766" customFormat="1" ht="24" customHeight="1" thickBot="1" thickTop="1">
      <c r="A15" s="760" t="s">
        <v>413</v>
      </c>
      <c r="B15" s="761" t="s">
        <v>414</v>
      </c>
      <c r="C15" s="762">
        <v>715400</v>
      </c>
      <c r="D15" s="763">
        <v>2010</v>
      </c>
      <c r="E15" s="764">
        <v>757900</v>
      </c>
      <c r="F15" s="765">
        <v>757900</v>
      </c>
    </row>
    <row r="16" spans="1:6" s="759" customFormat="1" ht="49.5" customHeight="1" thickBot="1" thickTop="1">
      <c r="A16" s="753" t="s">
        <v>145</v>
      </c>
      <c r="B16" s="754" t="s">
        <v>146</v>
      </c>
      <c r="C16" s="755">
        <f>C17</f>
        <v>715400</v>
      </c>
      <c r="D16" s="756"/>
      <c r="E16" s="757">
        <f>SUM(E17:E18)</f>
        <v>132897</v>
      </c>
      <c r="F16" s="758">
        <f>SUM(F17:F18)</f>
        <v>132897</v>
      </c>
    </row>
    <row r="17" spans="1:6" s="766" customFormat="1" ht="33.75" customHeight="1" thickTop="1">
      <c r="A17" s="776" t="s">
        <v>308</v>
      </c>
      <c r="B17" s="777" t="s">
        <v>415</v>
      </c>
      <c r="C17" s="778">
        <v>715400</v>
      </c>
      <c r="D17" s="779">
        <v>2010</v>
      </c>
      <c r="E17" s="1906">
        <v>17577</v>
      </c>
      <c r="F17" s="1907">
        <v>17577</v>
      </c>
    </row>
    <row r="18" spans="1:6" s="766" customFormat="1" ht="27" customHeight="1" thickBot="1">
      <c r="A18" s="835" t="s">
        <v>667</v>
      </c>
      <c r="B18" s="1908" t="s">
        <v>666</v>
      </c>
      <c r="C18" s="1909"/>
      <c r="D18" s="1910">
        <v>2010</v>
      </c>
      <c r="E18" s="1911">
        <v>115320</v>
      </c>
      <c r="F18" s="1912">
        <v>115320</v>
      </c>
    </row>
    <row r="19" spans="1:6" s="759" customFormat="1" ht="35.25" customHeight="1" thickBot="1" thickTop="1">
      <c r="A19" s="753" t="s">
        <v>147</v>
      </c>
      <c r="B19" s="754" t="s">
        <v>148</v>
      </c>
      <c r="C19" s="774">
        <f>C20</f>
        <v>6000</v>
      </c>
      <c r="D19" s="775"/>
      <c r="E19" s="757">
        <f>E20</f>
        <v>10000</v>
      </c>
      <c r="F19" s="758">
        <f>F20</f>
        <v>10000</v>
      </c>
    </row>
    <row r="20" spans="1:6" s="766" customFormat="1" ht="18.75" customHeight="1" thickBot="1" thickTop="1">
      <c r="A20" s="760" t="s">
        <v>416</v>
      </c>
      <c r="B20" s="761" t="s">
        <v>316</v>
      </c>
      <c r="C20" s="762">
        <v>6000</v>
      </c>
      <c r="D20" s="763">
        <v>2010</v>
      </c>
      <c r="E20" s="764">
        <v>10000</v>
      </c>
      <c r="F20" s="765">
        <v>10000</v>
      </c>
    </row>
    <row r="21" spans="1:6" s="759" customFormat="1" ht="24" customHeight="1" thickBot="1" thickTop="1">
      <c r="A21" s="753" t="s">
        <v>161</v>
      </c>
      <c r="B21" s="754" t="s">
        <v>245</v>
      </c>
      <c r="C21" s="774">
        <f>SUM(C22:C27)</f>
        <v>20397891</v>
      </c>
      <c r="D21" s="775"/>
      <c r="E21" s="757">
        <f>SUM(E22:E27)</f>
        <v>18920439</v>
      </c>
      <c r="F21" s="758">
        <f>SUM(F22:F27)</f>
        <v>18920439</v>
      </c>
    </row>
    <row r="22" spans="1:6" s="782" customFormat="1" ht="17.25" customHeight="1" thickTop="1">
      <c r="A22" s="776" t="s">
        <v>417</v>
      </c>
      <c r="B22" s="777" t="s">
        <v>353</v>
      </c>
      <c r="C22" s="778">
        <v>450000</v>
      </c>
      <c r="D22" s="779">
        <v>2010</v>
      </c>
      <c r="E22" s="780">
        <v>733000</v>
      </c>
      <c r="F22" s="781">
        <v>733000</v>
      </c>
    </row>
    <row r="23" spans="1:6" s="782" customFormat="1" ht="43.5" customHeight="1">
      <c r="A23" s="783">
        <v>85212</v>
      </c>
      <c r="B23" s="784" t="s">
        <v>419</v>
      </c>
      <c r="C23" s="785">
        <v>18427000</v>
      </c>
      <c r="D23" s="773">
        <v>2010</v>
      </c>
      <c r="E23" s="786">
        <v>16969000</v>
      </c>
      <c r="F23" s="787">
        <v>16969000</v>
      </c>
    </row>
    <row r="24" spans="1:6" s="782" customFormat="1" ht="44.25" customHeight="1">
      <c r="A24" s="788" t="s">
        <v>420</v>
      </c>
      <c r="B24" s="789" t="s">
        <v>421</v>
      </c>
      <c r="C24" s="785">
        <v>197000</v>
      </c>
      <c r="D24" s="773">
        <v>2010</v>
      </c>
      <c r="E24" s="786">
        <v>114348</v>
      </c>
      <c r="F24" s="787">
        <v>114348</v>
      </c>
    </row>
    <row r="25" spans="1:6" s="766" customFormat="1" ht="29.25" customHeight="1">
      <c r="A25" s="788" t="s">
        <v>422</v>
      </c>
      <c r="B25" s="789" t="s">
        <v>357</v>
      </c>
      <c r="C25" s="785">
        <v>1323891</v>
      </c>
      <c r="D25" s="773">
        <v>2010</v>
      </c>
      <c r="E25" s="786">
        <v>945271</v>
      </c>
      <c r="F25" s="787">
        <v>945271</v>
      </c>
    </row>
    <row r="26" spans="1:6" s="766" customFormat="1" ht="21.75" customHeight="1">
      <c r="A26" s="2439" t="s">
        <v>569</v>
      </c>
      <c r="B26" s="789" t="s">
        <v>361</v>
      </c>
      <c r="C26" s="785"/>
      <c r="D26" s="773">
        <v>2010</v>
      </c>
      <c r="E26" s="786">
        <v>9820</v>
      </c>
      <c r="F26" s="787">
        <v>9820</v>
      </c>
    </row>
    <row r="27" spans="1:6" s="796" customFormat="1" ht="29.25" customHeight="1" thickBot="1">
      <c r="A27" s="790">
        <v>85228</v>
      </c>
      <c r="B27" s="791" t="s">
        <v>365</v>
      </c>
      <c r="C27" s="792"/>
      <c r="D27" s="793">
        <v>2010</v>
      </c>
      <c r="E27" s="794">
        <v>149000</v>
      </c>
      <c r="F27" s="795">
        <v>149000</v>
      </c>
    </row>
    <row r="28" spans="1:6" s="803" customFormat="1" ht="19.5" customHeight="1" thickBot="1" thickTop="1">
      <c r="A28" s="797"/>
      <c r="B28" s="798" t="s">
        <v>126</v>
      </c>
      <c r="C28" s="799" t="e">
        <f>C14+C19+C21+#REF!+#REF!</f>
        <v>#REF!</v>
      </c>
      <c r="D28" s="800"/>
      <c r="E28" s="2138">
        <f>E12+E14+E16+E19+E21</f>
        <v>19835008.83</v>
      </c>
      <c r="F28" s="1771">
        <f>F12+F14+F16+F19+F21</f>
        <v>19835008.83</v>
      </c>
    </row>
    <row r="29" spans="1:6" s="806" customFormat="1" ht="13.5" thickTop="1">
      <c r="A29" s="87" t="s">
        <v>423</v>
      </c>
      <c r="B29" s="88"/>
      <c r="C29" s="804"/>
      <c r="D29" s="804"/>
      <c r="E29" s="805"/>
      <c r="F29" s="805"/>
    </row>
    <row r="30" spans="1:6" s="806" customFormat="1" ht="12.75">
      <c r="A30" s="87" t="s">
        <v>181</v>
      </c>
      <c r="B30" s="88"/>
      <c r="C30" s="804"/>
      <c r="D30" s="804"/>
      <c r="E30" s="805"/>
      <c r="F30" s="805"/>
    </row>
    <row r="31" spans="1:6" s="768" customFormat="1" ht="15">
      <c r="A31" s="87" t="s">
        <v>40</v>
      </c>
      <c r="B31" s="807"/>
      <c r="C31" s="808"/>
      <c r="D31" s="808"/>
      <c r="E31" s="809"/>
      <c r="F31" s="809"/>
    </row>
    <row r="32" spans="1:6" s="806" customFormat="1" ht="12.75">
      <c r="A32" s="811"/>
      <c r="B32" s="810"/>
      <c r="C32" s="804"/>
      <c r="D32" s="804"/>
      <c r="E32" s="805"/>
      <c r="F32" s="805"/>
    </row>
    <row r="33" spans="1:6" s="806" customFormat="1" ht="12.75">
      <c r="A33" s="811"/>
      <c r="B33" s="812"/>
      <c r="C33" s="804"/>
      <c r="D33" s="804"/>
      <c r="E33" s="805"/>
      <c r="F33" s="805"/>
    </row>
    <row r="34" spans="1:6" s="806" customFormat="1" ht="12.75">
      <c r="A34" s="811"/>
      <c r="B34" s="812"/>
      <c r="C34" s="804"/>
      <c r="D34" s="804"/>
      <c r="E34" s="805"/>
      <c r="F34" s="805"/>
    </row>
    <row r="35" spans="1:6" s="806" customFormat="1" ht="12.75">
      <c r="A35" s="811"/>
      <c r="B35" s="812"/>
      <c r="C35" s="804"/>
      <c r="D35" s="804"/>
      <c r="E35" s="805"/>
      <c r="F35" s="805"/>
    </row>
    <row r="36" spans="1:6" s="806" customFormat="1" ht="12.75">
      <c r="A36" s="811"/>
      <c r="B36" s="812"/>
      <c r="C36" s="804"/>
      <c r="D36" s="804"/>
      <c r="E36" s="805"/>
      <c r="F36" s="805"/>
    </row>
    <row r="37" spans="1:6" s="806" customFormat="1" ht="12.75">
      <c r="A37" s="811"/>
      <c r="B37" s="812"/>
      <c r="C37" s="804"/>
      <c r="D37" s="804"/>
      <c r="E37" s="805"/>
      <c r="F37" s="805"/>
    </row>
    <row r="38" spans="1:6" s="806" customFormat="1" ht="12.75">
      <c r="A38" s="811"/>
      <c r="B38" s="812"/>
      <c r="C38" s="804"/>
      <c r="D38" s="804"/>
      <c r="E38" s="805"/>
      <c r="F38" s="805"/>
    </row>
    <row r="39" spans="1:6" s="806" customFormat="1" ht="12.75">
      <c r="A39" s="811"/>
      <c r="B39" s="812"/>
      <c r="C39" s="804"/>
      <c r="D39" s="804"/>
      <c r="E39" s="805"/>
      <c r="F39" s="805"/>
    </row>
    <row r="40" spans="1:6" s="806" customFormat="1" ht="12.75">
      <c r="A40" s="811"/>
      <c r="B40" s="812"/>
      <c r="C40" s="804"/>
      <c r="D40" s="804"/>
      <c r="E40" s="805"/>
      <c r="F40" s="805"/>
    </row>
    <row r="41" spans="1:6" s="806" customFormat="1" ht="12.75">
      <c r="A41" s="811"/>
      <c r="B41" s="812"/>
      <c r="C41" s="804"/>
      <c r="D41" s="804"/>
      <c r="E41" s="805"/>
      <c r="F41" s="805"/>
    </row>
    <row r="42" spans="3:4" ht="12.75">
      <c r="C42" s="813"/>
      <c r="D42" s="813"/>
    </row>
    <row r="43" spans="3:4" ht="12.75">
      <c r="C43" s="813"/>
      <c r="D43" s="813"/>
    </row>
    <row r="44" spans="3:4" ht="12.75">
      <c r="C44" s="813"/>
      <c r="D44" s="813"/>
    </row>
    <row r="45" spans="3:4" ht="12.75">
      <c r="C45" s="813"/>
      <c r="D45" s="813"/>
    </row>
    <row r="46" spans="3:4" ht="12.75">
      <c r="C46" s="813"/>
      <c r="D46" s="813"/>
    </row>
    <row r="47" spans="3:4" ht="12.75">
      <c r="C47" s="813"/>
      <c r="D47" s="813"/>
    </row>
    <row r="48" spans="3:4" ht="12.75">
      <c r="C48" s="813"/>
      <c r="D48" s="813"/>
    </row>
    <row r="49" spans="3:4" ht="12.75">
      <c r="C49" s="813"/>
      <c r="D49" s="813"/>
    </row>
    <row r="50" spans="3:4" ht="12.75">
      <c r="C50" s="813"/>
      <c r="D50" s="813"/>
    </row>
    <row r="51" spans="3:4" ht="12.75">
      <c r="C51" s="813"/>
      <c r="D51" s="813"/>
    </row>
    <row r="52" spans="3:4" ht="12.75">
      <c r="C52" s="813"/>
      <c r="D52" s="813"/>
    </row>
    <row r="53" spans="3:4" ht="12.75">
      <c r="C53" s="813"/>
      <c r="D53" s="813"/>
    </row>
    <row r="54" spans="3:4" ht="12.75">
      <c r="C54" s="813"/>
      <c r="D54" s="813"/>
    </row>
    <row r="55" spans="3:4" ht="12.75">
      <c r="C55" s="813"/>
      <c r="D55" s="813"/>
    </row>
    <row r="56" spans="3:4" ht="12.75">
      <c r="C56" s="813"/>
      <c r="D56" s="813"/>
    </row>
    <row r="57" spans="3:4" ht="12.75">
      <c r="C57" s="813"/>
      <c r="D57" s="813"/>
    </row>
    <row r="58" spans="3:4" ht="12.75">
      <c r="C58" s="813"/>
      <c r="D58" s="813"/>
    </row>
    <row r="59" spans="3:4" ht="12.75">
      <c r="C59" s="813"/>
      <c r="D59" s="813"/>
    </row>
    <row r="60" spans="3:4" ht="12.75">
      <c r="C60" s="813"/>
      <c r="D60" s="813"/>
    </row>
    <row r="61" spans="3:4" ht="12.75">
      <c r="C61" s="813"/>
      <c r="D61" s="813"/>
    </row>
    <row r="62" spans="3:4" ht="12.75">
      <c r="C62" s="813"/>
      <c r="D62" s="813"/>
    </row>
    <row r="63" spans="3:4" ht="12.75">
      <c r="C63" s="813"/>
      <c r="D63" s="813"/>
    </row>
    <row r="64" spans="3:4" ht="12.75">
      <c r="C64" s="813"/>
      <c r="D64" s="813"/>
    </row>
    <row r="65" spans="3:4" ht="12.75">
      <c r="C65" s="813"/>
      <c r="D65" s="813"/>
    </row>
    <row r="66" spans="3:4" ht="12.75">
      <c r="C66" s="813"/>
      <c r="D66" s="813"/>
    </row>
    <row r="67" spans="3:4" ht="12.75">
      <c r="C67" s="813"/>
      <c r="D67" s="813"/>
    </row>
    <row r="68" spans="3:4" ht="12.75">
      <c r="C68" s="813"/>
      <c r="D68" s="813"/>
    </row>
    <row r="69" spans="3:4" ht="12.75">
      <c r="C69" s="813"/>
      <c r="D69" s="813"/>
    </row>
    <row r="70" spans="3:4" ht="12.75">
      <c r="C70" s="813"/>
      <c r="D70" s="813"/>
    </row>
    <row r="71" spans="3:4" ht="12.75">
      <c r="C71" s="813"/>
      <c r="D71" s="813"/>
    </row>
    <row r="72" spans="3:4" ht="12.75">
      <c r="C72" s="814"/>
      <c r="D72" s="814"/>
    </row>
    <row r="73" spans="3:4" ht="12.75">
      <c r="C73" s="814"/>
      <c r="D73" s="814"/>
    </row>
    <row r="74" spans="3:4" ht="12.75">
      <c r="C74" s="814"/>
      <c r="D74" s="814"/>
    </row>
    <row r="75" spans="3:4" ht="12.75">
      <c r="C75" s="814"/>
      <c r="D75" s="814"/>
    </row>
    <row r="76" spans="3:4" ht="12.75">
      <c r="C76" s="814"/>
      <c r="D76" s="814"/>
    </row>
    <row r="77" spans="3:4" ht="12.75">
      <c r="C77" s="814"/>
      <c r="D77" s="814"/>
    </row>
    <row r="78" spans="3:4" ht="12.75">
      <c r="C78" s="814"/>
      <c r="D78" s="814"/>
    </row>
    <row r="79" spans="3:4" ht="12.75">
      <c r="C79" s="814"/>
      <c r="D79" s="814"/>
    </row>
    <row r="80" spans="3:4" ht="12.75">
      <c r="C80" s="814"/>
      <c r="D80" s="814"/>
    </row>
    <row r="81" spans="3:4" ht="12.75">
      <c r="C81" s="814"/>
      <c r="D81" s="814"/>
    </row>
    <row r="82" spans="3:4" ht="12.75">
      <c r="C82" s="814"/>
      <c r="D82" s="814"/>
    </row>
    <row r="83" spans="3:4" ht="12.75">
      <c r="C83" s="814"/>
      <c r="D83" s="814"/>
    </row>
    <row r="84" spans="3:4" ht="12.75">
      <c r="C84" s="814"/>
      <c r="D84" s="814"/>
    </row>
    <row r="85" spans="3:4" ht="12.75">
      <c r="C85" s="814"/>
      <c r="D85" s="814"/>
    </row>
    <row r="86" spans="3:4" ht="12.75">
      <c r="C86" s="814"/>
      <c r="D86" s="814"/>
    </row>
    <row r="87" spans="3:4" ht="12.75">
      <c r="C87" s="814"/>
      <c r="D87" s="814"/>
    </row>
    <row r="88" spans="3:4" ht="12.75">
      <c r="C88" s="814"/>
      <c r="D88" s="814"/>
    </row>
    <row r="89" spans="3:4" ht="12.75">
      <c r="C89" s="814"/>
      <c r="D89" s="814"/>
    </row>
    <row r="90" spans="3:4" ht="12.75">
      <c r="C90" s="814"/>
      <c r="D90" s="814"/>
    </row>
    <row r="91" spans="3:4" ht="12.75">
      <c r="C91" s="814"/>
      <c r="D91" s="814"/>
    </row>
    <row r="92" spans="3:4" ht="12.75">
      <c r="C92" s="814"/>
      <c r="D92" s="814"/>
    </row>
    <row r="93" spans="3:4" ht="12.75">
      <c r="C93" s="814"/>
      <c r="D93" s="814"/>
    </row>
    <row r="94" spans="3:4" ht="12.75">
      <c r="C94" s="814"/>
      <c r="D94" s="814"/>
    </row>
    <row r="95" spans="3:4" ht="12.75">
      <c r="C95" s="814"/>
      <c r="D95" s="814"/>
    </row>
    <row r="96" spans="3:4" ht="12.75">
      <c r="C96" s="814"/>
      <c r="D96" s="814"/>
    </row>
  </sheetData>
  <printOptions horizontalCentered="1"/>
  <pageMargins left="0.7874015748031497" right="0.7874015748031497" top="0.984251968503937" bottom="0.5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24">
      <selection activeCell="A42" sqref="A42"/>
    </sheetView>
  </sheetViews>
  <sheetFormatPr defaultColWidth="9.00390625" defaultRowHeight="12.75"/>
  <cols>
    <col min="1" max="1" width="6.875" style="733" customWidth="1"/>
    <col min="2" max="2" width="37.875" style="734" customWidth="1"/>
    <col min="3" max="3" width="14.75390625" style="735" hidden="1" customWidth="1"/>
    <col min="4" max="4" width="4.875" style="815" customWidth="1"/>
    <col min="5" max="5" width="18.00390625" style="737" customWidth="1"/>
    <col min="6" max="6" width="17.625" style="737" customWidth="1"/>
    <col min="7" max="16384" width="9.125" style="737" customWidth="1"/>
  </cols>
  <sheetData>
    <row r="1" ht="12.75">
      <c r="E1" s="736" t="s">
        <v>424</v>
      </c>
    </row>
    <row r="2" ht="12.75">
      <c r="E2" s="215" t="s">
        <v>755</v>
      </c>
    </row>
    <row r="3" ht="12.75">
      <c r="E3" s="4" t="s">
        <v>757</v>
      </c>
    </row>
    <row r="4" ht="12.75">
      <c r="E4" s="101"/>
    </row>
    <row r="5" ht="12" customHeight="1">
      <c r="E5" s="738"/>
    </row>
    <row r="6" ht="3" customHeight="1"/>
    <row r="7" spans="1:6" ht="56.25" customHeight="1">
      <c r="A7" s="739" t="s">
        <v>425</v>
      </c>
      <c r="B7" s="740"/>
      <c r="C7" s="740"/>
      <c r="D7" s="816"/>
      <c r="E7" s="740"/>
      <c r="F7" s="740"/>
    </row>
    <row r="8" spans="1:6" ht="15.75" customHeight="1" thickBot="1">
      <c r="A8" s="223" t="s">
        <v>525</v>
      </c>
      <c r="E8" s="817"/>
      <c r="F8" s="733" t="s">
        <v>121</v>
      </c>
    </row>
    <row r="9" spans="1:6" ht="33" customHeight="1" thickTop="1">
      <c r="A9" s="741" t="s">
        <v>410</v>
      </c>
      <c r="B9" s="742" t="s">
        <v>123</v>
      </c>
      <c r="C9" s="743" t="s">
        <v>411</v>
      </c>
      <c r="D9" s="744" t="s">
        <v>412</v>
      </c>
      <c r="E9" s="745" t="s">
        <v>124</v>
      </c>
      <c r="F9" s="746" t="s">
        <v>125</v>
      </c>
    </row>
    <row r="10" spans="1:6" ht="13.5" customHeight="1" thickBot="1">
      <c r="A10" s="747">
        <v>1</v>
      </c>
      <c r="B10" s="748">
        <v>2</v>
      </c>
      <c r="C10" s="749">
        <v>3</v>
      </c>
      <c r="D10" s="750">
        <v>3</v>
      </c>
      <c r="E10" s="749">
        <v>4</v>
      </c>
      <c r="F10" s="751">
        <v>5</v>
      </c>
    </row>
    <row r="11" spans="1:6" s="759" customFormat="1" ht="27" customHeight="1" thickBot="1" thickTop="1">
      <c r="A11" s="753" t="s">
        <v>139</v>
      </c>
      <c r="B11" s="754" t="s">
        <v>285</v>
      </c>
      <c r="C11" s="755">
        <f>C12</f>
        <v>45000</v>
      </c>
      <c r="D11" s="818"/>
      <c r="E11" s="819">
        <f>E12</f>
        <v>39000</v>
      </c>
      <c r="F11" s="820">
        <f>F12</f>
        <v>39000</v>
      </c>
    </row>
    <row r="12" spans="1:6" s="766" customFormat="1" ht="21.75" customHeight="1" thickBot="1" thickTop="1">
      <c r="A12" s="760" t="s">
        <v>426</v>
      </c>
      <c r="B12" s="761" t="s">
        <v>291</v>
      </c>
      <c r="C12" s="821">
        <v>45000</v>
      </c>
      <c r="D12" s="822">
        <v>2110</v>
      </c>
      <c r="E12" s="823">
        <f>43500-4500</f>
        <v>39000</v>
      </c>
      <c r="F12" s="824">
        <f>43500-4500</f>
        <v>39000</v>
      </c>
    </row>
    <row r="13" spans="1:6" s="759" customFormat="1" ht="24.75" customHeight="1" thickBot="1" thickTop="1">
      <c r="A13" s="753" t="s">
        <v>141</v>
      </c>
      <c r="B13" s="754" t="s">
        <v>142</v>
      </c>
      <c r="C13" s="825">
        <f>C14+C15+C16</f>
        <v>253700</v>
      </c>
      <c r="D13" s="826"/>
      <c r="E13" s="819">
        <f>SUM(E14:E16)</f>
        <v>427666</v>
      </c>
      <c r="F13" s="820">
        <f>SUM(F14:F16)</f>
        <v>427666</v>
      </c>
    </row>
    <row r="14" spans="1:6" s="782" customFormat="1" ht="24.75" customHeight="1" thickTop="1">
      <c r="A14" s="776" t="s">
        <v>427</v>
      </c>
      <c r="B14" s="777" t="s">
        <v>428</v>
      </c>
      <c r="C14" s="780">
        <v>51000</v>
      </c>
      <c r="D14" s="827">
        <v>2110</v>
      </c>
      <c r="E14" s="828">
        <f>80000-6000</f>
        <v>74000</v>
      </c>
      <c r="F14" s="829">
        <f>80000-6000</f>
        <v>74000</v>
      </c>
    </row>
    <row r="15" spans="1:6" s="782" customFormat="1" ht="17.25" customHeight="1">
      <c r="A15" s="788" t="s">
        <v>429</v>
      </c>
      <c r="B15" s="789" t="s">
        <v>296</v>
      </c>
      <c r="C15" s="786">
        <v>20000</v>
      </c>
      <c r="D15" s="830">
        <v>2110</v>
      </c>
      <c r="E15" s="831">
        <v>20000</v>
      </c>
      <c r="F15" s="832">
        <v>20000</v>
      </c>
    </row>
    <row r="16" spans="1:6" s="766" customFormat="1" ht="17.25" customHeight="1">
      <c r="A16" s="788" t="s">
        <v>430</v>
      </c>
      <c r="B16" s="789" t="s">
        <v>297</v>
      </c>
      <c r="C16" s="786">
        <v>182700</v>
      </c>
      <c r="D16" s="833"/>
      <c r="E16" s="831">
        <f>SUM(E17:E18)</f>
        <v>333666</v>
      </c>
      <c r="F16" s="832">
        <f>SUM(F17:F18)</f>
        <v>333666</v>
      </c>
    </row>
    <row r="17" spans="1:6" s="766" customFormat="1" ht="13.5" customHeight="1">
      <c r="A17" s="788"/>
      <c r="B17" s="789"/>
      <c r="C17" s="834"/>
      <c r="D17" s="830">
        <v>2110</v>
      </c>
      <c r="E17" s="831">
        <v>333666</v>
      </c>
      <c r="F17" s="832">
        <v>333666</v>
      </c>
    </row>
    <row r="18" spans="1:6" s="766" customFormat="1" ht="12.75" customHeight="1" thickBot="1">
      <c r="A18" s="835"/>
      <c r="B18" s="836"/>
      <c r="C18" s="837"/>
      <c r="D18" s="838">
        <v>6410</v>
      </c>
      <c r="E18" s="839">
        <f>8000-8000</f>
        <v>0</v>
      </c>
      <c r="F18" s="840">
        <f>8000-8000</f>
        <v>0</v>
      </c>
    </row>
    <row r="19" spans="1:6" s="759" customFormat="1" ht="24" customHeight="1" thickBot="1" thickTop="1">
      <c r="A19" s="753" t="s">
        <v>143</v>
      </c>
      <c r="B19" s="754" t="s">
        <v>144</v>
      </c>
      <c r="C19" s="825">
        <f>C20+C21</f>
        <v>264914</v>
      </c>
      <c r="D19" s="826"/>
      <c r="E19" s="819">
        <f>SUM(E20:E21)</f>
        <v>275198</v>
      </c>
      <c r="F19" s="820">
        <f>SUM(F20:F21)</f>
        <v>275198</v>
      </c>
    </row>
    <row r="20" spans="1:6" s="766" customFormat="1" ht="19.5" customHeight="1" thickTop="1">
      <c r="A20" s="776" t="s">
        <v>413</v>
      </c>
      <c r="B20" s="777" t="s">
        <v>414</v>
      </c>
      <c r="C20" s="780">
        <v>229000</v>
      </c>
      <c r="D20" s="827">
        <v>2110</v>
      </c>
      <c r="E20" s="828">
        <v>241200</v>
      </c>
      <c r="F20" s="829">
        <v>241200</v>
      </c>
    </row>
    <row r="21" spans="1:6" s="766" customFormat="1" ht="18" customHeight="1" thickBot="1">
      <c r="A21" s="835" t="s">
        <v>431</v>
      </c>
      <c r="B21" s="836" t="s">
        <v>306</v>
      </c>
      <c r="C21" s="841">
        <v>35914</v>
      </c>
      <c r="D21" s="842">
        <v>2110</v>
      </c>
      <c r="E21" s="839">
        <f>34000-2</f>
        <v>33998</v>
      </c>
      <c r="F21" s="840">
        <f>34000-2</f>
        <v>33998</v>
      </c>
    </row>
    <row r="22" spans="1:6" s="766" customFormat="1" ht="21.75" customHeight="1" hidden="1">
      <c r="A22" s="843">
        <v>752</v>
      </c>
      <c r="B22" s="844" t="s">
        <v>311</v>
      </c>
      <c r="C22" s="845">
        <v>1000</v>
      </c>
      <c r="D22" s="846"/>
      <c r="E22" s="847"/>
      <c r="F22" s="848"/>
    </row>
    <row r="23" spans="1:6" s="766" customFormat="1" ht="21.75" customHeight="1" hidden="1">
      <c r="A23" s="771" t="s">
        <v>432</v>
      </c>
      <c r="B23" s="772" t="s">
        <v>312</v>
      </c>
      <c r="C23" s="849">
        <v>1000</v>
      </c>
      <c r="D23" s="830">
        <v>2110</v>
      </c>
      <c r="E23" s="850"/>
      <c r="F23" s="851"/>
    </row>
    <row r="24" spans="1:6" s="759" customFormat="1" ht="35.25" customHeight="1" thickBot="1" thickTop="1">
      <c r="A24" s="753" t="s">
        <v>147</v>
      </c>
      <c r="B24" s="754" t="s">
        <v>148</v>
      </c>
      <c r="C24" s="825">
        <f>SUM(C25:C26)</f>
        <v>5006000</v>
      </c>
      <c r="D24" s="826"/>
      <c r="E24" s="819">
        <f>SUM(E25:E26)</f>
        <v>8573810</v>
      </c>
      <c r="F24" s="820">
        <f>SUM(F25:F26)</f>
        <v>8573810</v>
      </c>
    </row>
    <row r="25" spans="1:6" s="782" customFormat="1" ht="24" customHeight="1" thickTop="1">
      <c r="A25" s="852" t="s">
        <v>433</v>
      </c>
      <c r="B25" s="853" t="s">
        <v>715</v>
      </c>
      <c r="C25" s="854">
        <v>4906000</v>
      </c>
      <c r="D25" s="855">
        <v>2110</v>
      </c>
      <c r="E25" s="856">
        <v>8035625</v>
      </c>
      <c r="F25" s="829">
        <v>8035625</v>
      </c>
    </row>
    <row r="26" spans="1:6" s="766" customFormat="1" ht="15" customHeight="1" thickBot="1">
      <c r="A26" s="769"/>
      <c r="B26" s="770"/>
      <c r="C26" s="857">
        <v>100000</v>
      </c>
      <c r="D26" s="838">
        <v>6410</v>
      </c>
      <c r="E26" s="858">
        <v>538185</v>
      </c>
      <c r="F26" s="859">
        <v>538185</v>
      </c>
    </row>
    <row r="27" spans="1:6" s="866" customFormat="1" ht="15" customHeight="1" hidden="1">
      <c r="A27" s="860" t="s">
        <v>416</v>
      </c>
      <c r="B27" s="861" t="s">
        <v>316</v>
      </c>
      <c r="C27" s="862"/>
      <c r="D27" s="863"/>
      <c r="E27" s="864"/>
      <c r="F27" s="865"/>
    </row>
    <row r="28" spans="1:6" s="866" customFormat="1" ht="60" customHeight="1" hidden="1">
      <c r="A28" s="867" t="s">
        <v>434</v>
      </c>
      <c r="B28" s="868" t="s">
        <v>435</v>
      </c>
      <c r="C28" s="869"/>
      <c r="D28" s="870"/>
      <c r="E28" s="850"/>
      <c r="F28" s="871"/>
    </row>
    <row r="29" spans="1:6" s="782" customFormat="1" ht="28.5" customHeight="1" hidden="1">
      <c r="A29" s="872" t="s">
        <v>436</v>
      </c>
      <c r="B29" s="873" t="s">
        <v>437</v>
      </c>
      <c r="C29" s="874"/>
      <c r="D29" s="830"/>
      <c r="E29" s="850"/>
      <c r="F29" s="851"/>
    </row>
    <row r="30" spans="1:6" s="759" customFormat="1" ht="24.75" customHeight="1" thickBot="1" thickTop="1">
      <c r="A30" s="753" t="s">
        <v>159</v>
      </c>
      <c r="B30" s="754" t="s">
        <v>160</v>
      </c>
      <c r="C30" s="825">
        <f>C31</f>
        <v>9000</v>
      </c>
      <c r="D30" s="826"/>
      <c r="E30" s="819">
        <f>E31</f>
        <v>9900</v>
      </c>
      <c r="F30" s="820">
        <f>F31</f>
        <v>9900</v>
      </c>
    </row>
    <row r="31" spans="1:6" s="766" customFormat="1" ht="57.75" customHeight="1" thickBot="1" thickTop="1">
      <c r="A31" s="875" t="s">
        <v>438</v>
      </c>
      <c r="B31" s="876" t="s">
        <v>441</v>
      </c>
      <c r="C31" s="877">
        <v>9000</v>
      </c>
      <c r="D31" s="838">
        <v>2110</v>
      </c>
      <c r="E31" s="878">
        <v>9900</v>
      </c>
      <c r="F31" s="879">
        <v>9900</v>
      </c>
    </row>
    <row r="32" spans="1:6" s="759" customFormat="1" ht="21" customHeight="1" thickBot="1" thickTop="1">
      <c r="A32" s="880" t="s">
        <v>161</v>
      </c>
      <c r="B32" s="754" t="s">
        <v>245</v>
      </c>
      <c r="C32" s="825">
        <f>C33</f>
        <v>25331</v>
      </c>
      <c r="D32" s="826"/>
      <c r="E32" s="819">
        <f>SUM(E33)</f>
        <v>16500</v>
      </c>
      <c r="F32" s="820">
        <f>SUM(F33)</f>
        <v>16500</v>
      </c>
    </row>
    <row r="33" spans="1:6" s="887" customFormat="1" ht="24" customHeight="1" thickBot="1" thickTop="1">
      <c r="A33" s="881">
        <v>85295</v>
      </c>
      <c r="B33" s="882" t="s">
        <v>268</v>
      </c>
      <c r="C33" s="883">
        <v>25331</v>
      </c>
      <c r="D33" s="884">
        <v>2110</v>
      </c>
      <c r="E33" s="885">
        <v>16500</v>
      </c>
      <c r="F33" s="886">
        <v>16500</v>
      </c>
    </row>
    <row r="34" spans="1:6" s="806" customFormat="1" ht="33" customHeight="1" thickBot="1" thickTop="1">
      <c r="A34" s="753" t="s">
        <v>163</v>
      </c>
      <c r="B34" s="754" t="s">
        <v>164</v>
      </c>
      <c r="C34" s="825">
        <f>C35</f>
        <v>106000</v>
      </c>
      <c r="D34" s="826"/>
      <c r="E34" s="819">
        <f>E35</f>
        <v>126000</v>
      </c>
      <c r="F34" s="820">
        <f>F35</f>
        <v>126000</v>
      </c>
    </row>
    <row r="35" spans="1:6" s="766" customFormat="1" ht="27.75" customHeight="1" thickBot="1" thickTop="1">
      <c r="A35" s="776" t="s">
        <v>443</v>
      </c>
      <c r="B35" s="777" t="s">
        <v>444</v>
      </c>
      <c r="C35" s="780">
        <v>106000</v>
      </c>
      <c r="D35" s="827">
        <v>2110</v>
      </c>
      <c r="E35" s="828">
        <v>126000</v>
      </c>
      <c r="F35" s="829">
        <v>126000</v>
      </c>
    </row>
    <row r="36" spans="1:6" s="866" customFormat="1" ht="21.75" customHeight="1" hidden="1">
      <c r="A36" s="888" t="s">
        <v>445</v>
      </c>
      <c r="B36" s="889" t="s">
        <v>446</v>
      </c>
      <c r="C36" s="890"/>
      <c r="D36" s="870"/>
      <c r="E36" s="891"/>
      <c r="F36" s="665"/>
    </row>
    <row r="37" spans="1:6" s="796" customFormat="1" ht="46.5" customHeight="1" hidden="1">
      <c r="A37" s="788" t="s">
        <v>447</v>
      </c>
      <c r="B37" s="789" t="s">
        <v>448</v>
      </c>
      <c r="C37" s="892"/>
      <c r="D37" s="870"/>
      <c r="E37" s="831"/>
      <c r="F37" s="665"/>
    </row>
    <row r="38" spans="1:6" s="782" customFormat="1" ht="15" customHeight="1" hidden="1">
      <c r="A38" s="783">
        <v>3110</v>
      </c>
      <c r="B38" s="784" t="s">
        <v>449</v>
      </c>
      <c r="C38" s="834"/>
      <c r="D38" s="830"/>
      <c r="E38" s="831"/>
      <c r="F38" s="832"/>
    </row>
    <row r="39" spans="1:6" s="803" customFormat="1" ht="20.25" customHeight="1" thickBot="1" thickTop="1">
      <c r="A39" s="797"/>
      <c r="B39" s="798" t="s">
        <v>126</v>
      </c>
      <c r="C39" s="893">
        <f>C11+C13+C19+C24+C30+C32+C34+C22</f>
        <v>5710945</v>
      </c>
      <c r="D39" s="894"/>
      <c r="E39" s="801">
        <f>E11+E13+E19+E24+E30+E32+E34</f>
        <v>9468074</v>
      </c>
      <c r="F39" s="895">
        <f>F11+F13+F19+F24+F30+F32+F34</f>
        <v>9468074</v>
      </c>
    </row>
    <row r="40" spans="1:6" s="806" customFormat="1" ht="13.5" thickTop="1">
      <c r="A40" s="87" t="s">
        <v>423</v>
      </c>
      <c r="B40" s="88"/>
      <c r="C40" s="804"/>
      <c r="D40" s="896"/>
      <c r="E40" s="897"/>
      <c r="F40" s="897"/>
    </row>
    <row r="41" spans="1:6" s="806" customFormat="1" ht="12.75">
      <c r="A41" s="87" t="s">
        <v>181</v>
      </c>
      <c r="B41" s="88"/>
      <c r="C41" s="804"/>
      <c r="D41" s="896"/>
      <c r="E41" s="897"/>
      <c r="F41" s="897"/>
    </row>
    <row r="42" spans="1:4" ht="12.75">
      <c r="A42" s="87" t="s">
        <v>40</v>
      </c>
      <c r="C42" s="898"/>
      <c r="D42" s="899"/>
    </row>
    <row r="43" spans="2:4" ht="12.75">
      <c r="B43" s="900"/>
      <c r="C43" s="898"/>
      <c r="D43" s="899"/>
    </row>
    <row r="44" spans="3:4" ht="14.25" customHeight="1">
      <c r="C44" s="898"/>
      <c r="D44" s="899"/>
    </row>
    <row r="45" spans="3:4" ht="13.5" customHeight="1">
      <c r="C45" s="898"/>
      <c r="D45" s="899"/>
    </row>
    <row r="46" spans="3:4" ht="16.5" customHeight="1">
      <c r="C46" s="898"/>
      <c r="D46" s="899"/>
    </row>
    <row r="47" spans="3:4" ht="18.75" customHeight="1">
      <c r="C47" s="898"/>
      <c r="D47" s="899"/>
    </row>
    <row r="48" spans="3:4" ht="12.75">
      <c r="C48" s="898"/>
      <c r="D48" s="899"/>
    </row>
    <row r="49" spans="3:4" ht="12.75">
      <c r="C49" s="898"/>
      <c r="D49" s="899"/>
    </row>
    <row r="50" spans="3:4" ht="16.5" customHeight="1">
      <c r="C50" s="898"/>
      <c r="D50" s="899"/>
    </row>
    <row r="51" spans="3:4" ht="12.75">
      <c r="C51" s="898"/>
      <c r="D51" s="899"/>
    </row>
    <row r="52" spans="3:4" ht="16.5" customHeight="1">
      <c r="C52" s="898"/>
      <c r="D52" s="899"/>
    </row>
    <row r="53" spans="3:4" ht="12.75">
      <c r="C53" s="898"/>
      <c r="D53" s="899"/>
    </row>
    <row r="54" spans="3:4" ht="15" customHeight="1">
      <c r="C54" s="898"/>
      <c r="D54" s="899"/>
    </row>
    <row r="55" spans="3:4" ht="16.5" customHeight="1">
      <c r="C55" s="898"/>
      <c r="D55" s="899"/>
    </row>
    <row r="56" spans="3:4" ht="12.75">
      <c r="C56" s="898"/>
      <c r="D56" s="899"/>
    </row>
    <row r="57" spans="3:4" ht="16.5" customHeight="1">
      <c r="C57" s="898"/>
      <c r="D57" s="899"/>
    </row>
    <row r="58" spans="3:4" ht="8.25" customHeight="1">
      <c r="C58" s="898"/>
      <c r="D58" s="899"/>
    </row>
    <row r="59" spans="3:4" ht="21.75" customHeight="1">
      <c r="C59" s="898"/>
      <c r="D59" s="899"/>
    </row>
    <row r="60" spans="1:4" s="806" customFormat="1" ht="12.75">
      <c r="A60" s="811"/>
      <c r="B60" s="812"/>
      <c r="C60" s="804"/>
      <c r="D60" s="896"/>
    </row>
    <row r="61" spans="1:4" s="806" customFormat="1" ht="12.75">
      <c r="A61" s="736"/>
      <c r="B61" s="812"/>
      <c r="C61" s="804"/>
      <c r="D61" s="896"/>
    </row>
    <row r="62" ht="12.75">
      <c r="C62" s="813"/>
    </row>
    <row r="63" ht="12.75">
      <c r="C63" s="813"/>
    </row>
    <row r="64" ht="12.75">
      <c r="C64" s="813"/>
    </row>
    <row r="65" ht="12.75">
      <c r="C65" s="813"/>
    </row>
    <row r="66" ht="12.75">
      <c r="C66" s="813"/>
    </row>
    <row r="67" ht="12.75">
      <c r="C67" s="813"/>
    </row>
    <row r="68" ht="12.75">
      <c r="C68" s="813"/>
    </row>
    <row r="69" ht="12.75">
      <c r="C69" s="813"/>
    </row>
    <row r="70" ht="12.75">
      <c r="C70" s="813"/>
    </row>
    <row r="71" ht="12.75">
      <c r="C71" s="813"/>
    </row>
  </sheetData>
  <printOptions horizontalCentered="1"/>
  <pageMargins left="0.7874015748031497" right="0.7874015748031497" top="0.984251968503937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25">
      <selection activeCell="A42" sqref="A42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901" hidden="1" customWidth="1"/>
  </cols>
  <sheetData>
    <row r="1" ht="13.5" customHeight="1">
      <c r="D1" s="736" t="s">
        <v>450</v>
      </c>
    </row>
    <row r="2" ht="11.25" customHeight="1">
      <c r="D2" s="215" t="s">
        <v>755</v>
      </c>
    </row>
    <row r="3" ht="12" customHeight="1">
      <c r="D3" s="4" t="s">
        <v>756</v>
      </c>
    </row>
    <row r="4" spans="1:6" ht="12.75" customHeight="1">
      <c r="A4" s="902"/>
      <c r="B4" s="903"/>
      <c r="C4" s="904"/>
      <c r="D4" s="101"/>
      <c r="E4" s="905"/>
      <c r="F4" s="906"/>
    </row>
    <row r="5" spans="1:6" ht="16.5">
      <c r="A5" s="910" t="s">
        <v>451</v>
      </c>
      <c r="B5" s="909"/>
      <c r="C5" s="909"/>
      <c r="D5" s="909"/>
      <c r="E5" s="909"/>
      <c r="F5" s="909"/>
    </row>
    <row r="6" spans="1:6" ht="16.5">
      <c r="A6" s="910" t="s">
        <v>452</v>
      </c>
      <c r="B6" s="909"/>
      <c r="C6" s="909"/>
      <c r="D6" s="909"/>
      <c r="E6" s="909"/>
      <c r="F6" s="909"/>
    </row>
    <row r="7" spans="1:6" ht="16.5">
      <c r="A7" s="908" t="s">
        <v>453</v>
      </c>
      <c r="B7" s="909"/>
      <c r="C7" s="909"/>
      <c r="D7" s="909"/>
      <c r="E7" s="909"/>
      <c r="F7" s="909"/>
    </row>
    <row r="8" spans="1:6" ht="16.5">
      <c r="A8" s="908" t="s">
        <v>454</v>
      </c>
      <c r="B8" s="909"/>
      <c r="C8" s="909"/>
      <c r="D8" s="909"/>
      <c r="E8" s="909"/>
      <c r="F8" s="911"/>
    </row>
    <row r="9" spans="1:5" ht="21" customHeight="1" thickBot="1">
      <c r="A9" s="223" t="s">
        <v>525</v>
      </c>
      <c r="B9" s="912"/>
      <c r="C9" s="913"/>
      <c r="D9" s="735"/>
      <c r="E9" s="733" t="s">
        <v>121</v>
      </c>
    </row>
    <row r="10" spans="1:6" s="916" customFormat="1" ht="26.25" customHeight="1" thickTop="1">
      <c r="A10" s="741" t="s">
        <v>410</v>
      </c>
      <c r="B10" s="742" t="s">
        <v>455</v>
      </c>
      <c r="C10" s="745" t="s">
        <v>412</v>
      </c>
      <c r="D10" s="914" t="s">
        <v>124</v>
      </c>
      <c r="E10" s="746" t="s">
        <v>125</v>
      </c>
      <c r="F10" s="915"/>
    </row>
    <row r="11" spans="1:6" s="916" customFormat="1" ht="12" customHeight="1" thickBot="1">
      <c r="A11" s="747">
        <v>1</v>
      </c>
      <c r="B11" s="748">
        <v>2</v>
      </c>
      <c r="C11" s="749">
        <v>3</v>
      </c>
      <c r="D11" s="750">
        <v>4</v>
      </c>
      <c r="E11" s="917">
        <v>5</v>
      </c>
      <c r="F11" s="915"/>
    </row>
    <row r="12" spans="1:6" s="920" customFormat="1" ht="23.25" customHeight="1" thickBot="1" thickTop="1">
      <c r="A12" s="753" t="s">
        <v>141</v>
      </c>
      <c r="B12" s="754" t="s">
        <v>142</v>
      </c>
      <c r="C12" s="826"/>
      <c r="D12" s="819">
        <f>D13</f>
        <v>16600</v>
      </c>
      <c r="E12" s="918">
        <f>E13</f>
        <v>16600</v>
      </c>
      <c r="F12" s="919"/>
    </row>
    <row r="13" spans="1:6" s="916" customFormat="1" ht="24" customHeight="1" thickBot="1" thickTop="1">
      <c r="A13" s="835" t="s">
        <v>456</v>
      </c>
      <c r="B13" s="836" t="s">
        <v>298</v>
      </c>
      <c r="C13" s="921">
        <v>2020</v>
      </c>
      <c r="D13" s="839">
        <v>16600</v>
      </c>
      <c r="E13" s="922">
        <v>16600</v>
      </c>
      <c r="F13" s="915"/>
    </row>
    <row r="14" spans="1:6" s="916" customFormat="1" ht="24" customHeight="1" thickBot="1" thickTop="1">
      <c r="A14" s="753" t="s">
        <v>155</v>
      </c>
      <c r="B14" s="754" t="s">
        <v>156</v>
      </c>
      <c r="C14" s="842"/>
      <c r="D14" s="2343">
        <f>D15</f>
        <v>282500</v>
      </c>
      <c r="E14" s="2344">
        <f>E15</f>
        <v>282500</v>
      </c>
      <c r="F14" s="915"/>
    </row>
    <row r="15" spans="1:6" s="916" customFormat="1" ht="24" customHeight="1" thickBot="1" thickTop="1">
      <c r="A15" s="835" t="s">
        <v>716</v>
      </c>
      <c r="B15" s="2139" t="s">
        <v>397</v>
      </c>
      <c r="C15" s="2345">
        <v>2020</v>
      </c>
      <c r="D15" s="2346">
        <v>282500</v>
      </c>
      <c r="E15" s="2347">
        <v>282500</v>
      </c>
      <c r="F15" s="915"/>
    </row>
    <row r="16" spans="1:6" s="1918" customFormat="1" ht="29.25" customHeight="1" thickBot="1" thickTop="1">
      <c r="A16" s="1913" t="s">
        <v>171</v>
      </c>
      <c r="B16" s="2140" t="s">
        <v>172</v>
      </c>
      <c r="C16" s="1914"/>
      <c r="D16" s="1915">
        <f>D17</f>
        <v>5000</v>
      </c>
      <c r="E16" s="1916">
        <f>E17</f>
        <v>5000</v>
      </c>
      <c r="F16" s="1917"/>
    </row>
    <row r="17" spans="1:6" s="916" customFormat="1" ht="24" customHeight="1" thickBot="1" thickTop="1">
      <c r="A17" s="1919" t="s">
        <v>683</v>
      </c>
      <c r="B17" s="2139" t="s">
        <v>388</v>
      </c>
      <c r="C17" s="842">
        <v>2020</v>
      </c>
      <c r="D17" s="839">
        <v>5000</v>
      </c>
      <c r="E17" s="922">
        <v>5000</v>
      </c>
      <c r="F17" s="915"/>
    </row>
    <row r="18" spans="1:6" s="916" customFormat="1" ht="21.75" customHeight="1" thickBot="1" thickTop="1">
      <c r="A18" s="797"/>
      <c r="B18" s="798" t="s">
        <v>126</v>
      </c>
      <c r="C18" s="923"/>
      <c r="D18" s="801">
        <f>D12+D16+D14</f>
        <v>304100</v>
      </c>
      <c r="E18" s="895">
        <f>E12+E16+E14</f>
        <v>304100</v>
      </c>
      <c r="F18" s="915"/>
    </row>
    <row r="19" spans="1:6" s="916" customFormat="1" ht="12" customHeight="1" thickTop="1">
      <c r="A19" s="924"/>
      <c r="B19" s="925"/>
      <c r="C19" s="926"/>
      <c r="D19" s="907"/>
      <c r="E19" s="907"/>
      <c r="F19" s="915"/>
    </row>
    <row r="20" spans="1:6" s="916" customFormat="1" ht="15" customHeight="1">
      <c r="A20" s="924"/>
      <c r="B20" s="925"/>
      <c r="C20" s="926"/>
      <c r="D20" s="907"/>
      <c r="E20" s="907"/>
      <c r="F20" s="915"/>
    </row>
    <row r="21" spans="1:6" s="916" customFormat="1" ht="12" customHeight="1">
      <c r="A21" s="924"/>
      <c r="B21" s="925"/>
      <c r="C21" s="926"/>
      <c r="D21" s="907"/>
      <c r="E21" s="907"/>
      <c r="F21" s="915"/>
    </row>
    <row r="22" spans="1:6" s="916" customFormat="1" ht="12" customHeight="1">
      <c r="A22" s="924"/>
      <c r="B22" s="925"/>
      <c r="C22" s="926"/>
      <c r="D22" s="736" t="s">
        <v>457</v>
      </c>
      <c r="E22" s="907"/>
      <c r="F22" s="915"/>
    </row>
    <row r="23" spans="1:6" s="916" customFormat="1" ht="12" customHeight="1">
      <c r="A23" s="924"/>
      <c r="B23" s="925"/>
      <c r="C23" s="926"/>
      <c r="D23" s="215" t="s">
        <v>755</v>
      </c>
      <c r="E23" s="907"/>
      <c r="F23" s="915"/>
    </row>
    <row r="24" spans="1:6" s="916" customFormat="1" ht="12" customHeight="1">
      <c r="A24" s="924"/>
      <c r="B24" s="925"/>
      <c r="C24" s="926"/>
      <c r="D24" s="4" t="s">
        <v>756</v>
      </c>
      <c r="E24" s="907"/>
      <c r="F24" s="915"/>
    </row>
    <row r="25" spans="1:6" s="916" customFormat="1" ht="12" customHeight="1">
      <c r="A25" s="924"/>
      <c r="B25" s="925"/>
      <c r="C25" s="926"/>
      <c r="D25" s="101"/>
      <c r="E25" s="907"/>
      <c r="F25" s="915"/>
    </row>
    <row r="26" spans="1:6" s="916" customFormat="1" ht="17.25" customHeight="1">
      <c r="A26" s="2472" t="s">
        <v>451</v>
      </c>
      <c r="B26" s="2473"/>
      <c r="C26" s="2473"/>
      <c r="D26" s="2473"/>
      <c r="E26" s="2473"/>
      <c r="F26" s="2473"/>
    </row>
    <row r="27" spans="1:6" s="916" customFormat="1" ht="17.25" customHeight="1">
      <c r="A27" s="2472" t="s">
        <v>458</v>
      </c>
      <c r="B27" s="2473"/>
      <c r="C27" s="2473"/>
      <c r="D27" s="2473"/>
      <c r="E27" s="2473"/>
      <c r="F27" s="2473"/>
    </row>
    <row r="28" spans="1:6" s="916" customFormat="1" ht="15.75" customHeight="1">
      <c r="A28" s="2512" t="s">
        <v>459</v>
      </c>
      <c r="B28" s="2471"/>
      <c r="C28" s="2471"/>
      <c r="D28" s="2471"/>
      <c r="E28" s="2471"/>
      <c r="F28" s="2471"/>
    </row>
    <row r="29" spans="1:6" s="916" customFormat="1" ht="15.75" customHeight="1">
      <c r="A29" s="908" t="s">
        <v>460</v>
      </c>
      <c r="B29" s="928"/>
      <c r="C29" s="928"/>
      <c r="D29" s="928"/>
      <c r="E29" s="928"/>
      <c r="F29" s="927"/>
    </row>
    <row r="30" spans="1:6" s="916" customFormat="1" ht="22.5" customHeight="1" thickBot="1">
      <c r="A30" s="223" t="s">
        <v>525</v>
      </c>
      <c r="B30" s="929"/>
      <c r="C30" s="930"/>
      <c r="D30" s="931"/>
      <c r="E30" s="932" t="s">
        <v>121</v>
      </c>
      <c r="F30" s="915"/>
    </row>
    <row r="31" spans="1:6" s="916" customFormat="1" ht="28.5" customHeight="1" thickTop="1">
      <c r="A31" s="741" t="s">
        <v>410</v>
      </c>
      <c r="B31" s="742" t="s">
        <v>455</v>
      </c>
      <c r="C31" s="745" t="s">
        <v>412</v>
      </c>
      <c r="D31" s="914" t="s">
        <v>124</v>
      </c>
      <c r="E31" s="746" t="s">
        <v>125</v>
      </c>
      <c r="F31" s="915"/>
    </row>
    <row r="32" spans="1:6" s="916" customFormat="1" ht="10.5" customHeight="1" thickBot="1">
      <c r="A32" s="747">
        <v>1</v>
      </c>
      <c r="B32" s="748">
        <v>2</v>
      </c>
      <c r="C32" s="749">
        <v>3</v>
      </c>
      <c r="D32" s="750">
        <v>4</v>
      </c>
      <c r="E32" s="917">
        <v>5</v>
      </c>
      <c r="F32" s="915"/>
    </row>
    <row r="33" spans="1:6" s="916" customFormat="1" ht="21" customHeight="1" thickBot="1" thickTop="1">
      <c r="A33" s="753" t="s">
        <v>143</v>
      </c>
      <c r="B33" s="754" t="s">
        <v>461</v>
      </c>
      <c r="C33" s="826"/>
      <c r="D33" s="819">
        <f>D34</f>
        <v>4434</v>
      </c>
      <c r="E33" s="918">
        <f>E34</f>
        <v>4434</v>
      </c>
      <c r="F33" s="915"/>
    </row>
    <row r="34" spans="1:6" s="916" customFormat="1" ht="24" customHeight="1" thickBot="1" thickTop="1">
      <c r="A34" s="835" t="s">
        <v>431</v>
      </c>
      <c r="B34" s="836" t="s">
        <v>306</v>
      </c>
      <c r="C34" s="921">
        <v>2120</v>
      </c>
      <c r="D34" s="839">
        <f>5500-1066</f>
        <v>4434</v>
      </c>
      <c r="E34" s="922">
        <f>5500-1066</f>
        <v>4434</v>
      </c>
      <c r="F34" s="915"/>
    </row>
    <row r="35" spans="1:6" s="1918" customFormat="1" ht="33" customHeight="1" thickBot="1" thickTop="1">
      <c r="A35" s="1913" t="s">
        <v>147</v>
      </c>
      <c r="B35" s="2140" t="s">
        <v>148</v>
      </c>
      <c r="C35" s="1914"/>
      <c r="D35" s="1915">
        <f>D36</f>
        <v>51136</v>
      </c>
      <c r="E35" s="1916">
        <f>E36</f>
        <v>51136</v>
      </c>
      <c r="F35" s="1917"/>
    </row>
    <row r="36" spans="1:6" s="916" customFormat="1" ht="24" customHeight="1" thickBot="1" thickTop="1">
      <c r="A36" s="1919" t="s">
        <v>684</v>
      </c>
      <c r="B36" s="1908" t="s">
        <v>268</v>
      </c>
      <c r="C36" s="842">
        <v>2120</v>
      </c>
      <c r="D36" s="839">
        <v>51136</v>
      </c>
      <c r="E36" s="922">
        <v>51136</v>
      </c>
      <c r="F36" s="915"/>
    </row>
    <row r="37" spans="1:6" s="1918" customFormat="1" ht="28.5" customHeight="1" thickBot="1" thickTop="1">
      <c r="A37" s="1913" t="s">
        <v>171</v>
      </c>
      <c r="B37" s="754" t="s">
        <v>172</v>
      </c>
      <c r="C37" s="1914"/>
      <c r="D37" s="1915">
        <f>D38</f>
        <v>68000</v>
      </c>
      <c r="E37" s="1916">
        <f>E38</f>
        <v>68000</v>
      </c>
      <c r="F37" s="1917"/>
    </row>
    <row r="38" spans="1:6" s="916" customFormat="1" ht="24" customHeight="1" thickBot="1" thickTop="1">
      <c r="A38" s="1919" t="s">
        <v>694</v>
      </c>
      <c r="B38" s="1920" t="s">
        <v>387</v>
      </c>
      <c r="C38" s="842">
        <v>6420</v>
      </c>
      <c r="D38" s="839">
        <v>68000</v>
      </c>
      <c r="E38" s="922">
        <v>68000</v>
      </c>
      <c r="F38" s="915"/>
    </row>
    <row r="39" spans="1:6" s="934" customFormat="1" ht="21" customHeight="1" thickBot="1" thickTop="1">
      <c r="A39" s="797"/>
      <c r="B39" s="798" t="s">
        <v>126</v>
      </c>
      <c r="C39" s="923"/>
      <c r="D39" s="801">
        <f>D33+D37+D35</f>
        <v>123570</v>
      </c>
      <c r="E39" s="895">
        <f>E33+E37+E35</f>
        <v>123570</v>
      </c>
      <c r="F39" s="933"/>
    </row>
    <row r="40" spans="1:6" s="916" customFormat="1" ht="22.5" customHeight="1" thickTop="1">
      <c r="A40" s="87" t="s">
        <v>423</v>
      </c>
      <c r="B40"/>
      <c r="C40" s="935"/>
      <c r="D40"/>
      <c r="E40"/>
      <c r="F40" s="915"/>
    </row>
    <row r="41" spans="1:3" ht="15" customHeight="1">
      <c r="A41" s="87" t="s">
        <v>181</v>
      </c>
      <c r="C41" s="935"/>
    </row>
    <row r="42" spans="1:3" ht="12.75">
      <c r="A42" s="87" t="s">
        <v>40</v>
      </c>
      <c r="C42" s="935"/>
    </row>
    <row r="43" spans="2:3" ht="12.75">
      <c r="B43" s="900"/>
      <c r="C43" s="935"/>
    </row>
    <row r="44" ht="12.75">
      <c r="C44" s="935"/>
    </row>
    <row r="47" ht="12.75">
      <c r="C47" s="935"/>
    </row>
    <row r="48" ht="12.75">
      <c r="C48" s="935"/>
    </row>
    <row r="49" ht="12.75">
      <c r="C49" s="935"/>
    </row>
    <row r="50" ht="12.75">
      <c r="C50" s="935"/>
    </row>
    <row r="51" ht="12.75">
      <c r="C51" s="935"/>
    </row>
    <row r="52" ht="12.75">
      <c r="C52" s="935"/>
    </row>
    <row r="53" ht="12.75">
      <c r="C53" s="935"/>
    </row>
    <row r="54" ht="12.75">
      <c r="C54" s="935"/>
    </row>
    <row r="55" ht="12.75">
      <c r="C55" s="935"/>
    </row>
    <row r="56" ht="12.75">
      <c r="C56" s="935"/>
    </row>
    <row r="57" ht="12.75">
      <c r="C57" s="935"/>
    </row>
    <row r="58" ht="12.75">
      <c r="C58" s="935"/>
    </row>
    <row r="59" ht="12.75">
      <c r="C59" s="935"/>
    </row>
    <row r="60" ht="12.75">
      <c r="C60" s="935"/>
    </row>
    <row r="61" ht="12.75">
      <c r="C61" s="935"/>
    </row>
    <row r="62" ht="12.75">
      <c r="C62" s="935"/>
    </row>
    <row r="63" ht="12.75">
      <c r="C63" s="935"/>
    </row>
    <row r="64" ht="12.75">
      <c r="C64" s="935"/>
    </row>
    <row r="65" ht="12.75">
      <c r="C65" s="935"/>
    </row>
    <row r="66" ht="12.75">
      <c r="C66" s="935"/>
    </row>
    <row r="67" ht="12.75">
      <c r="C67" s="935"/>
    </row>
    <row r="68" ht="12.75">
      <c r="C68" s="935"/>
    </row>
    <row r="69" ht="12.75">
      <c r="C69" s="935"/>
    </row>
    <row r="70" ht="12.75">
      <c r="C70" s="935"/>
    </row>
    <row r="71" ht="12.75">
      <c r="C71" s="935"/>
    </row>
    <row r="72" ht="12.75">
      <c r="C72" s="935"/>
    </row>
    <row r="73" ht="12.75">
      <c r="C73" s="935"/>
    </row>
  </sheetData>
  <mergeCells count="3">
    <mergeCell ref="A28:F28"/>
    <mergeCell ref="A26:F26"/>
    <mergeCell ref="A27:F27"/>
  </mergeCells>
  <printOptions/>
  <pageMargins left="0.75" right="0.75" top="0.29" bottom="0.67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31">
      <selection activeCell="A37" sqref="A37"/>
    </sheetView>
  </sheetViews>
  <sheetFormatPr defaultColWidth="9.00390625" defaultRowHeight="12.75"/>
  <cols>
    <col min="1" max="1" width="7.375" style="937" customWidth="1"/>
    <col min="2" max="2" width="33.25390625" style="975" customWidth="1"/>
    <col min="3" max="3" width="5.00390625" style="975" customWidth="1"/>
    <col min="4" max="4" width="19.25390625" style="938" customWidth="1"/>
    <col min="5" max="5" width="19.25390625" style="977" customWidth="1"/>
    <col min="6" max="7" width="0.12890625" style="944" hidden="1" customWidth="1"/>
    <col min="8" max="16384" width="9.125" style="372" customWidth="1"/>
  </cols>
  <sheetData>
    <row r="1" spans="1:5" s="435" customFormat="1" ht="13.5" customHeight="1">
      <c r="A1" s="936"/>
      <c r="B1" s="937"/>
      <c r="C1" s="937"/>
      <c r="D1" s="736" t="s">
        <v>462</v>
      </c>
      <c r="E1" s="938"/>
    </row>
    <row r="2" spans="1:5" s="256" customFormat="1" ht="13.5" customHeight="1">
      <c r="A2" s="939"/>
      <c r="B2" s="940"/>
      <c r="C2" s="940"/>
      <c r="D2" s="215" t="s">
        <v>758</v>
      </c>
      <c r="E2" s="941"/>
    </row>
    <row r="3" spans="1:5" s="256" customFormat="1" ht="13.5" customHeight="1">
      <c r="A3" s="939"/>
      <c r="B3" s="940"/>
      <c r="C3" s="940"/>
      <c r="D3" s="4" t="s">
        <v>759</v>
      </c>
      <c r="E3" s="941"/>
    </row>
    <row r="4" spans="1:6" ht="27" customHeight="1">
      <c r="A4" s="2472" t="s">
        <v>463</v>
      </c>
      <c r="B4" s="2473"/>
      <c r="C4" s="2473"/>
      <c r="D4" s="2473"/>
      <c r="E4" s="2473"/>
      <c r="F4" s="943"/>
    </row>
    <row r="5" spans="1:6" ht="19.5" customHeight="1">
      <c r="A5" s="908" t="s">
        <v>695</v>
      </c>
      <c r="B5" s="928"/>
      <c r="C5" s="928"/>
      <c r="D5" s="928"/>
      <c r="E5" s="928"/>
      <c r="F5" s="943"/>
    </row>
    <row r="6" spans="1:6" ht="19.5" customHeight="1">
      <c r="A6" s="908" t="s">
        <v>464</v>
      </c>
      <c r="B6" s="928"/>
      <c r="C6" s="928"/>
      <c r="D6" s="928"/>
      <c r="E6" s="928"/>
      <c r="F6" s="943"/>
    </row>
    <row r="7" spans="1:6" ht="19.5" customHeight="1">
      <c r="A7" s="908" t="s">
        <v>465</v>
      </c>
      <c r="B7" s="909"/>
      <c r="C7" s="909"/>
      <c r="D7" s="909"/>
      <c r="E7" s="909"/>
      <c r="F7" s="943"/>
    </row>
    <row r="8" spans="1:6" ht="19.5" customHeight="1">
      <c r="A8" s="908" t="s">
        <v>466</v>
      </c>
      <c r="B8" s="909"/>
      <c r="C8" s="909"/>
      <c r="D8" s="909"/>
      <c r="E8" s="909"/>
      <c r="F8" s="943"/>
    </row>
    <row r="9" spans="1:5" ht="31.5" customHeight="1" thickBot="1">
      <c r="A9" s="223" t="s">
        <v>525</v>
      </c>
      <c r="B9" s="945"/>
      <c r="C9" s="945"/>
      <c r="D9" s="946"/>
      <c r="E9" s="947" t="s">
        <v>121</v>
      </c>
    </row>
    <row r="10" spans="1:5" ht="19.5" thickTop="1">
      <c r="A10" s="2474" t="s">
        <v>410</v>
      </c>
      <c r="B10" s="2476" t="s">
        <v>455</v>
      </c>
      <c r="C10" s="2478" t="s">
        <v>412</v>
      </c>
      <c r="D10" s="948" t="s">
        <v>467</v>
      </c>
      <c r="E10" s="949"/>
    </row>
    <row r="11" spans="1:5" ht="16.5" customHeight="1" thickBot="1">
      <c r="A11" s="2475"/>
      <c r="B11" s="2477"/>
      <c r="C11" s="2479"/>
      <c r="D11" s="950" t="s">
        <v>468</v>
      </c>
      <c r="E11" s="951" t="s">
        <v>469</v>
      </c>
    </row>
    <row r="12" spans="1:5" ht="13.5" thickBot="1" thickTop="1">
      <c r="A12" s="952">
        <v>1</v>
      </c>
      <c r="B12" s="953">
        <v>2</v>
      </c>
      <c r="C12" s="954">
        <v>3</v>
      </c>
      <c r="D12" s="954">
        <v>4</v>
      </c>
      <c r="E12" s="955">
        <v>5</v>
      </c>
    </row>
    <row r="13" spans="1:7" s="273" customFormat="1" ht="16.5" thickBot="1" thickTop="1">
      <c r="A13" s="956"/>
      <c r="B13" s="957" t="s">
        <v>186</v>
      </c>
      <c r="C13" s="958"/>
      <c r="D13" s="959">
        <f>D14+D16</f>
        <v>0</v>
      </c>
      <c r="E13" s="960">
        <f>E14</f>
        <v>0</v>
      </c>
      <c r="F13" s="961"/>
      <c r="G13" s="961"/>
    </row>
    <row r="14" spans="1:7" s="435" customFormat="1" ht="21" customHeight="1" thickBot="1" thickTop="1">
      <c r="A14" s="311">
        <v>600</v>
      </c>
      <c r="B14" s="625" t="s">
        <v>136</v>
      </c>
      <c r="C14" s="962"/>
      <c r="D14" s="253"/>
      <c r="E14" s="820">
        <f>E15</f>
        <v>0</v>
      </c>
      <c r="F14" s="4"/>
      <c r="G14" s="4"/>
    </row>
    <row r="15" spans="1:7" s="435" customFormat="1" ht="21" customHeight="1" thickBot="1" thickTop="1">
      <c r="A15" s="588">
        <v>60002</v>
      </c>
      <c r="B15" s="963" t="s">
        <v>276</v>
      </c>
      <c r="C15" s="964">
        <v>2710</v>
      </c>
      <c r="D15" s="586"/>
      <c r="E15" s="832"/>
      <c r="F15" s="4"/>
      <c r="G15" s="4"/>
    </row>
    <row r="16" spans="1:7" s="435" customFormat="1" ht="22.5" customHeight="1" thickBot="1" thickTop="1">
      <c r="A16" s="311">
        <v>926</v>
      </c>
      <c r="B16" s="625" t="s">
        <v>174</v>
      </c>
      <c r="C16" s="962"/>
      <c r="D16" s="253">
        <f>SUM(D17)</f>
        <v>0</v>
      </c>
      <c r="E16" s="820"/>
      <c r="F16" s="4"/>
      <c r="G16" s="4"/>
    </row>
    <row r="17" spans="1:7" s="435" customFormat="1" ht="21" customHeight="1" thickBot="1" thickTop="1">
      <c r="A17" s="588">
        <v>92601</v>
      </c>
      <c r="B17" s="963" t="s">
        <v>394</v>
      </c>
      <c r="C17" s="964">
        <v>6300</v>
      </c>
      <c r="D17" s="586"/>
      <c r="E17" s="832"/>
      <c r="F17" s="4"/>
      <c r="G17" s="4"/>
    </row>
    <row r="18" spans="1:7" s="965" customFormat="1" ht="21" customHeight="1" thickBot="1" thickTop="1">
      <c r="A18" s="966"/>
      <c r="B18" s="967" t="s">
        <v>187</v>
      </c>
      <c r="C18" s="968"/>
      <c r="D18" s="969">
        <f>D19+D21+D24+D32+D29</f>
        <v>1670342</v>
      </c>
      <c r="E18" s="960">
        <f>E19+E21+E24+E32</f>
        <v>2530767</v>
      </c>
      <c r="F18" s="970"/>
      <c r="G18" s="970"/>
    </row>
    <row r="19" spans="1:7" s="435" customFormat="1" ht="23.25" customHeight="1" thickBot="1" thickTop="1">
      <c r="A19" s="311">
        <v>750</v>
      </c>
      <c r="B19" s="625" t="s">
        <v>144</v>
      </c>
      <c r="C19" s="962"/>
      <c r="D19" s="253"/>
      <c r="E19" s="820">
        <f>SUM(E20:E20)</f>
        <v>15000</v>
      </c>
      <c r="F19" s="4"/>
      <c r="G19" s="4"/>
    </row>
    <row r="20" spans="1:10" s="281" customFormat="1" ht="21" customHeight="1" thickBot="1" thickTop="1">
      <c r="A20" s="588">
        <v>75020</v>
      </c>
      <c r="B20" s="971" t="s">
        <v>470</v>
      </c>
      <c r="C20" s="2348">
        <v>2320</v>
      </c>
      <c r="D20" s="417"/>
      <c r="E20" s="832">
        <f>1977180-1962180</f>
        <v>15000</v>
      </c>
      <c r="J20" s="435"/>
    </row>
    <row r="21" spans="1:7" s="435" customFormat="1" ht="21" customHeight="1" thickBot="1" thickTop="1">
      <c r="A21" s="311">
        <v>852</v>
      </c>
      <c r="B21" s="625" t="s">
        <v>245</v>
      </c>
      <c r="C21" s="962"/>
      <c r="D21" s="253">
        <f>D23</f>
        <v>395000</v>
      </c>
      <c r="E21" s="820">
        <f>E22+E23</f>
        <v>594800</v>
      </c>
      <c r="F21" s="4"/>
      <c r="G21" s="4"/>
    </row>
    <row r="22" spans="1:5" ht="22.5" customHeight="1" thickTop="1">
      <c r="A22" s="588">
        <v>85201</v>
      </c>
      <c r="B22" s="971" t="s">
        <v>351</v>
      </c>
      <c r="C22" s="964">
        <v>2320</v>
      </c>
      <c r="D22" s="586"/>
      <c r="E22" s="832">
        <v>465000</v>
      </c>
    </row>
    <row r="23" spans="1:5" ht="22.5" customHeight="1" thickBot="1">
      <c r="A23" s="588">
        <v>85204</v>
      </c>
      <c r="B23" s="971" t="s">
        <v>354</v>
      </c>
      <c r="C23" s="964">
        <v>2320</v>
      </c>
      <c r="D23" s="586">
        <v>395000</v>
      </c>
      <c r="E23" s="832">
        <v>129800</v>
      </c>
    </row>
    <row r="24" spans="1:7" s="1760" customFormat="1" ht="28.5" customHeight="1" thickBot="1" thickTop="1">
      <c r="A24" s="1756">
        <v>853</v>
      </c>
      <c r="B24" s="1808" t="s">
        <v>164</v>
      </c>
      <c r="C24" s="1757"/>
      <c r="D24" s="1758">
        <f>D26</f>
        <v>82852</v>
      </c>
      <c r="E24" s="1347">
        <f>SUM(E25:E28)</f>
        <v>1880967</v>
      </c>
      <c r="F24" s="1759"/>
      <c r="G24" s="1759"/>
    </row>
    <row r="25" spans="1:5" ht="20.25" customHeight="1" thickTop="1">
      <c r="A25" s="2349">
        <v>85333</v>
      </c>
      <c r="B25" s="2350" t="s">
        <v>707</v>
      </c>
      <c r="C25" s="2141">
        <v>2320</v>
      </c>
      <c r="D25" s="2142"/>
      <c r="E25" s="2351">
        <v>1785580</v>
      </c>
    </row>
    <row r="26" spans="1:5" ht="27" customHeight="1">
      <c r="A26" s="588">
        <v>85311</v>
      </c>
      <c r="B26" s="1473" t="s">
        <v>367</v>
      </c>
      <c r="C26" s="1761">
        <v>2320</v>
      </c>
      <c r="D26" s="417">
        <v>82852</v>
      </c>
      <c r="E26" s="832">
        <v>82852</v>
      </c>
    </row>
    <row r="27" spans="1:5" ht="27" customHeight="1">
      <c r="A27" s="588">
        <v>85395</v>
      </c>
      <c r="B27" s="1473" t="s">
        <v>268</v>
      </c>
      <c r="C27" s="1761">
        <v>2338</v>
      </c>
      <c r="D27" s="417"/>
      <c r="E27" s="832">
        <f>9578+2791</f>
        <v>12369</v>
      </c>
    </row>
    <row r="28" spans="1:5" ht="27" customHeight="1" thickBot="1">
      <c r="A28" s="588"/>
      <c r="B28" s="1473"/>
      <c r="C28" s="1761">
        <v>2339</v>
      </c>
      <c r="D28" s="417"/>
      <c r="E28" s="832">
        <f>129+37</f>
        <v>166</v>
      </c>
    </row>
    <row r="29" spans="1:7" s="1760" customFormat="1" ht="27" customHeight="1" thickBot="1" thickTop="1">
      <c r="A29" s="1756">
        <v>854</v>
      </c>
      <c r="B29" s="1808" t="s">
        <v>166</v>
      </c>
      <c r="C29" s="1757"/>
      <c r="D29" s="1758">
        <f>SUM(D30:D31)</f>
        <v>1152490</v>
      </c>
      <c r="E29" s="1347"/>
      <c r="F29" s="1759"/>
      <c r="G29" s="1759"/>
    </row>
    <row r="30" spans="1:7" s="1760" customFormat="1" ht="27" customHeight="1" thickTop="1">
      <c r="A30" s="588">
        <v>85415</v>
      </c>
      <c r="B30" s="971" t="s">
        <v>374</v>
      </c>
      <c r="C30" s="2141">
        <v>2888</v>
      </c>
      <c r="D30" s="2142">
        <v>784270</v>
      </c>
      <c r="E30" s="2143"/>
      <c r="F30" s="1759"/>
      <c r="G30" s="1759"/>
    </row>
    <row r="31" spans="1:5" ht="22.5" customHeight="1" thickBot="1">
      <c r="A31" s="372"/>
      <c r="B31" s="2144"/>
      <c r="C31" s="2145">
        <v>2889</v>
      </c>
      <c r="D31" s="417">
        <v>368220</v>
      </c>
      <c r="E31" s="832"/>
    </row>
    <row r="32" spans="1:7" s="1760" customFormat="1" ht="30" customHeight="1" thickBot="1" thickTop="1">
      <c r="A32" s="1756">
        <v>921</v>
      </c>
      <c r="B32" s="1808" t="s">
        <v>172</v>
      </c>
      <c r="C32" s="1757"/>
      <c r="D32" s="1758">
        <f>D33</f>
        <v>40000</v>
      </c>
      <c r="E32" s="1347">
        <f>E33</f>
        <v>40000</v>
      </c>
      <c r="F32" s="1759"/>
      <c r="G32" s="1759"/>
    </row>
    <row r="33" spans="1:5" ht="22.5" customHeight="1" thickBot="1" thickTop="1">
      <c r="A33" s="1762">
        <v>92116</v>
      </c>
      <c r="B33" s="1763" t="s">
        <v>389</v>
      </c>
      <c r="C33" s="1761">
        <v>2320</v>
      </c>
      <c r="D33" s="417">
        <v>40000</v>
      </c>
      <c r="E33" s="832">
        <v>40000</v>
      </c>
    </row>
    <row r="34" spans="1:5" ht="20.25" customHeight="1" thickBot="1" thickTop="1">
      <c r="A34" s="972"/>
      <c r="B34" s="973" t="s">
        <v>126</v>
      </c>
      <c r="C34" s="974"/>
      <c r="D34" s="801">
        <f>D18+D13</f>
        <v>1670342</v>
      </c>
      <c r="E34" s="895">
        <f>E18+E13</f>
        <v>2530767</v>
      </c>
    </row>
    <row r="35" spans="1:3" ht="13.5" thickTop="1">
      <c r="A35" s="87" t="s">
        <v>423</v>
      </c>
      <c r="C35" s="976"/>
    </row>
    <row r="36" spans="1:3" ht="12.75">
      <c r="A36" s="87" t="s">
        <v>181</v>
      </c>
      <c r="C36" s="976"/>
    </row>
    <row r="37" spans="1:3" ht="12.75">
      <c r="A37" s="87" t="s">
        <v>40</v>
      </c>
      <c r="C37" s="976"/>
    </row>
  </sheetData>
  <mergeCells count="4">
    <mergeCell ref="A4:E4"/>
    <mergeCell ref="A10:A11"/>
    <mergeCell ref="B10:B11"/>
    <mergeCell ref="C10:C11"/>
  </mergeCells>
  <printOptions horizontalCentered="1"/>
  <pageMargins left="0.82" right="0.2362204724409449" top="0.472440944881889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2010-01-14T12:47:16Z</cp:lastPrinted>
  <dcterms:created xsi:type="dcterms:W3CDTF">2009-02-10T08:41:05Z</dcterms:created>
  <dcterms:modified xsi:type="dcterms:W3CDTF">2010-01-20T12:30:12Z</dcterms:modified>
  <cp:category/>
  <cp:version/>
  <cp:contentType/>
  <cp:contentStatus/>
</cp:coreProperties>
</file>